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10" yWindow="-195" windowWidth="7680" windowHeight="8715" tabRatio="601" firstSheet="4" activeTab="8"/>
  </bookViews>
  <sheets>
    <sheet name="Demand - Summ" sheetId="1" r:id="rId1"/>
    <sheet name="Demand Detail" sheetId="2" r:id="rId2"/>
    <sheet name="Red Rock &amp; New Ks" sheetId="3" r:id="rId3"/>
    <sheet name="Out Years Data Input" sheetId="8" r:id="rId4"/>
    <sheet name="Negociate Rate K" sheetId="72" r:id="rId5"/>
    <sheet name="IT" sheetId="80" r:id="rId6"/>
    <sheet name="Stretch" sheetId="32" r:id="rId7"/>
    <sheet name="Fuel Hedge-Stretch" sheetId="76" r:id="rId8"/>
    <sheet name="Summary" sheetId="97" r:id="rId9"/>
    <sheet name="Detail- 2001 Plan" sheetId="115" state="hidden" r:id="rId10"/>
    <sheet name="Annual Fuel Calc Alt" sheetId="101" r:id="rId11"/>
    <sheet name="Not Used -Annual Fuel Calc" sheetId="114" r:id="rId12"/>
    <sheet name="2002 Plan by Qtr" sheetId="74" r:id="rId13"/>
    <sheet name="Contracted &amp; Uncontracted" sheetId="101" r:id="rId14"/>
    <sheet name="Contracted" sheetId="117" r:id="rId15"/>
    <sheet name="Firm Book" sheetId="116" r:id="rId16"/>
    <sheet name="Surcharges Detail" sheetId="32" r:id="rId17"/>
    <sheet name="Termination-Resubscription" sheetId="52" r:id="rId18"/>
    <sheet name="WESTCompare0201" sheetId="48" r:id="rId19"/>
  </sheets>
  <externalReferences>
    <externalReference r:id="rId20"/>
    <externalReference r:id="rId21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_xlnm.Print_Area" localSheetId="12">'2002 Plan by Qtr'!$A$2:$T$63</definedName>
    <definedName name="_xlnm.Print_Area" localSheetId="10">'Annual Fuel Calc Alt'!$A$2:$P$145</definedName>
    <definedName name="_xlnm.Print_Area" localSheetId="14">Contracted!$A$1:$O$144</definedName>
    <definedName name="_xlnm.Print_Area" localSheetId="13">'Contracted &amp; Uncontracted'!$A$1:$O$159</definedName>
    <definedName name="_xlnm.Print_Area" localSheetId="0">'Demand - Summ'!$B$19:$BY$27</definedName>
    <definedName name="_xlnm.Print_Area" localSheetId="15">'Firm Book'!$A$1:$V$122</definedName>
    <definedName name="_xlnm.Print_Area" localSheetId="5">IT!$A$1:$AM$30</definedName>
    <definedName name="_xlnm.Print_Area" localSheetId="4">'Negociate Rate K'!$A$1:$AS$32</definedName>
    <definedName name="_xlnm.Print_Area" localSheetId="11">'Not Used -Annual Fuel Calc'!$A$2:$P$113</definedName>
    <definedName name="_xlnm.Print_Area" localSheetId="3">'Out Years Data Input'!$A$1:$AL$230</definedName>
    <definedName name="_xlnm.Print_Area" localSheetId="2">'Red Rock &amp; New Ks'!$A$1:$AU$105</definedName>
    <definedName name="_xlnm.Print_Area" localSheetId="6">Stretch!$A$1:$AU$100</definedName>
    <definedName name="_xlnm.Print_Area" localSheetId="8">Summary!$A$1:$N$312</definedName>
    <definedName name="_xlnm.Print_Area" localSheetId="16">'Surcharges Detail'!$A$1:$T$89</definedName>
    <definedName name="_xlnm.Print_Area" localSheetId="17">'Termination-Resubscription'!$A$105:$AW$174</definedName>
    <definedName name="_xlnm.Print_Area" localSheetId="18">WESTCompare0201!$A$1:$BF$347</definedName>
    <definedName name="_xlnm.Print_Titles" localSheetId="0">'Demand - Summ'!$A:$E,'Demand - Summ'!$392:$393</definedName>
    <definedName name="_xlnm.Print_Titles" localSheetId="17">'Termination-Resubscription'!$1:$10</definedName>
    <definedName name="_xlnm.Print_Titles" localSheetId="18">WESTCompare0201!$1:$10</definedName>
    <definedName name="Quarter_Month">#REF!</definedName>
    <definedName name="R_ACT95">#REF!</definedName>
    <definedName name="RATES_ACT95">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VAR_ACT95">#REF!</definedName>
    <definedName name="VOLUME_CE">#REF!</definedName>
    <definedName name="VOLUME_EST">#REF!</definedName>
    <definedName name="VOLUME_PLAN">#REF!</definedName>
  </definedNames>
  <calcPr calcId="152511" fullCalcOnLoad="1"/>
</workbook>
</file>

<file path=xl/calcChain.xml><?xml version="1.0" encoding="utf-8"?>
<calcChain xmlns="http://schemas.openxmlformats.org/spreadsheetml/2006/main">
  <c r="Q1" i="74" l="1"/>
  <c r="R1" i="74"/>
  <c r="S1" i="74"/>
  <c r="T1" i="74"/>
  <c r="O4" i="74"/>
  <c r="A3" i="101"/>
  <c r="A4" i="101"/>
  <c r="Q34" i="101"/>
  <c r="R34" i="101"/>
  <c r="Q35" i="101"/>
  <c r="R35" i="101"/>
  <c r="Q36" i="101"/>
  <c r="R36" i="101"/>
  <c r="Q37" i="101"/>
  <c r="R37" i="101"/>
  <c r="Q39" i="101"/>
  <c r="R39" i="101"/>
  <c r="Q40" i="101"/>
  <c r="R40" i="101"/>
  <c r="Q63" i="101"/>
  <c r="R63" i="101"/>
  <c r="I67" i="101"/>
  <c r="J67" i="101"/>
  <c r="L67" i="101"/>
  <c r="C68" i="101"/>
  <c r="D68" i="101"/>
  <c r="E68" i="101"/>
  <c r="F68" i="101"/>
  <c r="G68" i="101"/>
  <c r="H68" i="101"/>
  <c r="I68" i="101"/>
  <c r="J68" i="101"/>
  <c r="K68" i="101"/>
  <c r="L68" i="101"/>
  <c r="M68" i="101"/>
  <c r="N68" i="101"/>
  <c r="Q73" i="101"/>
  <c r="R73" i="101"/>
  <c r="C75" i="101"/>
  <c r="C67" i="101" s="1"/>
  <c r="D75" i="101"/>
  <c r="D67" i="101" s="1"/>
  <c r="E75" i="101"/>
  <c r="E67" i="101" s="1"/>
  <c r="F75" i="101"/>
  <c r="F67" i="101" s="1"/>
  <c r="G75" i="101"/>
  <c r="H75" i="101"/>
  <c r="I75" i="101"/>
  <c r="I78" i="101" s="1"/>
  <c r="J75" i="101"/>
  <c r="K75" i="101"/>
  <c r="K67" i="101" s="1"/>
  <c r="L75" i="101"/>
  <c r="M75" i="101"/>
  <c r="M67" i="101" s="1"/>
  <c r="N75" i="101"/>
  <c r="N67" i="101" s="1"/>
  <c r="O75" i="101"/>
  <c r="O67" i="101" s="1"/>
  <c r="C78" i="101"/>
  <c r="D78" i="101"/>
  <c r="E78" i="101"/>
  <c r="F78" i="101"/>
  <c r="J78" i="101"/>
  <c r="K78" i="101"/>
  <c r="L78" i="101"/>
  <c r="M78" i="101"/>
  <c r="N78" i="101"/>
  <c r="O79" i="101"/>
  <c r="Q79" i="101" s="1"/>
  <c r="Q62" i="101" s="1"/>
  <c r="R79" i="101"/>
  <c r="R62" i="101" s="1"/>
  <c r="C82" i="101"/>
  <c r="D82" i="101"/>
  <c r="E82" i="101"/>
  <c r="F82" i="101"/>
  <c r="G82" i="101"/>
  <c r="H82" i="101"/>
  <c r="I82" i="101"/>
  <c r="J82" i="101"/>
  <c r="K82" i="101"/>
  <c r="L82" i="101"/>
  <c r="M82" i="101"/>
  <c r="N82" i="101"/>
  <c r="C83" i="101"/>
  <c r="D83" i="101"/>
  <c r="E83" i="101"/>
  <c r="F83" i="101"/>
  <c r="G83" i="101"/>
  <c r="H83" i="101"/>
  <c r="I83" i="101"/>
  <c r="J83" i="101"/>
  <c r="K83" i="101"/>
  <c r="L83" i="101"/>
  <c r="M83" i="101"/>
  <c r="N83" i="101"/>
  <c r="E96" i="101"/>
  <c r="F96" i="101"/>
  <c r="I96" i="101"/>
  <c r="N96" i="101"/>
  <c r="O103" i="101"/>
  <c r="C105" i="101"/>
  <c r="D105" i="101"/>
  <c r="E105" i="101"/>
  <c r="F105" i="101"/>
  <c r="G105" i="101"/>
  <c r="H105" i="101"/>
  <c r="I105" i="101"/>
  <c r="J105" i="101"/>
  <c r="K105" i="101"/>
  <c r="L105" i="101"/>
  <c r="M105" i="101"/>
  <c r="N105" i="101"/>
  <c r="O111" i="101"/>
  <c r="P111" i="101"/>
  <c r="F115" i="101"/>
  <c r="C140" i="101"/>
  <c r="D140" i="101"/>
  <c r="E140" i="101"/>
  <c r="F140" i="101"/>
  <c r="H140" i="101"/>
  <c r="I140" i="101"/>
  <c r="J140" i="101"/>
  <c r="K140" i="101"/>
  <c r="L140" i="101"/>
  <c r="M140" i="101"/>
  <c r="N140" i="101"/>
  <c r="P140" i="101"/>
  <c r="D148" i="101"/>
  <c r="E148" i="101"/>
  <c r="Q2" i="117"/>
  <c r="E6" i="117"/>
  <c r="G6" i="117"/>
  <c r="H6" i="117"/>
  <c r="I6" i="117"/>
  <c r="N6" i="117"/>
  <c r="G7" i="117"/>
  <c r="I7" i="117"/>
  <c r="H7" i="117" s="1"/>
  <c r="H8" i="117"/>
  <c r="I8" i="117"/>
  <c r="L8" i="117"/>
  <c r="O8" i="117" s="1"/>
  <c r="N8" i="117"/>
  <c r="G9" i="117"/>
  <c r="L9" i="117" s="1"/>
  <c r="I9" i="117"/>
  <c r="H9" i="117" s="1"/>
  <c r="N9" i="117"/>
  <c r="O9" i="117"/>
  <c r="G10" i="117"/>
  <c r="I10" i="117"/>
  <c r="H10" i="117" s="1"/>
  <c r="N10" i="117"/>
  <c r="L10" i="117" s="1"/>
  <c r="O10" i="117" s="1"/>
  <c r="G11" i="117"/>
  <c r="H11" i="117"/>
  <c r="I11" i="117"/>
  <c r="N11" i="117"/>
  <c r="E12" i="117"/>
  <c r="F12" i="117"/>
  <c r="G12" i="117"/>
  <c r="H12" i="117"/>
  <c r="I12" i="117"/>
  <c r="N12" i="117"/>
  <c r="G13" i="117"/>
  <c r="I13" i="117"/>
  <c r="H13" i="117" s="1"/>
  <c r="E14" i="117"/>
  <c r="G14" i="117"/>
  <c r="I14" i="117"/>
  <c r="H14" i="117" s="1"/>
  <c r="G15" i="117"/>
  <c r="H15" i="117"/>
  <c r="I15" i="117"/>
  <c r="L15" i="117"/>
  <c r="O15" i="117" s="1"/>
  <c r="N15" i="117"/>
  <c r="E16" i="117"/>
  <c r="G16" i="117" s="1"/>
  <c r="I16" i="117"/>
  <c r="H16" i="117" s="1"/>
  <c r="G17" i="117"/>
  <c r="H17" i="117"/>
  <c r="I17" i="117"/>
  <c r="N17" i="117"/>
  <c r="G18" i="117"/>
  <c r="N18" i="117" s="1"/>
  <c r="H18" i="117"/>
  <c r="I18" i="117"/>
  <c r="L18" i="117"/>
  <c r="O18" i="117" s="1"/>
  <c r="G19" i="117"/>
  <c r="H19" i="117"/>
  <c r="I19" i="117"/>
  <c r="G20" i="117"/>
  <c r="I20" i="117"/>
  <c r="H20" i="117" s="1"/>
  <c r="N20" i="117"/>
  <c r="L20" i="117" s="1"/>
  <c r="O20" i="117" s="1"/>
  <c r="G21" i="117"/>
  <c r="N21" i="117" s="1"/>
  <c r="H21" i="117"/>
  <c r="I21" i="117"/>
  <c r="G22" i="117"/>
  <c r="I22" i="117"/>
  <c r="H22" i="117" s="1"/>
  <c r="K26" i="117"/>
  <c r="L26" i="117"/>
  <c r="N26" i="117"/>
  <c r="K27" i="117"/>
  <c r="L27" i="117"/>
  <c r="N27" i="117"/>
  <c r="O27" i="117"/>
  <c r="F28" i="117"/>
  <c r="L31" i="117"/>
  <c r="N31" i="117"/>
  <c r="G32" i="117"/>
  <c r="H32" i="117"/>
  <c r="I32" i="117"/>
  <c r="N32" i="117"/>
  <c r="L32" i="117" s="1"/>
  <c r="O32" i="117" s="1"/>
  <c r="G35" i="117"/>
  <c r="L35" i="117" s="1"/>
  <c r="L36" i="117" s="1"/>
  <c r="I35" i="117"/>
  <c r="N35" i="117"/>
  <c r="O35" i="117"/>
  <c r="F36" i="117"/>
  <c r="G39" i="117"/>
  <c r="H39" i="117"/>
  <c r="I39" i="117"/>
  <c r="N39" i="117"/>
  <c r="G40" i="117"/>
  <c r="I40" i="117"/>
  <c r="H40" i="117" s="1"/>
  <c r="G41" i="117"/>
  <c r="N41" i="117" s="1"/>
  <c r="H41" i="117"/>
  <c r="I41" i="117"/>
  <c r="G42" i="117"/>
  <c r="I42" i="117"/>
  <c r="H42" i="117" s="1"/>
  <c r="N42" i="117"/>
  <c r="L42" i="117" s="1"/>
  <c r="O42" i="117" s="1"/>
  <c r="G43" i="117"/>
  <c r="L43" i="117" s="1"/>
  <c r="O43" i="117" s="1"/>
  <c r="H43" i="117"/>
  <c r="I43" i="117"/>
  <c r="N43" i="117"/>
  <c r="G44" i="117"/>
  <c r="H44" i="117"/>
  <c r="I44" i="117"/>
  <c r="H48" i="117"/>
  <c r="I48" i="117"/>
  <c r="N48" i="117"/>
  <c r="L48" i="117" s="1"/>
  <c r="O48" i="117" s="1"/>
  <c r="G49" i="117"/>
  <c r="I49" i="117"/>
  <c r="H49" i="117" s="1"/>
  <c r="L49" i="117"/>
  <c r="N49" i="117"/>
  <c r="E50" i="117"/>
  <c r="G50" i="117"/>
  <c r="I50" i="117"/>
  <c r="H50" i="117" s="1"/>
  <c r="N50" i="117"/>
  <c r="L50" i="117" s="1"/>
  <c r="O50" i="117" s="1"/>
  <c r="E51" i="117"/>
  <c r="G51" i="117"/>
  <c r="H51" i="117"/>
  <c r="I51" i="117"/>
  <c r="L51" i="117"/>
  <c r="O51" i="117" s="1"/>
  <c r="N51" i="117"/>
  <c r="G52" i="117"/>
  <c r="I52" i="117"/>
  <c r="H52" i="117" s="1"/>
  <c r="G53" i="117"/>
  <c r="I53" i="117"/>
  <c r="H53" i="117" s="1"/>
  <c r="G54" i="117"/>
  <c r="I54" i="117"/>
  <c r="H54" i="117" s="1"/>
  <c r="L54" i="117"/>
  <c r="N54" i="117"/>
  <c r="G55" i="117"/>
  <c r="H55" i="117"/>
  <c r="I55" i="117"/>
  <c r="L55" i="117"/>
  <c r="N55" i="117"/>
  <c r="O55" i="117"/>
  <c r="G59" i="117"/>
  <c r="I59" i="117"/>
  <c r="H59" i="117" s="1"/>
  <c r="N59" i="117"/>
  <c r="L59" i="117" s="1"/>
  <c r="G60" i="117"/>
  <c r="I60" i="117"/>
  <c r="H60" i="117" s="1"/>
  <c r="N60" i="117"/>
  <c r="G61" i="117"/>
  <c r="H61" i="117"/>
  <c r="I61" i="117"/>
  <c r="G62" i="117"/>
  <c r="N62" i="117" s="1"/>
  <c r="I62" i="117"/>
  <c r="H62" i="117" s="1"/>
  <c r="L62" i="117"/>
  <c r="O62" i="117" s="1"/>
  <c r="G63" i="117"/>
  <c r="I63" i="117"/>
  <c r="H63" i="117" s="1"/>
  <c r="N63" i="117"/>
  <c r="L63" i="117" s="1"/>
  <c r="O63" i="117" s="1"/>
  <c r="E64" i="117"/>
  <c r="I64" i="117"/>
  <c r="L64" i="117"/>
  <c r="N64" i="117"/>
  <c r="O64" i="117"/>
  <c r="G65" i="117"/>
  <c r="H65" i="117"/>
  <c r="I65" i="117"/>
  <c r="G66" i="117"/>
  <c r="H66" i="117"/>
  <c r="I66" i="117"/>
  <c r="L66" i="117"/>
  <c r="O66" i="117" s="1"/>
  <c r="N66" i="117"/>
  <c r="G67" i="117"/>
  <c r="H67" i="117"/>
  <c r="I67" i="117"/>
  <c r="N67" i="117"/>
  <c r="L67" i="117" s="1"/>
  <c r="O67" i="117" s="1"/>
  <c r="G68" i="117"/>
  <c r="I68" i="117"/>
  <c r="H68" i="117" s="1"/>
  <c r="G69" i="117"/>
  <c r="I69" i="117"/>
  <c r="H69" i="117" s="1"/>
  <c r="G70" i="117"/>
  <c r="I70" i="117"/>
  <c r="H70" i="117" s="1"/>
  <c r="L70" i="117"/>
  <c r="O70" i="117" s="1"/>
  <c r="N70" i="117"/>
  <c r="G71" i="117"/>
  <c r="H71" i="117"/>
  <c r="I71" i="117"/>
  <c r="L71" i="117"/>
  <c r="N71" i="117"/>
  <c r="O71" i="117"/>
  <c r="G72" i="117"/>
  <c r="I72" i="117"/>
  <c r="H72" i="117" s="1"/>
  <c r="G73" i="117"/>
  <c r="I73" i="117"/>
  <c r="H73" i="117" s="1"/>
  <c r="G77" i="117"/>
  <c r="K77" i="117"/>
  <c r="I77" i="117" s="1"/>
  <c r="H77" i="117" s="1"/>
  <c r="G78" i="117"/>
  <c r="I78" i="117"/>
  <c r="H78" i="117" s="1"/>
  <c r="E79" i="117"/>
  <c r="G79" i="117"/>
  <c r="I79" i="117"/>
  <c r="H79" i="117" s="1"/>
  <c r="G80" i="117"/>
  <c r="I80" i="117"/>
  <c r="H80" i="117" s="1"/>
  <c r="L80" i="117"/>
  <c r="N80" i="117"/>
  <c r="O80" i="117"/>
  <c r="E81" i="117"/>
  <c r="G81" i="117"/>
  <c r="H81" i="117"/>
  <c r="I81" i="117"/>
  <c r="L81" i="117"/>
  <c r="O81" i="117" s="1"/>
  <c r="N81" i="117"/>
  <c r="E82" i="117"/>
  <c r="G82" i="117" s="1"/>
  <c r="I82" i="117"/>
  <c r="H82" i="117" s="1"/>
  <c r="E83" i="117"/>
  <c r="G83" i="117"/>
  <c r="I83" i="117"/>
  <c r="H83" i="117" s="1"/>
  <c r="G84" i="117"/>
  <c r="I84" i="117"/>
  <c r="H84" i="117" s="1"/>
  <c r="G85" i="117"/>
  <c r="I85" i="117"/>
  <c r="H85" i="117" s="1"/>
  <c r="L85" i="117"/>
  <c r="O85" i="117" s="1"/>
  <c r="N85" i="117"/>
  <c r="E86" i="117"/>
  <c r="G86" i="117"/>
  <c r="I86" i="117"/>
  <c r="H86" i="117" s="1"/>
  <c r="N86" i="117"/>
  <c r="L86" i="117" s="1"/>
  <c r="O86" i="117"/>
  <c r="G87" i="117"/>
  <c r="L87" i="117" s="1"/>
  <c r="O87" i="117" s="1"/>
  <c r="I87" i="117"/>
  <c r="H87" i="117" s="1"/>
  <c r="N87" i="117"/>
  <c r="G88" i="117"/>
  <c r="H88" i="117"/>
  <c r="I88" i="117"/>
  <c r="E89" i="117"/>
  <c r="G89" i="117"/>
  <c r="H89" i="117"/>
  <c r="I89" i="117"/>
  <c r="E90" i="117"/>
  <c r="G90" i="117"/>
  <c r="N90" i="117" s="1"/>
  <c r="I90" i="117"/>
  <c r="H90" i="117" s="1"/>
  <c r="L90" i="117"/>
  <c r="O90" i="117" s="1"/>
  <c r="G91" i="117"/>
  <c r="I91" i="117"/>
  <c r="H91" i="117" s="1"/>
  <c r="L91" i="117"/>
  <c r="O91" i="117" s="1"/>
  <c r="N91" i="117"/>
  <c r="G92" i="117"/>
  <c r="I92" i="117"/>
  <c r="H92" i="117" s="1"/>
  <c r="N92" i="117"/>
  <c r="G93" i="117"/>
  <c r="H93" i="117"/>
  <c r="I93" i="117"/>
  <c r="G94" i="117"/>
  <c r="N94" i="117" s="1"/>
  <c r="I94" i="117"/>
  <c r="H94" i="117" s="1"/>
  <c r="L94" i="117"/>
  <c r="O94" i="117" s="1"/>
  <c r="G95" i="117"/>
  <c r="I95" i="117"/>
  <c r="H95" i="117" s="1"/>
  <c r="L95" i="117"/>
  <c r="O95" i="117" s="1"/>
  <c r="N95" i="117"/>
  <c r="G96" i="117"/>
  <c r="I96" i="117"/>
  <c r="H96" i="117" s="1"/>
  <c r="N96" i="117"/>
  <c r="E97" i="117"/>
  <c r="G97" i="117" s="1"/>
  <c r="I97" i="117"/>
  <c r="H97" i="117" s="1"/>
  <c r="G98" i="117"/>
  <c r="I98" i="117"/>
  <c r="H98" i="117" s="1"/>
  <c r="G103" i="117"/>
  <c r="H103" i="117"/>
  <c r="I103" i="117"/>
  <c r="E107" i="117"/>
  <c r="G107" i="117"/>
  <c r="I107" i="117"/>
  <c r="H107" i="117" s="1"/>
  <c r="E108" i="117"/>
  <c r="G108" i="117"/>
  <c r="I108" i="117"/>
  <c r="H108" i="117" s="1"/>
  <c r="G109" i="117"/>
  <c r="I109" i="117"/>
  <c r="H109" i="117" s="1"/>
  <c r="L109" i="117"/>
  <c r="N109" i="117"/>
  <c r="O109" i="117"/>
  <c r="G110" i="117"/>
  <c r="I110" i="117"/>
  <c r="H110" i="117" s="1"/>
  <c r="N110" i="117"/>
  <c r="G111" i="117"/>
  <c r="H111" i="117"/>
  <c r="I111" i="117"/>
  <c r="G112" i="117"/>
  <c r="I112" i="117"/>
  <c r="H112" i="117" s="1"/>
  <c r="G113" i="117"/>
  <c r="I113" i="117"/>
  <c r="H113" i="117" s="1"/>
  <c r="L113" i="117"/>
  <c r="O113" i="117" s="1"/>
  <c r="N113" i="117"/>
  <c r="G114" i="117"/>
  <c r="I114" i="117"/>
  <c r="H114" i="117" s="1"/>
  <c r="N114" i="117"/>
  <c r="G115" i="117"/>
  <c r="H115" i="117"/>
  <c r="I115" i="117"/>
  <c r="E116" i="117"/>
  <c r="G116" i="117" s="1"/>
  <c r="H116" i="117"/>
  <c r="I116" i="117"/>
  <c r="E117" i="117"/>
  <c r="G117" i="117"/>
  <c r="H117" i="117"/>
  <c r="I117" i="117"/>
  <c r="G118" i="117"/>
  <c r="I118" i="117"/>
  <c r="N118" i="117"/>
  <c r="L118" i="117" s="1"/>
  <c r="O118" i="117" s="1"/>
  <c r="G119" i="117"/>
  <c r="I119" i="117"/>
  <c r="E120" i="117"/>
  <c r="G120" i="117" s="1"/>
  <c r="H120" i="117"/>
  <c r="I120" i="117"/>
  <c r="E121" i="117"/>
  <c r="G121" i="117"/>
  <c r="H121" i="117"/>
  <c r="I121" i="117"/>
  <c r="G125" i="117"/>
  <c r="I125" i="117"/>
  <c r="H125" i="117" s="1"/>
  <c r="K125" i="117"/>
  <c r="G126" i="117"/>
  <c r="I126" i="117"/>
  <c r="H126" i="117" s="1"/>
  <c r="E127" i="117"/>
  <c r="G127" i="117" s="1"/>
  <c r="N127" i="117" s="1"/>
  <c r="K127" i="117"/>
  <c r="I127" i="117" s="1"/>
  <c r="H127" i="117" s="1"/>
  <c r="G128" i="117"/>
  <c r="I128" i="117"/>
  <c r="H128" i="117" s="1"/>
  <c r="K128" i="117"/>
  <c r="L128" i="117"/>
  <c r="O128" i="117" s="1"/>
  <c r="N128" i="117"/>
  <c r="G129" i="117"/>
  <c r="K129" i="117"/>
  <c r="I129" i="117" s="1"/>
  <c r="H129" i="117" s="1"/>
  <c r="N129" i="117"/>
  <c r="G130" i="117"/>
  <c r="I130" i="117"/>
  <c r="H130" i="117" s="1"/>
  <c r="N130" i="117"/>
  <c r="G131" i="117"/>
  <c r="H131" i="117"/>
  <c r="K131" i="117"/>
  <c r="I131" i="117" s="1"/>
  <c r="G132" i="117"/>
  <c r="H132" i="117"/>
  <c r="I132" i="117"/>
  <c r="G133" i="117"/>
  <c r="H133" i="117"/>
  <c r="I133" i="117"/>
  <c r="K133" i="117"/>
  <c r="L133" i="117"/>
  <c r="O133" i="117" s="1"/>
  <c r="N133" i="117"/>
  <c r="G134" i="117"/>
  <c r="I134" i="117"/>
  <c r="H134" i="117" s="1"/>
  <c r="N134" i="117"/>
  <c r="L134" i="117" s="1"/>
  <c r="O134" i="117"/>
  <c r="G135" i="117"/>
  <c r="I135" i="117"/>
  <c r="H135" i="117" s="1"/>
  <c r="K135" i="117"/>
  <c r="L135" i="117"/>
  <c r="O135" i="117" s="1"/>
  <c r="N135" i="117"/>
  <c r="G136" i="117"/>
  <c r="H136" i="117"/>
  <c r="I136" i="117"/>
  <c r="E137" i="117"/>
  <c r="G137" i="117"/>
  <c r="H137" i="117"/>
  <c r="I137" i="117"/>
  <c r="E141" i="117"/>
  <c r="G141" i="117" s="1"/>
  <c r="H141" i="117"/>
  <c r="K141" i="117"/>
  <c r="Q162" i="117"/>
  <c r="B195" i="117"/>
  <c r="C195" i="117"/>
  <c r="D195" i="117"/>
  <c r="Q2" i="101"/>
  <c r="E6" i="101"/>
  <c r="G6" i="101"/>
  <c r="I6" i="101"/>
  <c r="H6" i="101" s="1"/>
  <c r="E7" i="101"/>
  <c r="G7" i="101" s="1"/>
  <c r="H7" i="101"/>
  <c r="I7" i="101"/>
  <c r="G8" i="101"/>
  <c r="N8" i="101" s="1"/>
  <c r="H8" i="101"/>
  <c r="I8" i="101"/>
  <c r="L8" i="101"/>
  <c r="O8" i="101" s="1"/>
  <c r="H9" i="101"/>
  <c r="I9" i="101"/>
  <c r="L9" i="101"/>
  <c r="O9" i="101" s="1"/>
  <c r="N9" i="101"/>
  <c r="G10" i="101"/>
  <c r="N10" i="101" s="1"/>
  <c r="I10" i="101"/>
  <c r="H10" i="101" s="1"/>
  <c r="L10" i="101"/>
  <c r="O10" i="101" s="1"/>
  <c r="G11" i="101"/>
  <c r="H11" i="101"/>
  <c r="I11" i="101"/>
  <c r="G12" i="101"/>
  <c r="I12" i="101"/>
  <c r="H12" i="101" s="1"/>
  <c r="L12" i="101"/>
  <c r="O12" i="101" s="1"/>
  <c r="N12" i="101"/>
  <c r="G13" i="101"/>
  <c r="H13" i="101"/>
  <c r="I13" i="101"/>
  <c r="L13" i="101"/>
  <c r="N13" i="101"/>
  <c r="O13" i="101"/>
  <c r="E14" i="101"/>
  <c r="G14" i="101" s="1"/>
  <c r="F14" i="101"/>
  <c r="H14" i="101"/>
  <c r="I14" i="101"/>
  <c r="N14" i="101"/>
  <c r="G15" i="101"/>
  <c r="I15" i="101"/>
  <c r="H15" i="101" s="1"/>
  <c r="E16" i="101"/>
  <c r="G16" i="101"/>
  <c r="H16" i="101"/>
  <c r="I16" i="101"/>
  <c r="N16" i="101"/>
  <c r="E17" i="101"/>
  <c r="G17" i="101" s="1"/>
  <c r="H17" i="101"/>
  <c r="I17" i="101"/>
  <c r="G18" i="101"/>
  <c r="I18" i="101"/>
  <c r="H18" i="101" s="1"/>
  <c r="L18" i="101"/>
  <c r="O18" i="101" s="1"/>
  <c r="N18" i="101"/>
  <c r="E19" i="101"/>
  <c r="G19" i="101"/>
  <c r="I19" i="101"/>
  <c r="H19" i="101" s="1"/>
  <c r="L19" i="101"/>
  <c r="N19" i="101"/>
  <c r="O19" i="101"/>
  <c r="E20" i="101"/>
  <c r="G20" i="101"/>
  <c r="H20" i="101"/>
  <c r="I20" i="101"/>
  <c r="N20" i="101"/>
  <c r="L20" i="101" s="1"/>
  <c r="O20" i="101" s="1"/>
  <c r="G21" i="101"/>
  <c r="I21" i="101"/>
  <c r="H21" i="101" s="1"/>
  <c r="G22" i="101"/>
  <c r="I22" i="101"/>
  <c r="H22" i="101" s="1"/>
  <c r="G23" i="101"/>
  <c r="H23" i="101"/>
  <c r="I23" i="101"/>
  <c r="L23" i="101"/>
  <c r="O23" i="101" s="1"/>
  <c r="N23" i="101"/>
  <c r="G24" i="101"/>
  <c r="H24" i="101"/>
  <c r="I24" i="101"/>
  <c r="N24" i="101"/>
  <c r="L24" i="101" s="1"/>
  <c r="O24" i="101" s="1"/>
  <c r="G25" i="101"/>
  <c r="N25" i="101" s="1"/>
  <c r="I25" i="101"/>
  <c r="H25" i="101" s="1"/>
  <c r="G26" i="101"/>
  <c r="H26" i="101"/>
  <c r="I26" i="101"/>
  <c r="G27" i="101"/>
  <c r="I27" i="101"/>
  <c r="H27" i="101" s="1"/>
  <c r="L27" i="101"/>
  <c r="O27" i="101" s="1"/>
  <c r="N27" i="101"/>
  <c r="K31" i="101"/>
  <c r="L31" i="101"/>
  <c r="O31" i="101" s="1"/>
  <c r="N31" i="101"/>
  <c r="K32" i="101"/>
  <c r="L32" i="101"/>
  <c r="N32" i="101"/>
  <c r="F33" i="101"/>
  <c r="L36" i="101"/>
  <c r="O36" i="101" s="1"/>
  <c r="N36" i="101"/>
  <c r="G37" i="101"/>
  <c r="I37" i="101"/>
  <c r="H37" i="101" s="1"/>
  <c r="G40" i="101"/>
  <c r="I40" i="101"/>
  <c r="L40" i="101" s="1"/>
  <c r="N40" i="101"/>
  <c r="F41" i="101"/>
  <c r="G44" i="101"/>
  <c r="I44" i="101"/>
  <c r="H44" i="101" s="1"/>
  <c r="L44" i="101"/>
  <c r="N44" i="101"/>
  <c r="O44" i="101"/>
  <c r="G45" i="101"/>
  <c r="I45" i="101"/>
  <c r="H45" i="101" s="1"/>
  <c r="N45" i="101"/>
  <c r="G46" i="101"/>
  <c r="H46" i="101"/>
  <c r="I46" i="101"/>
  <c r="G47" i="101"/>
  <c r="N47" i="101" s="1"/>
  <c r="H47" i="101"/>
  <c r="I47" i="101"/>
  <c r="L47" i="101"/>
  <c r="O47" i="101" s="1"/>
  <c r="G48" i="101"/>
  <c r="I48" i="101"/>
  <c r="H48" i="101" s="1"/>
  <c r="G49" i="101"/>
  <c r="L49" i="101" s="1"/>
  <c r="I49" i="101"/>
  <c r="H49" i="101" s="1"/>
  <c r="N49" i="101"/>
  <c r="O49" i="101"/>
  <c r="H53" i="101"/>
  <c r="I53" i="101"/>
  <c r="N53" i="101"/>
  <c r="L53" i="101" s="1"/>
  <c r="O53" i="101" s="1"/>
  <c r="G54" i="101"/>
  <c r="I54" i="101"/>
  <c r="H54" i="101" s="1"/>
  <c r="L54" i="101"/>
  <c r="O54" i="101" s="1"/>
  <c r="N54" i="101"/>
  <c r="E55" i="101"/>
  <c r="G55" i="101"/>
  <c r="I55" i="101"/>
  <c r="H55" i="101" s="1"/>
  <c r="E56" i="101"/>
  <c r="G56" i="101"/>
  <c r="H56" i="101"/>
  <c r="I56" i="101"/>
  <c r="N56" i="101"/>
  <c r="L56" i="101" s="1"/>
  <c r="O56" i="101" s="1"/>
  <c r="G57" i="101"/>
  <c r="N57" i="101" s="1"/>
  <c r="I57" i="101"/>
  <c r="H57" i="101" s="1"/>
  <c r="L57" i="101"/>
  <c r="O57" i="101" s="1"/>
  <c r="G58" i="101"/>
  <c r="I58" i="101"/>
  <c r="H58" i="101" s="1"/>
  <c r="G59" i="101"/>
  <c r="I59" i="101"/>
  <c r="H59" i="101" s="1"/>
  <c r="L59" i="101"/>
  <c r="N59" i="101"/>
  <c r="E60" i="101"/>
  <c r="G60" i="101"/>
  <c r="L60" i="101" s="1"/>
  <c r="O60" i="101" s="1"/>
  <c r="I60" i="101"/>
  <c r="H60" i="101" s="1"/>
  <c r="N60" i="101"/>
  <c r="G61" i="101"/>
  <c r="L61" i="101" s="1"/>
  <c r="O61" i="101" s="1"/>
  <c r="I61" i="101"/>
  <c r="H61" i="101" s="1"/>
  <c r="N61" i="101"/>
  <c r="G65" i="101"/>
  <c r="H65" i="101"/>
  <c r="I65" i="101"/>
  <c r="N65" i="101"/>
  <c r="G66" i="101"/>
  <c r="H66" i="101"/>
  <c r="I66" i="101"/>
  <c r="G67" i="101"/>
  <c r="I67" i="101"/>
  <c r="H67" i="101" s="1"/>
  <c r="N67" i="101"/>
  <c r="L67" i="101" s="1"/>
  <c r="O67" i="101" s="1"/>
  <c r="G68" i="101"/>
  <c r="L68" i="101" s="1"/>
  <c r="O68" i="101" s="1"/>
  <c r="I68" i="101"/>
  <c r="H68" i="101" s="1"/>
  <c r="N68" i="101"/>
  <c r="G69" i="101"/>
  <c r="H69" i="101"/>
  <c r="I69" i="101"/>
  <c r="N69" i="101"/>
  <c r="E70" i="101"/>
  <c r="I70" i="101"/>
  <c r="L70" i="101"/>
  <c r="O70" i="101" s="1"/>
  <c r="N70" i="101"/>
  <c r="G71" i="101"/>
  <c r="H71" i="101"/>
  <c r="I71" i="101"/>
  <c r="L71" i="101"/>
  <c r="O71" i="101" s="1"/>
  <c r="N71" i="101"/>
  <c r="G72" i="101"/>
  <c r="N72" i="101" s="1"/>
  <c r="I72" i="101"/>
  <c r="H72" i="101" s="1"/>
  <c r="G73" i="101"/>
  <c r="H73" i="101"/>
  <c r="I73" i="101"/>
  <c r="G74" i="101"/>
  <c r="I74" i="101"/>
  <c r="H74" i="101" s="1"/>
  <c r="N74" i="101"/>
  <c r="L74" i="101" s="1"/>
  <c r="O74" i="101" s="1"/>
  <c r="G75" i="101"/>
  <c r="H75" i="101"/>
  <c r="I75" i="101"/>
  <c r="L75" i="101"/>
  <c r="O75" i="101" s="1"/>
  <c r="N75" i="101"/>
  <c r="G76" i="101"/>
  <c r="N76" i="101" s="1"/>
  <c r="I76" i="101"/>
  <c r="H76" i="101" s="1"/>
  <c r="L76" i="101"/>
  <c r="O76" i="101"/>
  <c r="G77" i="101"/>
  <c r="H77" i="101"/>
  <c r="I77" i="101"/>
  <c r="G78" i="101"/>
  <c r="H78" i="101"/>
  <c r="I78" i="101"/>
  <c r="L78" i="101"/>
  <c r="O78" i="101" s="1"/>
  <c r="N78" i="101"/>
  <c r="G79" i="101"/>
  <c r="H79" i="101"/>
  <c r="I79" i="101"/>
  <c r="L79" i="101"/>
  <c r="O79" i="101" s="1"/>
  <c r="N79" i="101"/>
  <c r="G80" i="101"/>
  <c r="I80" i="101"/>
  <c r="H80" i="101" s="1"/>
  <c r="G81" i="101"/>
  <c r="H81" i="101"/>
  <c r="I81" i="101"/>
  <c r="O82" i="101"/>
  <c r="G85" i="101"/>
  <c r="N85" i="101" s="1"/>
  <c r="K85" i="101"/>
  <c r="L85" i="101" s="1"/>
  <c r="O85" i="101"/>
  <c r="G86" i="101"/>
  <c r="H86" i="101"/>
  <c r="I86" i="101"/>
  <c r="N86" i="101"/>
  <c r="L86" i="101" s="1"/>
  <c r="O86" i="101" s="1"/>
  <c r="E87" i="101"/>
  <c r="G87" i="101"/>
  <c r="I87" i="101"/>
  <c r="H87" i="101" s="1"/>
  <c r="N87" i="101"/>
  <c r="L87" i="101" s="1"/>
  <c r="O87" i="101" s="1"/>
  <c r="G88" i="101"/>
  <c r="I88" i="101"/>
  <c r="H88" i="101" s="1"/>
  <c r="N88" i="101"/>
  <c r="G89" i="101"/>
  <c r="H89" i="101"/>
  <c r="I89" i="101"/>
  <c r="N89" i="101"/>
  <c r="E90" i="101"/>
  <c r="G90" i="101"/>
  <c r="I90" i="101"/>
  <c r="H90" i="101" s="1"/>
  <c r="G91" i="101"/>
  <c r="I91" i="101"/>
  <c r="H91" i="101" s="1"/>
  <c r="N91" i="101"/>
  <c r="L91" i="101" s="1"/>
  <c r="O91" i="101" s="1"/>
  <c r="E92" i="101"/>
  <c r="G92" i="101"/>
  <c r="I92" i="101"/>
  <c r="H92" i="101" s="1"/>
  <c r="L92" i="101"/>
  <c r="N92" i="101"/>
  <c r="O92" i="101"/>
  <c r="E93" i="101"/>
  <c r="G93" i="101"/>
  <c r="H93" i="101"/>
  <c r="I93" i="101"/>
  <c r="L93" i="101"/>
  <c r="O93" i="101" s="1"/>
  <c r="N93" i="101"/>
  <c r="G94" i="101"/>
  <c r="I94" i="101"/>
  <c r="H94" i="101" s="1"/>
  <c r="G95" i="101"/>
  <c r="H95" i="101"/>
  <c r="I95" i="101"/>
  <c r="E96" i="101"/>
  <c r="G96" i="101"/>
  <c r="N96" i="101" s="1"/>
  <c r="H96" i="101"/>
  <c r="I96" i="101"/>
  <c r="L96" i="101"/>
  <c r="O96" i="101" s="1"/>
  <c r="G97" i="101"/>
  <c r="I97" i="101"/>
  <c r="H97" i="101" s="1"/>
  <c r="L97" i="101"/>
  <c r="O97" i="101" s="1"/>
  <c r="N97" i="101"/>
  <c r="G98" i="101"/>
  <c r="L98" i="101" s="1"/>
  <c r="I98" i="101"/>
  <c r="H98" i="101" s="1"/>
  <c r="N98" i="101"/>
  <c r="O98" i="101"/>
  <c r="E99" i="101"/>
  <c r="G99" i="101" s="1"/>
  <c r="I99" i="101"/>
  <c r="H99" i="101" s="1"/>
  <c r="G100" i="101"/>
  <c r="I100" i="101"/>
  <c r="H100" i="101" s="1"/>
  <c r="E101" i="101"/>
  <c r="G101" i="101"/>
  <c r="I101" i="101"/>
  <c r="H101" i="101" s="1"/>
  <c r="E102" i="101"/>
  <c r="G102" i="101" s="1"/>
  <c r="H102" i="101"/>
  <c r="I102" i="101"/>
  <c r="N102" i="101"/>
  <c r="L102" i="101" s="1"/>
  <c r="O102" i="101" s="1"/>
  <c r="E103" i="101"/>
  <c r="G103" i="101"/>
  <c r="L103" i="101" s="1"/>
  <c r="I103" i="101"/>
  <c r="H103" i="101" s="1"/>
  <c r="N103" i="101"/>
  <c r="O103" i="101"/>
  <c r="G104" i="101"/>
  <c r="L104" i="101" s="1"/>
  <c r="O104" i="101" s="1"/>
  <c r="I104" i="101"/>
  <c r="H104" i="101" s="1"/>
  <c r="N104" i="101"/>
  <c r="G105" i="101"/>
  <c r="H105" i="101"/>
  <c r="I105" i="101"/>
  <c r="N105" i="101"/>
  <c r="G106" i="101"/>
  <c r="H106" i="101"/>
  <c r="I106" i="101"/>
  <c r="G107" i="101"/>
  <c r="I107" i="101"/>
  <c r="H107" i="101" s="1"/>
  <c r="L107" i="101"/>
  <c r="O107" i="101" s="1"/>
  <c r="N107" i="101"/>
  <c r="G108" i="101"/>
  <c r="L108" i="101" s="1"/>
  <c r="O108" i="101" s="1"/>
  <c r="I108" i="101"/>
  <c r="H108" i="101" s="1"/>
  <c r="N108" i="101"/>
  <c r="G109" i="101"/>
  <c r="H109" i="101"/>
  <c r="I109" i="101"/>
  <c r="N109" i="101"/>
  <c r="E110" i="101"/>
  <c r="G110" i="101" s="1"/>
  <c r="H110" i="101"/>
  <c r="I110" i="101"/>
  <c r="G111" i="101"/>
  <c r="I111" i="101"/>
  <c r="H111" i="101" s="1"/>
  <c r="L111" i="101"/>
  <c r="O111" i="101" s="1"/>
  <c r="N111" i="101"/>
  <c r="G112" i="101"/>
  <c r="H112" i="101"/>
  <c r="I112" i="101"/>
  <c r="N112" i="101"/>
  <c r="L112" i="101" s="1"/>
  <c r="O112" i="101"/>
  <c r="G117" i="101"/>
  <c r="I117" i="101"/>
  <c r="H117" i="101" s="1"/>
  <c r="E121" i="101"/>
  <c r="G121" i="101"/>
  <c r="H121" i="101"/>
  <c r="I121" i="101"/>
  <c r="N121" i="101"/>
  <c r="E122" i="101"/>
  <c r="G122" i="101"/>
  <c r="I122" i="101"/>
  <c r="H122" i="101" s="1"/>
  <c r="G123" i="101"/>
  <c r="H123" i="101"/>
  <c r="I123" i="101"/>
  <c r="N123" i="101"/>
  <c r="L123" i="101" s="1"/>
  <c r="O123" i="101" s="1"/>
  <c r="G124" i="101"/>
  <c r="H124" i="101"/>
  <c r="I124" i="101"/>
  <c r="N124" i="101"/>
  <c r="L124" i="101" s="1"/>
  <c r="O124" i="101" s="1"/>
  <c r="G125" i="101"/>
  <c r="N125" i="101" s="1"/>
  <c r="I125" i="101"/>
  <c r="H125" i="101" s="1"/>
  <c r="L125" i="101"/>
  <c r="O125" i="101"/>
  <c r="G126" i="101"/>
  <c r="I126" i="101"/>
  <c r="H126" i="101" s="1"/>
  <c r="G127" i="101"/>
  <c r="H127" i="101"/>
  <c r="I127" i="101"/>
  <c r="N127" i="101"/>
  <c r="L127" i="101" s="1"/>
  <c r="O127" i="101" s="1"/>
  <c r="G128" i="101"/>
  <c r="H128" i="101"/>
  <c r="I128" i="101"/>
  <c r="N128" i="101"/>
  <c r="L128" i="101" s="1"/>
  <c r="O128" i="101" s="1"/>
  <c r="G129" i="101"/>
  <c r="N129" i="101" s="1"/>
  <c r="I129" i="101"/>
  <c r="H129" i="101" s="1"/>
  <c r="L129" i="101"/>
  <c r="O129" i="101" s="1"/>
  <c r="E130" i="101"/>
  <c r="G130" i="101" s="1"/>
  <c r="H130" i="101"/>
  <c r="I130" i="101"/>
  <c r="E131" i="101"/>
  <c r="G131" i="101" s="1"/>
  <c r="I131" i="101"/>
  <c r="H131" i="101" s="1"/>
  <c r="G132" i="101"/>
  <c r="I132" i="101"/>
  <c r="N132" i="101"/>
  <c r="L132" i="101" s="1"/>
  <c r="O132" i="101"/>
  <c r="G133" i="101"/>
  <c r="N133" i="101" s="1"/>
  <c r="L133" i="101" s="1"/>
  <c r="O133" i="101" s="1"/>
  <c r="I133" i="101"/>
  <c r="E134" i="101"/>
  <c r="G134" i="101"/>
  <c r="H134" i="101"/>
  <c r="I134" i="101"/>
  <c r="N134" i="101"/>
  <c r="E135" i="101"/>
  <c r="G135" i="101" s="1"/>
  <c r="H135" i="101"/>
  <c r="I135" i="101"/>
  <c r="G139" i="101"/>
  <c r="H139" i="101"/>
  <c r="I139" i="101"/>
  <c r="K139" i="101"/>
  <c r="L139" i="101" s="1"/>
  <c r="O139" i="101" s="1"/>
  <c r="N139" i="101"/>
  <c r="G140" i="101"/>
  <c r="I140" i="101"/>
  <c r="H140" i="101" s="1"/>
  <c r="N140" i="101"/>
  <c r="L140" i="101" s="1"/>
  <c r="O140" i="101" s="1"/>
  <c r="E141" i="101"/>
  <c r="G141" i="101"/>
  <c r="H141" i="101"/>
  <c r="K141" i="101"/>
  <c r="I141" i="101" s="1"/>
  <c r="N141" i="101"/>
  <c r="L141" i="101" s="1"/>
  <c r="O141" i="101" s="1"/>
  <c r="G142" i="101"/>
  <c r="I142" i="101"/>
  <c r="H142" i="101" s="1"/>
  <c r="K142" i="101"/>
  <c r="L142" i="101"/>
  <c r="O142" i="101" s="1"/>
  <c r="N142" i="101"/>
  <c r="G143" i="101"/>
  <c r="N143" i="101" s="1"/>
  <c r="K143" i="101"/>
  <c r="G144" i="101"/>
  <c r="H144" i="101"/>
  <c r="I144" i="101"/>
  <c r="N144" i="101"/>
  <c r="G145" i="101"/>
  <c r="N145" i="101" s="1"/>
  <c r="K145" i="101"/>
  <c r="G146" i="101"/>
  <c r="I146" i="101"/>
  <c r="H146" i="101" s="1"/>
  <c r="L146" i="101"/>
  <c r="O146" i="101" s="1"/>
  <c r="N146" i="101"/>
  <c r="G147" i="101"/>
  <c r="H147" i="101"/>
  <c r="K147" i="101"/>
  <c r="I147" i="101" s="1"/>
  <c r="L147" i="101"/>
  <c r="O147" i="101" s="1"/>
  <c r="N147" i="101"/>
  <c r="G148" i="101"/>
  <c r="L148" i="101" s="1"/>
  <c r="O148" i="101" s="1"/>
  <c r="I148" i="101"/>
  <c r="H148" i="101" s="1"/>
  <c r="N148" i="101"/>
  <c r="G149" i="101"/>
  <c r="N149" i="101" s="1"/>
  <c r="H149" i="101"/>
  <c r="K149" i="101"/>
  <c r="I149" i="101" s="1"/>
  <c r="L149" i="101"/>
  <c r="O149" i="101"/>
  <c r="G150" i="101"/>
  <c r="I150" i="101"/>
  <c r="H150" i="101" s="1"/>
  <c r="E151" i="101"/>
  <c r="G151" i="101"/>
  <c r="N151" i="101" s="1"/>
  <c r="I151" i="101"/>
  <c r="H151" i="101" s="1"/>
  <c r="L151" i="101"/>
  <c r="O151" i="101" s="1"/>
  <c r="E152" i="101"/>
  <c r="G152" i="101" s="1"/>
  <c r="H152" i="101"/>
  <c r="I152" i="101"/>
  <c r="E156" i="101"/>
  <c r="G156" i="101"/>
  <c r="N156" i="101" s="1"/>
  <c r="H156" i="101"/>
  <c r="K156" i="101"/>
  <c r="L156" i="101"/>
  <c r="O156" i="101" s="1"/>
  <c r="Q177" i="101"/>
  <c r="B210" i="101"/>
  <c r="C210" i="101"/>
  <c r="D210" i="10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Z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BA13" i="1"/>
  <c r="BB13" i="1"/>
  <c r="BD13" i="1"/>
  <c r="BE13" i="1"/>
  <c r="BG13" i="1"/>
  <c r="BH13" i="1"/>
  <c r="BJ13" i="1"/>
  <c r="BK13" i="1"/>
  <c r="BM13" i="1"/>
  <c r="BN13" i="1"/>
  <c r="BP13" i="1"/>
  <c r="BQ13" i="1"/>
  <c r="BS13" i="1"/>
  <c r="BT13" i="1"/>
  <c r="BV13" i="1"/>
  <c r="BW13" i="1"/>
  <c r="BY13" i="1"/>
  <c r="BZ13" i="1"/>
  <c r="CB13" i="1"/>
  <c r="CC13" i="1"/>
  <c r="CE13" i="1"/>
  <c r="CF13" i="1"/>
  <c r="CH13" i="1"/>
  <c r="CI13" i="1"/>
  <c r="CK13" i="1"/>
  <c r="CL13" i="1"/>
  <c r="CN13" i="1"/>
  <c r="CO13" i="1"/>
  <c r="CQ13" i="1"/>
  <c r="CR13" i="1"/>
  <c r="CT13" i="1"/>
  <c r="CU13" i="1"/>
  <c r="CW13" i="1"/>
  <c r="CX13" i="1"/>
  <c r="CZ13" i="1"/>
  <c r="DA13" i="1"/>
  <c r="DC13" i="1"/>
  <c r="DD13" i="1"/>
  <c r="DF13" i="1"/>
  <c r="DG13" i="1"/>
  <c r="DI13" i="1"/>
  <c r="DJ13" i="1"/>
  <c r="DL13" i="1"/>
  <c r="DM13" i="1"/>
  <c r="DO13" i="1"/>
  <c r="DP13" i="1"/>
  <c r="DR13" i="1"/>
  <c r="DS13" i="1"/>
  <c r="DU13" i="1"/>
  <c r="DV13" i="1"/>
  <c r="DX13" i="1"/>
  <c r="DY13" i="1"/>
  <c r="EA13" i="1"/>
  <c r="EB13" i="1"/>
  <c r="ED13" i="1"/>
  <c r="EE13" i="1"/>
  <c r="EG13" i="1"/>
  <c r="EH13" i="1"/>
  <c r="EJ13" i="1"/>
  <c r="EK13" i="1"/>
  <c r="EM13" i="1"/>
  <c r="EN13" i="1"/>
  <c r="EP13" i="1"/>
  <c r="EQ13" i="1"/>
  <c r="ES13" i="1"/>
  <c r="F15" i="1"/>
  <c r="H15" i="1"/>
  <c r="I15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BP15" i="1"/>
  <c r="BQ15" i="1"/>
  <c r="BS15" i="1"/>
  <c r="BT15" i="1"/>
  <c r="BV15" i="1"/>
  <c r="BW15" i="1"/>
  <c r="BY15" i="1"/>
  <c r="BZ15" i="1"/>
  <c r="CB15" i="1"/>
  <c r="CC15" i="1"/>
  <c r="CE15" i="1"/>
  <c r="CF15" i="1"/>
  <c r="CH15" i="1"/>
  <c r="CI15" i="1"/>
  <c r="CK15" i="1"/>
  <c r="CL15" i="1"/>
  <c r="CN15" i="1"/>
  <c r="CO15" i="1"/>
  <c r="CQ15" i="1"/>
  <c r="CR15" i="1"/>
  <c r="CT15" i="1"/>
  <c r="CU15" i="1"/>
  <c r="CW15" i="1"/>
  <c r="CX15" i="1"/>
  <c r="CZ15" i="1"/>
  <c r="DA15" i="1"/>
  <c r="DC15" i="1"/>
  <c r="DD15" i="1"/>
  <c r="DF15" i="1"/>
  <c r="DG15" i="1"/>
  <c r="DI15" i="1"/>
  <c r="DJ15" i="1"/>
  <c r="DL15" i="1"/>
  <c r="DM15" i="1"/>
  <c r="DO15" i="1"/>
  <c r="DP15" i="1"/>
  <c r="DR15" i="1"/>
  <c r="DS15" i="1"/>
  <c r="DU15" i="1"/>
  <c r="DV15" i="1"/>
  <c r="DX15" i="1"/>
  <c r="DY15" i="1"/>
  <c r="EA15" i="1"/>
  <c r="EB15" i="1"/>
  <c r="ED15" i="1"/>
  <c r="EE15" i="1"/>
  <c r="EG15" i="1"/>
  <c r="EH15" i="1"/>
  <c r="EJ15" i="1"/>
  <c r="EK15" i="1"/>
  <c r="EM15" i="1"/>
  <c r="EN15" i="1"/>
  <c r="EP15" i="1"/>
  <c r="EQ15" i="1"/>
  <c r="ES15" i="1"/>
  <c r="F17" i="1"/>
  <c r="H17" i="1"/>
  <c r="I17" i="1"/>
  <c r="K17" i="1"/>
  <c r="L17" i="1"/>
  <c r="N17" i="1"/>
  <c r="O17" i="1"/>
  <c r="Q17" i="1"/>
  <c r="R17" i="1"/>
  <c r="T17" i="1"/>
  <c r="U17" i="1"/>
  <c r="W17" i="1"/>
  <c r="X17" i="1"/>
  <c r="Z17" i="1"/>
  <c r="AA17" i="1"/>
  <c r="AC17" i="1"/>
  <c r="AD17" i="1"/>
  <c r="AF17" i="1"/>
  <c r="AG17" i="1"/>
  <c r="AI17" i="1"/>
  <c r="AJ17" i="1"/>
  <c r="AL17" i="1"/>
  <c r="AM17" i="1"/>
  <c r="AO17" i="1"/>
  <c r="AP17" i="1"/>
  <c r="AR17" i="1"/>
  <c r="AS17" i="1"/>
  <c r="AU17" i="1"/>
  <c r="AV17" i="1"/>
  <c r="AX17" i="1"/>
  <c r="AY17" i="1"/>
  <c r="BA17" i="1"/>
  <c r="BB17" i="1"/>
  <c r="BD17" i="1"/>
  <c r="BE17" i="1"/>
  <c r="BG17" i="1"/>
  <c r="BH17" i="1"/>
  <c r="BJ17" i="1"/>
  <c r="BK17" i="1"/>
  <c r="BM17" i="1"/>
  <c r="BN17" i="1"/>
  <c r="BP17" i="1"/>
  <c r="BQ17" i="1"/>
  <c r="BS17" i="1"/>
  <c r="BT17" i="1"/>
  <c r="BV17" i="1"/>
  <c r="BW17" i="1"/>
  <c r="BY17" i="1"/>
  <c r="BZ17" i="1"/>
  <c r="CB17" i="1"/>
  <c r="CC17" i="1"/>
  <c r="CE17" i="1"/>
  <c r="CF17" i="1"/>
  <c r="CH17" i="1"/>
  <c r="CI17" i="1"/>
  <c r="CK17" i="1"/>
  <c r="CL17" i="1"/>
  <c r="CN17" i="1"/>
  <c r="CO17" i="1"/>
  <c r="CQ17" i="1"/>
  <c r="CR17" i="1"/>
  <c r="CT17" i="1"/>
  <c r="CU17" i="1"/>
  <c r="CW17" i="1"/>
  <c r="CX17" i="1"/>
  <c r="CZ17" i="1"/>
  <c r="DA17" i="1"/>
  <c r="DC17" i="1"/>
  <c r="DD17" i="1"/>
  <c r="DF17" i="1"/>
  <c r="DG17" i="1"/>
  <c r="DI17" i="1"/>
  <c r="DJ17" i="1"/>
  <c r="DL17" i="1"/>
  <c r="DM17" i="1"/>
  <c r="DO17" i="1"/>
  <c r="DP17" i="1"/>
  <c r="DR17" i="1"/>
  <c r="DS17" i="1"/>
  <c r="DU17" i="1"/>
  <c r="DV17" i="1"/>
  <c r="DX17" i="1"/>
  <c r="DY17" i="1"/>
  <c r="EA17" i="1"/>
  <c r="EB17" i="1"/>
  <c r="ED17" i="1"/>
  <c r="EE17" i="1"/>
  <c r="EG17" i="1"/>
  <c r="EH17" i="1"/>
  <c r="EJ17" i="1"/>
  <c r="EK17" i="1"/>
  <c r="EM17" i="1"/>
  <c r="EN17" i="1"/>
  <c r="EP17" i="1"/>
  <c r="EQ17" i="1"/>
  <c r="ES17" i="1"/>
  <c r="F20" i="1"/>
  <c r="H20" i="1"/>
  <c r="I20" i="1"/>
  <c r="K20" i="1"/>
  <c r="L20" i="1"/>
  <c r="N20" i="1"/>
  <c r="O20" i="1"/>
  <c r="Q20" i="1"/>
  <c r="R20" i="1"/>
  <c r="T20" i="1"/>
  <c r="U20" i="1"/>
  <c r="W20" i="1"/>
  <c r="X20" i="1"/>
  <c r="Z20" i="1"/>
  <c r="AA20" i="1"/>
  <c r="AC20" i="1"/>
  <c r="AD20" i="1"/>
  <c r="AF20" i="1"/>
  <c r="AG20" i="1"/>
  <c r="AI20" i="1"/>
  <c r="AJ20" i="1"/>
  <c r="AL20" i="1"/>
  <c r="AM20" i="1"/>
  <c r="AO20" i="1"/>
  <c r="AP20" i="1"/>
  <c r="AS20" i="1"/>
  <c r="AU20" i="1"/>
  <c r="AV20" i="1"/>
  <c r="AX20" i="1"/>
  <c r="AY20" i="1"/>
  <c r="BB20" i="1"/>
  <c r="BE20" i="1"/>
  <c r="BH20" i="1"/>
  <c r="BK20" i="1"/>
  <c r="BN20" i="1"/>
  <c r="BQ20" i="1"/>
  <c r="BT20" i="1"/>
  <c r="BW20" i="1"/>
  <c r="BZ20" i="1"/>
  <c r="CB20" i="1"/>
  <c r="CC20" i="1"/>
  <c r="CE20" i="1"/>
  <c r="CF20" i="1"/>
  <c r="CH20" i="1"/>
  <c r="CI20" i="1"/>
  <c r="CK20" i="1"/>
  <c r="CL20" i="1"/>
  <c r="CN20" i="1"/>
  <c r="CO20" i="1"/>
  <c r="CQ20" i="1"/>
  <c r="CR20" i="1"/>
  <c r="CT20" i="1"/>
  <c r="CU20" i="1"/>
  <c r="CW20" i="1"/>
  <c r="CX20" i="1"/>
  <c r="CZ20" i="1"/>
  <c r="DA20" i="1"/>
  <c r="DC20" i="1"/>
  <c r="DD20" i="1"/>
  <c r="DF20" i="1"/>
  <c r="DG20" i="1"/>
  <c r="DI20" i="1"/>
  <c r="DJ20" i="1"/>
  <c r="DL20" i="1"/>
  <c r="DM20" i="1"/>
  <c r="DO20" i="1"/>
  <c r="DP20" i="1"/>
  <c r="DR20" i="1"/>
  <c r="DS20" i="1"/>
  <c r="DU20" i="1"/>
  <c r="DV20" i="1"/>
  <c r="DX20" i="1"/>
  <c r="DY20" i="1"/>
  <c r="EA20" i="1"/>
  <c r="EB20" i="1"/>
  <c r="ED20" i="1"/>
  <c r="EE20" i="1"/>
  <c r="EG20" i="1"/>
  <c r="EH20" i="1"/>
  <c r="EJ20" i="1"/>
  <c r="EK20" i="1"/>
  <c r="EM20" i="1"/>
  <c r="EN20" i="1"/>
  <c r="EP20" i="1"/>
  <c r="EQ20" i="1"/>
  <c r="ES20" i="1"/>
  <c r="F26" i="1"/>
  <c r="H26" i="1"/>
  <c r="I26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AL26" i="1"/>
  <c r="AM26" i="1"/>
  <c r="AO26" i="1"/>
  <c r="AP26" i="1"/>
  <c r="AR26" i="1"/>
  <c r="AS26" i="1"/>
  <c r="AU26" i="1"/>
  <c r="AV26" i="1"/>
  <c r="AX26" i="1"/>
  <c r="AY26" i="1"/>
  <c r="BA26" i="1"/>
  <c r="BB26" i="1"/>
  <c r="BD26" i="1"/>
  <c r="BE26" i="1"/>
  <c r="BG26" i="1"/>
  <c r="BH26" i="1"/>
  <c r="BJ26" i="1"/>
  <c r="BK26" i="1"/>
  <c r="BM26" i="1"/>
  <c r="BN26" i="1"/>
  <c r="BP26" i="1"/>
  <c r="BQ26" i="1"/>
  <c r="BS26" i="1"/>
  <c r="BT26" i="1"/>
  <c r="BV26" i="1"/>
  <c r="BW26" i="1"/>
  <c r="BY26" i="1"/>
  <c r="BZ26" i="1"/>
  <c r="CB26" i="1"/>
  <c r="CC26" i="1"/>
  <c r="CE26" i="1"/>
  <c r="CF26" i="1"/>
  <c r="CH26" i="1"/>
  <c r="CI26" i="1"/>
  <c r="CK26" i="1"/>
  <c r="CL26" i="1"/>
  <c r="CN26" i="1"/>
  <c r="CO26" i="1"/>
  <c r="CQ26" i="1"/>
  <c r="CR26" i="1"/>
  <c r="CT26" i="1"/>
  <c r="CU26" i="1"/>
  <c r="CW26" i="1"/>
  <c r="CX26" i="1"/>
  <c r="CZ26" i="1"/>
  <c r="DA26" i="1"/>
  <c r="DC26" i="1"/>
  <c r="DD26" i="1"/>
  <c r="DF26" i="1"/>
  <c r="DG26" i="1"/>
  <c r="DI26" i="1"/>
  <c r="DJ26" i="1"/>
  <c r="DL26" i="1"/>
  <c r="DM26" i="1"/>
  <c r="DO26" i="1"/>
  <c r="DP26" i="1"/>
  <c r="DR26" i="1"/>
  <c r="DS26" i="1"/>
  <c r="DU26" i="1"/>
  <c r="DV26" i="1"/>
  <c r="DX26" i="1"/>
  <c r="DY26" i="1"/>
  <c r="EA26" i="1"/>
  <c r="EB26" i="1"/>
  <c r="ED26" i="1"/>
  <c r="EE26" i="1"/>
  <c r="EG26" i="1"/>
  <c r="EH26" i="1"/>
  <c r="EJ26" i="1"/>
  <c r="EK26" i="1"/>
  <c r="EM26" i="1"/>
  <c r="EN26" i="1"/>
  <c r="EP26" i="1"/>
  <c r="EQ26" i="1"/>
  <c r="ES26" i="1"/>
  <c r="L64" i="2"/>
  <c r="R64" i="2"/>
  <c r="S64" i="2"/>
  <c r="U64" i="2"/>
  <c r="V64" i="2"/>
  <c r="X64" i="2"/>
  <c r="Y64" i="2"/>
  <c r="AA64" i="2"/>
  <c r="AB64" i="2"/>
  <c r="AD64" i="2"/>
  <c r="AE64" i="2"/>
  <c r="AG64" i="2"/>
  <c r="AH64" i="2"/>
  <c r="AJ64" i="2"/>
  <c r="AK64" i="2"/>
  <c r="AM64" i="2"/>
  <c r="AN64" i="2"/>
  <c r="AP64" i="2"/>
  <c r="AQ64" i="2"/>
  <c r="AS64" i="2"/>
  <c r="AT64" i="2"/>
  <c r="AV64" i="2"/>
  <c r="AW64" i="2"/>
  <c r="AY64" i="2"/>
  <c r="AZ64" i="2"/>
  <c r="BB64" i="2"/>
  <c r="BC64" i="2"/>
  <c r="BE64" i="2"/>
  <c r="BF64" i="2"/>
  <c r="BH64" i="2"/>
  <c r="BI64" i="2"/>
  <c r="BK64" i="2"/>
  <c r="BL64" i="2"/>
  <c r="BN64" i="2"/>
  <c r="BO64" i="2"/>
  <c r="BQ64" i="2"/>
  <c r="BR64" i="2"/>
  <c r="BT64" i="2"/>
  <c r="BU64" i="2"/>
  <c r="BW64" i="2"/>
  <c r="BX64" i="2"/>
  <c r="BZ64" i="2"/>
  <c r="CA64" i="2"/>
  <c r="CC64" i="2"/>
  <c r="CD64" i="2"/>
  <c r="CF64" i="2"/>
  <c r="CG64" i="2"/>
  <c r="CI64" i="2"/>
  <c r="CJ64" i="2"/>
  <c r="CL64" i="2"/>
  <c r="CM64" i="2"/>
  <c r="CO64" i="2"/>
  <c r="CP64" i="2"/>
  <c r="CR64" i="2"/>
  <c r="CS64" i="2"/>
  <c r="CU64" i="2"/>
  <c r="CV64" i="2"/>
  <c r="CX64" i="2"/>
  <c r="CY64" i="2"/>
  <c r="DA64" i="2"/>
  <c r="DB64" i="2"/>
  <c r="DD64" i="2"/>
  <c r="DE64" i="2"/>
  <c r="DG64" i="2"/>
  <c r="DH64" i="2"/>
  <c r="DJ64" i="2"/>
  <c r="DK64" i="2"/>
  <c r="DM64" i="2"/>
  <c r="DN64" i="2"/>
  <c r="DP64" i="2"/>
  <c r="DQ64" i="2"/>
  <c r="DS64" i="2"/>
  <c r="L69" i="2"/>
  <c r="R69" i="2"/>
  <c r="S69" i="2"/>
  <c r="U69" i="2"/>
  <c r="V69" i="2"/>
  <c r="X69" i="2"/>
  <c r="Y69" i="2"/>
  <c r="AA69" i="2"/>
  <c r="AB69" i="2"/>
  <c r="AD69" i="2"/>
  <c r="AE69" i="2"/>
  <c r="AG69" i="2"/>
  <c r="AH69" i="2"/>
  <c r="AJ69" i="2"/>
  <c r="AK69" i="2"/>
  <c r="AM69" i="2"/>
  <c r="AN69" i="2"/>
  <c r="AP69" i="2"/>
  <c r="AQ69" i="2"/>
  <c r="AS69" i="2"/>
  <c r="AT69" i="2"/>
  <c r="AV69" i="2"/>
  <c r="AW69" i="2"/>
  <c r="AY69" i="2"/>
  <c r="AZ69" i="2"/>
  <c r="BB69" i="2"/>
  <c r="BC69" i="2"/>
  <c r="BE69" i="2"/>
  <c r="BF69" i="2"/>
  <c r="BH69" i="2"/>
  <c r="BI69" i="2"/>
  <c r="BK69" i="2"/>
  <c r="BL69" i="2"/>
  <c r="BN69" i="2"/>
  <c r="BO69" i="2"/>
  <c r="BQ69" i="2"/>
  <c r="BR69" i="2"/>
  <c r="BT69" i="2"/>
  <c r="BU69" i="2"/>
  <c r="BW69" i="2"/>
  <c r="BX69" i="2"/>
  <c r="BZ69" i="2"/>
  <c r="CA69" i="2"/>
  <c r="CC69" i="2"/>
  <c r="CD69" i="2"/>
  <c r="CF69" i="2"/>
  <c r="CG69" i="2"/>
  <c r="CI69" i="2"/>
  <c r="CJ69" i="2"/>
  <c r="CL69" i="2"/>
  <c r="CM69" i="2"/>
  <c r="CO69" i="2"/>
  <c r="CP69" i="2"/>
  <c r="CR69" i="2"/>
  <c r="CS69" i="2"/>
  <c r="CU69" i="2"/>
  <c r="CV69" i="2"/>
  <c r="CX69" i="2"/>
  <c r="CY69" i="2"/>
  <c r="DA69" i="2"/>
  <c r="DB69" i="2"/>
  <c r="DD69" i="2"/>
  <c r="DE69" i="2"/>
  <c r="DG69" i="2"/>
  <c r="DH69" i="2"/>
  <c r="DJ69" i="2"/>
  <c r="DK69" i="2"/>
  <c r="DM69" i="2"/>
  <c r="DN69" i="2"/>
  <c r="DP69" i="2"/>
  <c r="DQ69" i="2"/>
  <c r="DS69" i="2"/>
  <c r="L71" i="2"/>
  <c r="R71" i="2"/>
  <c r="S71" i="2"/>
  <c r="U71" i="2"/>
  <c r="V71" i="2"/>
  <c r="X71" i="2"/>
  <c r="Y71" i="2"/>
  <c r="AA71" i="2"/>
  <c r="AB71" i="2"/>
  <c r="AD71" i="2"/>
  <c r="AE71" i="2"/>
  <c r="AG71" i="2"/>
  <c r="AH71" i="2"/>
  <c r="AJ71" i="2"/>
  <c r="AK71" i="2"/>
  <c r="AM71" i="2"/>
  <c r="AN71" i="2"/>
  <c r="AP71" i="2"/>
  <c r="AQ71" i="2"/>
  <c r="AS71" i="2"/>
  <c r="AT71" i="2"/>
  <c r="AV71" i="2"/>
  <c r="AW71" i="2"/>
  <c r="AY71" i="2"/>
  <c r="AZ71" i="2"/>
  <c r="BB71" i="2"/>
  <c r="BC71" i="2"/>
  <c r="BE71" i="2"/>
  <c r="BF71" i="2"/>
  <c r="BH71" i="2"/>
  <c r="BI71" i="2"/>
  <c r="BK71" i="2"/>
  <c r="BL71" i="2"/>
  <c r="BN71" i="2"/>
  <c r="BO71" i="2"/>
  <c r="BQ71" i="2"/>
  <c r="BR71" i="2"/>
  <c r="BT71" i="2"/>
  <c r="BU71" i="2"/>
  <c r="BW71" i="2"/>
  <c r="BX71" i="2"/>
  <c r="BZ71" i="2"/>
  <c r="CA71" i="2"/>
  <c r="CC71" i="2"/>
  <c r="CD71" i="2"/>
  <c r="CF71" i="2"/>
  <c r="CG71" i="2"/>
  <c r="CI71" i="2"/>
  <c r="CJ71" i="2"/>
  <c r="CL71" i="2"/>
  <c r="CM71" i="2"/>
  <c r="CO71" i="2"/>
  <c r="CP71" i="2"/>
  <c r="CR71" i="2"/>
  <c r="CS71" i="2"/>
  <c r="CU71" i="2"/>
  <c r="CV71" i="2"/>
  <c r="CX71" i="2"/>
  <c r="CY71" i="2"/>
  <c r="DA71" i="2"/>
  <c r="DB71" i="2"/>
  <c r="DD71" i="2"/>
  <c r="DE71" i="2"/>
  <c r="DG71" i="2"/>
  <c r="DH71" i="2"/>
  <c r="DJ71" i="2"/>
  <c r="DK71" i="2"/>
  <c r="DM71" i="2"/>
  <c r="DN71" i="2"/>
  <c r="DP71" i="2"/>
  <c r="DQ71" i="2"/>
  <c r="DS71" i="2"/>
  <c r="L81" i="2"/>
  <c r="R81" i="2"/>
  <c r="S81" i="2"/>
  <c r="U81" i="2"/>
  <c r="V81" i="2"/>
  <c r="X81" i="2"/>
  <c r="Y81" i="2"/>
  <c r="AA81" i="2"/>
  <c r="AB81" i="2"/>
  <c r="AD81" i="2"/>
  <c r="AE81" i="2"/>
  <c r="AG81" i="2"/>
  <c r="AH81" i="2"/>
  <c r="AJ81" i="2"/>
  <c r="AK81" i="2"/>
  <c r="AM81" i="2"/>
  <c r="AN81" i="2"/>
  <c r="AP81" i="2"/>
  <c r="AQ81" i="2"/>
  <c r="AS81" i="2"/>
  <c r="AT81" i="2"/>
  <c r="AV81" i="2"/>
  <c r="AW81" i="2"/>
  <c r="AY81" i="2"/>
  <c r="AZ81" i="2"/>
  <c r="BB81" i="2"/>
  <c r="BC81" i="2"/>
  <c r="BE81" i="2"/>
  <c r="BF81" i="2"/>
  <c r="BH81" i="2"/>
  <c r="BI81" i="2"/>
  <c r="BK81" i="2"/>
  <c r="BL81" i="2"/>
  <c r="BN81" i="2"/>
  <c r="BO81" i="2"/>
  <c r="BQ81" i="2"/>
  <c r="BR81" i="2"/>
  <c r="BT81" i="2"/>
  <c r="BU81" i="2"/>
  <c r="BW81" i="2"/>
  <c r="BX81" i="2"/>
  <c r="BZ81" i="2"/>
  <c r="CA81" i="2"/>
  <c r="CC81" i="2"/>
  <c r="CD81" i="2"/>
  <c r="CF81" i="2"/>
  <c r="CG81" i="2"/>
  <c r="CI81" i="2"/>
  <c r="CJ81" i="2"/>
  <c r="CL81" i="2"/>
  <c r="CM81" i="2"/>
  <c r="CO81" i="2"/>
  <c r="CP81" i="2"/>
  <c r="CR81" i="2"/>
  <c r="CS81" i="2"/>
  <c r="CU81" i="2"/>
  <c r="CV81" i="2"/>
  <c r="CX81" i="2"/>
  <c r="CY81" i="2"/>
  <c r="DA81" i="2"/>
  <c r="DB81" i="2"/>
  <c r="DD81" i="2"/>
  <c r="DE81" i="2"/>
  <c r="DG81" i="2"/>
  <c r="DH81" i="2"/>
  <c r="DJ81" i="2"/>
  <c r="DK81" i="2"/>
  <c r="DM81" i="2"/>
  <c r="DN81" i="2"/>
  <c r="DP81" i="2"/>
  <c r="DQ81" i="2"/>
  <c r="DS81" i="2"/>
  <c r="L82" i="2"/>
  <c r="R82" i="2"/>
  <c r="S82" i="2"/>
  <c r="U82" i="2"/>
  <c r="V82" i="2"/>
  <c r="X82" i="2"/>
  <c r="Y82" i="2"/>
  <c r="AA82" i="2"/>
  <c r="AB82" i="2"/>
  <c r="AD82" i="2"/>
  <c r="AE82" i="2"/>
  <c r="AG82" i="2"/>
  <c r="AH82" i="2"/>
  <c r="AJ82" i="2"/>
  <c r="AK82" i="2"/>
  <c r="AM82" i="2"/>
  <c r="AN82" i="2"/>
  <c r="AP82" i="2"/>
  <c r="AQ82" i="2"/>
  <c r="AS82" i="2"/>
  <c r="AT82" i="2"/>
  <c r="AV82" i="2"/>
  <c r="AW82" i="2"/>
  <c r="AY82" i="2"/>
  <c r="AZ82" i="2"/>
  <c r="BB82" i="2"/>
  <c r="BC82" i="2"/>
  <c r="BE82" i="2"/>
  <c r="BF82" i="2"/>
  <c r="BH82" i="2"/>
  <c r="BI82" i="2"/>
  <c r="BK82" i="2"/>
  <c r="BL82" i="2"/>
  <c r="BN82" i="2"/>
  <c r="BO82" i="2"/>
  <c r="BQ82" i="2"/>
  <c r="BR82" i="2"/>
  <c r="BT82" i="2"/>
  <c r="BU82" i="2"/>
  <c r="BW82" i="2"/>
  <c r="BX82" i="2"/>
  <c r="BZ82" i="2"/>
  <c r="CA82" i="2"/>
  <c r="CC82" i="2"/>
  <c r="CD82" i="2"/>
  <c r="CF82" i="2"/>
  <c r="CG82" i="2"/>
  <c r="CI82" i="2"/>
  <c r="CJ82" i="2"/>
  <c r="CL82" i="2"/>
  <c r="CM82" i="2"/>
  <c r="CO82" i="2"/>
  <c r="CP82" i="2"/>
  <c r="CR82" i="2"/>
  <c r="CS82" i="2"/>
  <c r="CU82" i="2"/>
  <c r="CV82" i="2"/>
  <c r="CX82" i="2"/>
  <c r="CY82" i="2"/>
  <c r="DA82" i="2"/>
  <c r="DB82" i="2"/>
  <c r="DD82" i="2"/>
  <c r="DE82" i="2"/>
  <c r="DG82" i="2"/>
  <c r="DH82" i="2"/>
  <c r="DJ82" i="2"/>
  <c r="DK82" i="2"/>
  <c r="DM82" i="2"/>
  <c r="DN82" i="2"/>
  <c r="DP82" i="2"/>
  <c r="DQ82" i="2"/>
  <c r="DS82" i="2"/>
  <c r="L89" i="2"/>
  <c r="R89" i="2"/>
  <c r="S89" i="2"/>
  <c r="U89" i="2"/>
  <c r="V89" i="2"/>
  <c r="X89" i="2"/>
  <c r="Y89" i="2"/>
  <c r="AA89" i="2"/>
  <c r="AB89" i="2"/>
  <c r="AD89" i="2"/>
  <c r="AE89" i="2"/>
  <c r="AG89" i="2"/>
  <c r="AH89" i="2"/>
  <c r="AJ89" i="2"/>
  <c r="AK89" i="2"/>
  <c r="AM89" i="2"/>
  <c r="AN89" i="2"/>
  <c r="AP89" i="2"/>
  <c r="AQ89" i="2"/>
  <c r="AS89" i="2"/>
  <c r="AT89" i="2"/>
  <c r="AV89" i="2"/>
  <c r="AW89" i="2"/>
  <c r="AY89" i="2"/>
  <c r="AZ89" i="2"/>
  <c r="BB89" i="2"/>
  <c r="BC89" i="2"/>
  <c r="BE89" i="2"/>
  <c r="BF89" i="2"/>
  <c r="BH89" i="2"/>
  <c r="BI89" i="2"/>
  <c r="BK89" i="2"/>
  <c r="BL89" i="2"/>
  <c r="BN89" i="2"/>
  <c r="BO89" i="2"/>
  <c r="BQ89" i="2"/>
  <c r="BR89" i="2"/>
  <c r="BT89" i="2"/>
  <c r="BU89" i="2"/>
  <c r="BW89" i="2"/>
  <c r="BX89" i="2"/>
  <c r="BZ89" i="2"/>
  <c r="CA89" i="2"/>
  <c r="CC89" i="2"/>
  <c r="CD89" i="2"/>
  <c r="CF89" i="2"/>
  <c r="CG89" i="2"/>
  <c r="CI89" i="2"/>
  <c r="CJ89" i="2"/>
  <c r="CL89" i="2"/>
  <c r="CM89" i="2"/>
  <c r="CO89" i="2"/>
  <c r="CP89" i="2"/>
  <c r="CR89" i="2"/>
  <c r="CS89" i="2"/>
  <c r="CU89" i="2"/>
  <c r="CV89" i="2"/>
  <c r="CX89" i="2"/>
  <c r="CY89" i="2"/>
  <c r="DA89" i="2"/>
  <c r="DB89" i="2"/>
  <c r="DD89" i="2"/>
  <c r="DE89" i="2"/>
  <c r="DG89" i="2"/>
  <c r="DH89" i="2"/>
  <c r="DJ89" i="2"/>
  <c r="DK89" i="2"/>
  <c r="DM89" i="2"/>
  <c r="DN89" i="2"/>
  <c r="DP89" i="2"/>
  <c r="DQ89" i="2"/>
  <c r="DS89" i="2"/>
  <c r="L90" i="2"/>
  <c r="R90" i="2"/>
  <c r="S90" i="2"/>
  <c r="U90" i="2"/>
  <c r="V90" i="2"/>
  <c r="X90" i="2"/>
  <c r="Y90" i="2"/>
  <c r="AA90" i="2"/>
  <c r="AB90" i="2"/>
  <c r="AD90" i="2"/>
  <c r="AE90" i="2"/>
  <c r="AG90" i="2"/>
  <c r="AH90" i="2"/>
  <c r="AJ90" i="2"/>
  <c r="AK90" i="2"/>
  <c r="AM90" i="2"/>
  <c r="AN90" i="2"/>
  <c r="AP90" i="2"/>
  <c r="AQ90" i="2"/>
  <c r="AS90" i="2"/>
  <c r="AT90" i="2"/>
  <c r="AV90" i="2"/>
  <c r="AW90" i="2"/>
  <c r="AY90" i="2"/>
  <c r="AZ90" i="2"/>
  <c r="BB90" i="2"/>
  <c r="BC90" i="2"/>
  <c r="BE90" i="2"/>
  <c r="BF90" i="2"/>
  <c r="BH90" i="2"/>
  <c r="BI90" i="2"/>
  <c r="BK90" i="2"/>
  <c r="BL90" i="2"/>
  <c r="BN90" i="2"/>
  <c r="BO90" i="2"/>
  <c r="BQ90" i="2"/>
  <c r="BR90" i="2"/>
  <c r="BT90" i="2"/>
  <c r="BU90" i="2"/>
  <c r="BW90" i="2"/>
  <c r="BX90" i="2"/>
  <c r="BZ90" i="2"/>
  <c r="CA90" i="2"/>
  <c r="CC90" i="2"/>
  <c r="CD90" i="2"/>
  <c r="CF90" i="2"/>
  <c r="CG90" i="2"/>
  <c r="CI90" i="2"/>
  <c r="CJ90" i="2"/>
  <c r="CL90" i="2"/>
  <c r="CM90" i="2"/>
  <c r="CO90" i="2"/>
  <c r="CP90" i="2"/>
  <c r="CR90" i="2"/>
  <c r="CS90" i="2"/>
  <c r="CU90" i="2"/>
  <c r="CV90" i="2"/>
  <c r="CX90" i="2"/>
  <c r="CY90" i="2"/>
  <c r="DA90" i="2"/>
  <c r="DB90" i="2"/>
  <c r="DD90" i="2"/>
  <c r="DE90" i="2"/>
  <c r="DG90" i="2"/>
  <c r="DH90" i="2"/>
  <c r="DJ90" i="2"/>
  <c r="DK90" i="2"/>
  <c r="DM90" i="2"/>
  <c r="DN90" i="2"/>
  <c r="DP90" i="2"/>
  <c r="DQ90" i="2"/>
  <c r="DS90" i="2"/>
  <c r="L96" i="2"/>
  <c r="R96" i="2"/>
  <c r="S96" i="2"/>
  <c r="U96" i="2"/>
  <c r="V96" i="2"/>
  <c r="X96" i="2"/>
  <c r="Y96" i="2"/>
  <c r="AA96" i="2"/>
  <c r="AB96" i="2"/>
  <c r="AD96" i="2"/>
  <c r="AE96" i="2"/>
  <c r="AG96" i="2"/>
  <c r="AH96" i="2"/>
  <c r="AJ96" i="2"/>
  <c r="AK96" i="2"/>
  <c r="AM96" i="2"/>
  <c r="AN96" i="2"/>
  <c r="AP96" i="2"/>
  <c r="AQ96" i="2"/>
  <c r="AS96" i="2"/>
  <c r="AT96" i="2"/>
  <c r="AV96" i="2"/>
  <c r="AW96" i="2"/>
  <c r="AY96" i="2"/>
  <c r="AZ96" i="2"/>
  <c r="BB96" i="2"/>
  <c r="BC96" i="2"/>
  <c r="BE96" i="2"/>
  <c r="BF96" i="2"/>
  <c r="BH96" i="2"/>
  <c r="BI96" i="2"/>
  <c r="BK96" i="2"/>
  <c r="BL96" i="2"/>
  <c r="BN96" i="2"/>
  <c r="BO96" i="2"/>
  <c r="BQ96" i="2"/>
  <c r="BR96" i="2"/>
  <c r="BT96" i="2"/>
  <c r="BU96" i="2"/>
  <c r="BW96" i="2"/>
  <c r="BX96" i="2"/>
  <c r="BZ96" i="2"/>
  <c r="CA96" i="2"/>
  <c r="CC96" i="2"/>
  <c r="CD96" i="2"/>
  <c r="CF96" i="2"/>
  <c r="CG96" i="2"/>
  <c r="CI96" i="2"/>
  <c r="CJ96" i="2"/>
  <c r="CL96" i="2"/>
  <c r="CM96" i="2"/>
  <c r="CO96" i="2"/>
  <c r="CP96" i="2"/>
  <c r="CR96" i="2"/>
  <c r="CS96" i="2"/>
  <c r="CU96" i="2"/>
  <c r="CV96" i="2"/>
  <c r="CX96" i="2"/>
  <c r="CY96" i="2"/>
  <c r="DA96" i="2"/>
  <c r="DB96" i="2"/>
  <c r="DD96" i="2"/>
  <c r="DE96" i="2"/>
  <c r="DG96" i="2"/>
  <c r="DH96" i="2"/>
  <c r="DJ96" i="2"/>
  <c r="DK96" i="2"/>
  <c r="DM96" i="2"/>
  <c r="DN96" i="2"/>
  <c r="DP96" i="2"/>
  <c r="DQ96" i="2"/>
  <c r="DS96" i="2"/>
  <c r="L97" i="2"/>
  <c r="R97" i="2"/>
  <c r="S97" i="2"/>
  <c r="U97" i="2"/>
  <c r="V97" i="2"/>
  <c r="X97" i="2"/>
  <c r="Y97" i="2"/>
  <c r="AA97" i="2"/>
  <c r="AB97" i="2"/>
  <c r="AD97" i="2"/>
  <c r="AE97" i="2"/>
  <c r="AG97" i="2"/>
  <c r="AH97" i="2"/>
  <c r="AJ97" i="2"/>
  <c r="AK97" i="2"/>
  <c r="AM97" i="2"/>
  <c r="AN97" i="2"/>
  <c r="AP97" i="2"/>
  <c r="AQ97" i="2"/>
  <c r="AS97" i="2"/>
  <c r="AT97" i="2"/>
  <c r="AV97" i="2"/>
  <c r="AW97" i="2"/>
  <c r="AY97" i="2"/>
  <c r="AZ97" i="2"/>
  <c r="BB97" i="2"/>
  <c r="BC97" i="2"/>
  <c r="BE97" i="2"/>
  <c r="BF97" i="2"/>
  <c r="BH97" i="2"/>
  <c r="BI97" i="2"/>
  <c r="BK97" i="2"/>
  <c r="BL97" i="2"/>
  <c r="BN97" i="2"/>
  <c r="BO97" i="2"/>
  <c r="BQ97" i="2"/>
  <c r="BR97" i="2"/>
  <c r="BT97" i="2"/>
  <c r="BU97" i="2"/>
  <c r="BW97" i="2"/>
  <c r="BX97" i="2"/>
  <c r="BZ97" i="2"/>
  <c r="CA97" i="2"/>
  <c r="CC97" i="2"/>
  <c r="CD97" i="2"/>
  <c r="CF97" i="2"/>
  <c r="CG97" i="2"/>
  <c r="CI97" i="2"/>
  <c r="CJ97" i="2"/>
  <c r="CL97" i="2"/>
  <c r="CM97" i="2"/>
  <c r="CO97" i="2"/>
  <c r="CP97" i="2"/>
  <c r="CR97" i="2"/>
  <c r="CS97" i="2"/>
  <c r="CU97" i="2"/>
  <c r="CV97" i="2"/>
  <c r="CX97" i="2"/>
  <c r="CY97" i="2"/>
  <c r="DA97" i="2"/>
  <c r="DB97" i="2"/>
  <c r="DD97" i="2"/>
  <c r="DE97" i="2"/>
  <c r="DG97" i="2"/>
  <c r="DH97" i="2"/>
  <c r="DJ97" i="2"/>
  <c r="DK97" i="2"/>
  <c r="DM97" i="2"/>
  <c r="DN97" i="2"/>
  <c r="DP97" i="2"/>
  <c r="DQ97" i="2"/>
  <c r="DS97" i="2"/>
  <c r="R105" i="2"/>
  <c r="R106" i="2" s="1"/>
  <c r="U105" i="2"/>
  <c r="U106" i="2" s="1"/>
  <c r="U107" i="2" s="1"/>
  <c r="X105" i="2"/>
  <c r="X106" i="2" s="1"/>
  <c r="X107" i="2" s="1"/>
  <c r="AA105" i="2"/>
  <c r="AD105" i="2"/>
  <c r="AG105" i="2"/>
  <c r="AJ105" i="2"/>
  <c r="AM105" i="2"/>
  <c r="AM106" i="2" s="1"/>
  <c r="AP105" i="2"/>
  <c r="AP106" i="2" s="1"/>
  <c r="AS105" i="2"/>
  <c r="AS106" i="2" s="1"/>
  <c r="AS107" i="2" s="1"/>
  <c r="AV105" i="2"/>
  <c r="AY105" i="2"/>
  <c r="L106" i="2"/>
  <c r="L107" i="2" s="1"/>
  <c r="S106" i="2"/>
  <c r="V106" i="2"/>
  <c r="V107" i="2" s="1"/>
  <c r="Y106" i="2"/>
  <c r="AA106" i="2"/>
  <c r="AB106" i="2"/>
  <c r="AB107" i="2" s="1"/>
  <c r="AD106" i="2"/>
  <c r="AE106" i="2"/>
  <c r="AG106" i="2"/>
  <c r="AG107" i="2" s="1"/>
  <c r="AH106" i="2"/>
  <c r="AH107" i="2" s="1"/>
  <c r="AJ106" i="2"/>
  <c r="AJ107" i="2" s="1"/>
  <c r="AK106" i="2"/>
  <c r="AK107" i="2" s="1"/>
  <c r="AN106" i="2"/>
  <c r="AN107" i="2" s="1"/>
  <c r="AQ106" i="2"/>
  <c r="AT106" i="2"/>
  <c r="AT107" i="2" s="1"/>
  <c r="AV106" i="2"/>
  <c r="AV107" i="2" s="1"/>
  <c r="AW106" i="2"/>
  <c r="AW107" i="2" s="1"/>
  <c r="AY106" i="2"/>
  <c r="BB106" i="2"/>
  <c r="BB107" i="2" s="1"/>
  <c r="BC106" i="2"/>
  <c r="BE106" i="2"/>
  <c r="BF106" i="2"/>
  <c r="BH106" i="2"/>
  <c r="BI106" i="2"/>
  <c r="BI107" i="2" s="1"/>
  <c r="BK106" i="2"/>
  <c r="BK107" i="2" s="1"/>
  <c r="BL106" i="2"/>
  <c r="BN106" i="2"/>
  <c r="BN107" i="2" s="1"/>
  <c r="BO106" i="2"/>
  <c r="BQ106" i="2"/>
  <c r="BR106" i="2"/>
  <c r="BT106" i="2"/>
  <c r="BT107" i="2" s="1"/>
  <c r="BU106" i="2"/>
  <c r="BU107" i="2" s="1"/>
  <c r="BW106" i="2"/>
  <c r="BW107" i="2" s="1"/>
  <c r="BX106" i="2"/>
  <c r="BZ106" i="2"/>
  <c r="BZ107" i="2" s="1"/>
  <c r="CA106" i="2"/>
  <c r="CC106" i="2"/>
  <c r="CC107" i="2" s="1"/>
  <c r="CD106" i="2"/>
  <c r="CF106" i="2"/>
  <c r="CF107" i="2" s="1"/>
  <c r="CG106" i="2"/>
  <c r="CG107" i="2" s="1"/>
  <c r="CI106" i="2"/>
  <c r="CJ106" i="2"/>
  <c r="CL106" i="2"/>
  <c r="CL107" i="2" s="1"/>
  <c r="CM106" i="2"/>
  <c r="CO106" i="2"/>
  <c r="CP106" i="2"/>
  <c r="CR106" i="2"/>
  <c r="CS106" i="2"/>
  <c r="CS107" i="2" s="1"/>
  <c r="CU106" i="2"/>
  <c r="CU107" i="2" s="1"/>
  <c r="CV106" i="2"/>
  <c r="CX106" i="2"/>
  <c r="CY106" i="2"/>
  <c r="DA106" i="2"/>
  <c r="DB106" i="2"/>
  <c r="DD106" i="2"/>
  <c r="DD107" i="2" s="1"/>
  <c r="DE106" i="2"/>
  <c r="DE107" i="2" s="1"/>
  <c r="DG106" i="2"/>
  <c r="DG107" i="2" s="1"/>
  <c r="DH106" i="2"/>
  <c r="DJ106" i="2"/>
  <c r="DK106" i="2"/>
  <c r="DM106" i="2"/>
  <c r="DN106" i="2"/>
  <c r="DP106" i="2"/>
  <c r="DP107" i="2" s="1"/>
  <c r="DQ106" i="2"/>
  <c r="DQ107" i="2" s="1"/>
  <c r="DS106" i="2"/>
  <c r="DS107" i="2" s="1"/>
  <c r="R107" i="2"/>
  <c r="S107" i="2"/>
  <c r="Y107" i="2"/>
  <c r="AA107" i="2"/>
  <c r="AD107" i="2"/>
  <c r="AE107" i="2"/>
  <c r="AM107" i="2"/>
  <c r="AP107" i="2"/>
  <c r="AQ107" i="2"/>
  <c r="AY107" i="2"/>
  <c r="BC107" i="2"/>
  <c r="BE107" i="2"/>
  <c r="BF107" i="2"/>
  <c r="BH107" i="2"/>
  <c r="BL107" i="2"/>
  <c r="BO107" i="2"/>
  <c r="BQ107" i="2"/>
  <c r="BR107" i="2"/>
  <c r="BX107" i="2"/>
  <c r="CA107" i="2"/>
  <c r="CD107" i="2"/>
  <c r="CI107" i="2"/>
  <c r="CJ107" i="2"/>
  <c r="CM107" i="2"/>
  <c r="CO107" i="2"/>
  <c r="CP107" i="2"/>
  <c r="CR107" i="2"/>
  <c r="CV107" i="2"/>
  <c r="CX107" i="2"/>
  <c r="CY107" i="2"/>
  <c r="DA107" i="2"/>
  <c r="DB107" i="2"/>
  <c r="DH107" i="2"/>
  <c r="DJ107" i="2"/>
  <c r="DK107" i="2"/>
  <c r="DM107" i="2"/>
  <c r="DN107" i="2"/>
  <c r="AA138" i="2"/>
  <c r="AD138" i="2"/>
  <c r="AG138" i="2"/>
  <c r="AJ138" i="2"/>
  <c r="AJ139" i="2" s="1"/>
  <c r="AJ169" i="2" s="1"/>
  <c r="AM138" i="2"/>
  <c r="AP138" i="2"/>
  <c r="AP139" i="2" s="1"/>
  <c r="AS138" i="2"/>
  <c r="AS139" i="2" s="1"/>
  <c r="AS169" i="2" s="1"/>
  <c r="L139" i="2"/>
  <c r="R139" i="2"/>
  <c r="S139" i="2"/>
  <c r="U139" i="2"/>
  <c r="V139" i="2"/>
  <c r="X139" i="2"/>
  <c r="Y139" i="2"/>
  <c r="Y169" i="2" s="1"/>
  <c r="AA139" i="2"/>
  <c r="AB139" i="2"/>
  <c r="AD139" i="2"/>
  <c r="AE139" i="2"/>
  <c r="AG139" i="2"/>
  <c r="AH139" i="2"/>
  <c r="AK139" i="2"/>
  <c r="AK169" i="2" s="1"/>
  <c r="AM139" i="2"/>
  <c r="AM169" i="2" s="1"/>
  <c r="AN139" i="2"/>
  <c r="AQ139" i="2"/>
  <c r="AT139" i="2"/>
  <c r="AV139" i="2"/>
  <c r="AW139" i="2"/>
  <c r="AW169" i="2" s="1"/>
  <c r="AY139" i="2"/>
  <c r="AZ139" i="2"/>
  <c r="BB139" i="2"/>
  <c r="BB169" i="2" s="1"/>
  <c r="BC139" i="2"/>
  <c r="BE139" i="2"/>
  <c r="BF139" i="2"/>
  <c r="BH139" i="2"/>
  <c r="BI139" i="2"/>
  <c r="BK139" i="2"/>
  <c r="BL139" i="2"/>
  <c r="BN139" i="2"/>
  <c r="BO139" i="2"/>
  <c r="BQ139" i="2"/>
  <c r="BR139" i="2"/>
  <c r="BT139" i="2"/>
  <c r="BU139" i="2"/>
  <c r="BW139" i="2"/>
  <c r="BX139" i="2"/>
  <c r="BZ139" i="2"/>
  <c r="CA139" i="2"/>
  <c r="CC139" i="2"/>
  <c r="CD139" i="2"/>
  <c r="CF139" i="2"/>
  <c r="CG139" i="2"/>
  <c r="CI139" i="2"/>
  <c r="CJ139" i="2"/>
  <c r="CL139" i="2"/>
  <c r="CM139" i="2"/>
  <c r="CO139" i="2"/>
  <c r="CP139" i="2"/>
  <c r="CR139" i="2"/>
  <c r="CS139" i="2"/>
  <c r="CU139" i="2"/>
  <c r="CV139" i="2"/>
  <c r="CX139" i="2"/>
  <c r="CY139" i="2"/>
  <c r="DA139" i="2"/>
  <c r="DB139" i="2"/>
  <c r="DD139" i="2"/>
  <c r="DE139" i="2"/>
  <c r="DG139" i="2"/>
  <c r="DH139" i="2"/>
  <c r="DJ139" i="2"/>
  <c r="DK139" i="2"/>
  <c r="DM139" i="2"/>
  <c r="DN139" i="2"/>
  <c r="DP139" i="2"/>
  <c r="DQ139" i="2"/>
  <c r="DS139" i="2"/>
  <c r="L141" i="2"/>
  <c r="R141" i="2"/>
  <c r="S141" i="2"/>
  <c r="U141" i="2"/>
  <c r="V141" i="2"/>
  <c r="X141" i="2"/>
  <c r="Y141" i="2"/>
  <c r="AA141" i="2"/>
  <c r="AB141" i="2"/>
  <c r="AD141" i="2"/>
  <c r="AE141" i="2"/>
  <c r="AG141" i="2"/>
  <c r="AH141" i="2"/>
  <c r="AJ141" i="2"/>
  <c r="AK141" i="2"/>
  <c r="AM141" i="2"/>
  <c r="AN141" i="2"/>
  <c r="AP141" i="2"/>
  <c r="AQ141" i="2"/>
  <c r="AS141" i="2"/>
  <c r="AT141" i="2"/>
  <c r="AV141" i="2"/>
  <c r="AW141" i="2"/>
  <c r="AY141" i="2"/>
  <c r="AZ141" i="2"/>
  <c r="BB141" i="2"/>
  <c r="BC141" i="2"/>
  <c r="BE141" i="2"/>
  <c r="BF141" i="2"/>
  <c r="BH141" i="2"/>
  <c r="BI141" i="2"/>
  <c r="BK141" i="2"/>
  <c r="BL141" i="2"/>
  <c r="BN141" i="2"/>
  <c r="BO141" i="2"/>
  <c r="BQ141" i="2"/>
  <c r="BR141" i="2"/>
  <c r="BT141" i="2"/>
  <c r="BU141" i="2"/>
  <c r="BW141" i="2"/>
  <c r="BX141" i="2"/>
  <c r="BZ141" i="2"/>
  <c r="CA141" i="2"/>
  <c r="CC141" i="2"/>
  <c r="CD141" i="2"/>
  <c r="CF141" i="2"/>
  <c r="CG141" i="2"/>
  <c r="CI141" i="2"/>
  <c r="CJ141" i="2"/>
  <c r="CL141" i="2"/>
  <c r="CM141" i="2"/>
  <c r="CO141" i="2"/>
  <c r="CP141" i="2"/>
  <c r="CR141" i="2"/>
  <c r="CS141" i="2"/>
  <c r="CU141" i="2"/>
  <c r="CV141" i="2"/>
  <c r="CX141" i="2"/>
  <c r="CY141" i="2"/>
  <c r="DA141" i="2"/>
  <c r="DB141" i="2"/>
  <c r="DD141" i="2"/>
  <c r="DE141" i="2"/>
  <c r="DG141" i="2"/>
  <c r="DH141" i="2"/>
  <c r="DJ141" i="2"/>
  <c r="DK141" i="2"/>
  <c r="DM141" i="2"/>
  <c r="DN141" i="2"/>
  <c r="DP141" i="2"/>
  <c r="DQ141" i="2"/>
  <c r="DS141" i="2"/>
  <c r="L157" i="2"/>
  <c r="R157" i="2"/>
  <c r="S157" i="2"/>
  <c r="U157" i="2"/>
  <c r="V157" i="2"/>
  <c r="X157" i="2"/>
  <c r="Y157" i="2"/>
  <c r="AA157" i="2"/>
  <c r="AB157" i="2"/>
  <c r="AD157" i="2"/>
  <c r="AE157" i="2"/>
  <c r="AG157" i="2"/>
  <c r="AH157" i="2"/>
  <c r="AJ157" i="2"/>
  <c r="AK157" i="2"/>
  <c r="AM157" i="2"/>
  <c r="AN157" i="2"/>
  <c r="AP157" i="2"/>
  <c r="AQ157" i="2"/>
  <c r="AS157" i="2"/>
  <c r="AT157" i="2"/>
  <c r="AV157" i="2"/>
  <c r="AW157" i="2"/>
  <c r="AY157" i="2"/>
  <c r="AZ157" i="2"/>
  <c r="BB157" i="2"/>
  <c r="BC157" i="2"/>
  <c r="BE157" i="2"/>
  <c r="BF157" i="2"/>
  <c r="BH157" i="2"/>
  <c r="BI157" i="2"/>
  <c r="BK157" i="2"/>
  <c r="BL157" i="2"/>
  <c r="BN157" i="2"/>
  <c r="BO157" i="2"/>
  <c r="BQ157" i="2"/>
  <c r="BR157" i="2"/>
  <c r="BT157" i="2"/>
  <c r="BU157" i="2"/>
  <c r="BW157" i="2"/>
  <c r="BX157" i="2"/>
  <c r="BZ157" i="2"/>
  <c r="CA157" i="2"/>
  <c r="CC157" i="2"/>
  <c r="CD157" i="2"/>
  <c r="CF157" i="2"/>
  <c r="CG157" i="2"/>
  <c r="CI157" i="2"/>
  <c r="CJ157" i="2"/>
  <c r="CL157" i="2"/>
  <c r="CM157" i="2"/>
  <c r="CO157" i="2"/>
  <c r="CP157" i="2"/>
  <c r="CR157" i="2"/>
  <c r="CS157" i="2"/>
  <c r="CU157" i="2"/>
  <c r="CV157" i="2"/>
  <c r="CX157" i="2"/>
  <c r="CY157" i="2"/>
  <c r="DA157" i="2"/>
  <c r="DB157" i="2"/>
  <c r="DD157" i="2"/>
  <c r="DE157" i="2"/>
  <c r="DG157" i="2"/>
  <c r="DH157" i="2"/>
  <c r="DJ157" i="2"/>
  <c r="DK157" i="2"/>
  <c r="DM157" i="2"/>
  <c r="DN157" i="2"/>
  <c r="DP157" i="2"/>
  <c r="DQ157" i="2"/>
  <c r="DS157" i="2"/>
  <c r="L166" i="2"/>
  <c r="R166" i="2"/>
  <c r="S166" i="2"/>
  <c r="U166" i="2"/>
  <c r="V166" i="2"/>
  <c r="X166" i="2"/>
  <c r="Y166" i="2"/>
  <c r="AA166" i="2"/>
  <c r="AB166" i="2"/>
  <c r="AD166" i="2"/>
  <c r="AE166" i="2"/>
  <c r="AG166" i="2"/>
  <c r="AH166" i="2"/>
  <c r="AJ166" i="2"/>
  <c r="AK166" i="2"/>
  <c r="AM166" i="2"/>
  <c r="AN166" i="2"/>
  <c r="AP166" i="2"/>
  <c r="AQ166" i="2"/>
  <c r="AS166" i="2"/>
  <c r="AT166" i="2"/>
  <c r="AV166" i="2"/>
  <c r="AW166" i="2"/>
  <c r="AY166" i="2"/>
  <c r="AZ166" i="2"/>
  <c r="BB166" i="2"/>
  <c r="BC166" i="2"/>
  <c r="BE166" i="2"/>
  <c r="BF166" i="2"/>
  <c r="BH166" i="2"/>
  <c r="BI166" i="2"/>
  <c r="BK166" i="2"/>
  <c r="BL166" i="2"/>
  <c r="BN166" i="2"/>
  <c r="BO166" i="2"/>
  <c r="BQ166" i="2"/>
  <c r="BR166" i="2"/>
  <c r="BT166" i="2"/>
  <c r="BU166" i="2"/>
  <c r="BW166" i="2"/>
  <c r="BX166" i="2"/>
  <c r="BZ166" i="2"/>
  <c r="CA166" i="2"/>
  <c r="CC166" i="2"/>
  <c r="CD166" i="2"/>
  <c r="CF166" i="2"/>
  <c r="CG166" i="2"/>
  <c r="CI166" i="2"/>
  <c r="CJ166" i="2"/>
  <c r="CL166" i="2"/>
  <c r="CM166" i="2"/>
  <c r="CO166" i="2"/>
  <c r="CP166" i="2"/>
  <c r="CR166" i="2"/>
  <c r="CS166" i="2"/>
  <c r="CU166" i="2"/>
  <c r="CV166" i="2"/>
  <c r="CX166" i="2"/>
  <c r="CY166" i="2"/>
  <c r="DA166" i="2"/>
  <c r="DB166" i="2"/>
  <c r="DD166" i="2"/>
  <c r="DE166" i="2"/>
  <c r="DG166" i="2"/>
  <c r="DH166" i="2"/>
  <c r="DJ166" i="2"/>
  <c r="DK166" i="2"/>
  <c r="DM166" i="2"/>
  <c r="DN166" i="2"/>
  <c r="DP166" i="2"/>
  <c r="DQ166" i="2"/>
  <c r="DS166" i="2"/>
  <c r="L168" i="2"/>
  <c r="R168" i="2"/>
  <c r="S168" i="2"/>
  <c r="U168" i="2"/>
  <c r="V168" i="2"/>
  <c r="X168" i="2"/>
  <c r="Y168" i="2"/>
  <c r="AA168" i="2"/>
  <c r="AB168" i="2"/>
  <c r="AD168" i="2"/>
  <c r="AE168" i="2"/>
  <c r="AG168" i="2"/>
  <c r="AH168" i="2"/>
  <c r="AJ168" i="2"/>
  <c r="AK168" i="2"/>
  <c r="AM168" i="2"/>
  <c r="AN168" i="2"/>
  <c r="AP168" i="2"/>
  <c r="AQ168" i="2"/>
  <c r="AS168" i="2"/>
  <c r="AT168" i="2"/>
  <c r="AV168" i="2"/>
  <c r="AW168" i="2"/>
  <c r="AY168" i="2"/>
  <c r="AZ168" i="2"/>
  <c r="BB168" i="2"/>
  <c r="BC168" i="2"/>
  <c r="BE168" i="2"/>
  <c r="BF168" i="2"/>
  <c r="BH168" i="2"/>
  <c r="BI168" i="2"/>
  <c r="BK168" i="2"/>
  <c r="BL168" i="2"/>
  <c r="BN168" i="2"/>
  <c r="BO168" i="2"/>
  <c r="BQ168" i="2"/>
  <c r="BR168" i="2"/>
  <c r="BT168" i="2"/>
  <c r="BU168" i="2"/>
  <c r="BW168" i="2"/>
  <c r="BX168" i="2"/>
  <c r="BZ168" i="2"/>
  <c r="CA168" i="2"/>
  <c r="CC168" i="2"/>
  <c r="CD168" i="2"/>
  <c r="CF168" i="2"/>
  <c r="CG168" i="2"/>
  <c r="CI168" i="2"/>
  <c r="CJ168" i="2"/>
  <c r="CL168" i="2"/>
  <c r="CM168" i="2"/>
  <c r="CO168" i="2"/>
  <c r="CP168" i="2"/>
  <c r="CR168" i="2"/>
  <c r="CS168" i="2"/>
  <c r="CU168" i="2"/>
  <c r="CV168" i="2"/>
  <c r="CX168" i="2"/>
  <c r="CY168" i="2"/>
  <c r="DA168" i="2"/>
  <c r="DB168" i="2"/>
  <c r="DD168" i="2"/>
  <c r="DE168" i="2"/>
  <c r="DG168" i="2"/>
  <c r="DH168" i="2"/>
  <c r="DJ168" i="2"/>
  <c r="DK168" i="2"/>
  <c r="DM168" i="2"/>
  <c r="DN168" i="2"/>
  <c r="DP168" i="2"/>
  <c r="DQ168" i="2"/>
  <c r="DS168" i="2"/>
  <c r="L169" i="2"/>
  <c r="R169" i="2"/>
  <c r="S169" i="2"/>
  <c r="U169" i="2"/>
  <c r="V169" i="2"/>
  <c r="X169" i="2"/>
  <c r="AB169" i="2"/>
  <c r="AE169" i="2"/>
  <c r="AG169" i="2"/>
  <c r="AH169" i="2"/>
  <c r="AQ169" i="2"/>
  <c r="AT169" i="2"/>
  <c r="AV169" i="2"/>
  <c r="BC169" i="2"/>
  <c r="BE169" i="2"/>
  <c r="BF169" i="2"/>
  <c r="BH169" i="2"/>
  <c r="BI169" i="2"/>
  <c r="BO169" i="2"/>
  <c r="BQ169" i="2"/>
  <c r="BR169" i="2"/>
  <c r="BT169" i="2"/>
  <c r="BU169" i="2"/>
  <c r="BX169" i="2"/>
  <c r="CA169" i="2"/>
  <c r="CC169" i="2"/>
  <c r="CD169" i="2"/>
  <c r="CF169" i="2"/>
  <c r="CG169" i="2"/>
  <c r="CM169" i="2"/>
  <c r="CO169" i="2"/>
  <c r="CP169" i="2"/>
  <c r="CR169" i="2"/>
  <c r="CS169" i="2"/>
  <c r="CV169" i="2"/>
  <c r="CY169" i="2"/>
  <c r="DA169" i="2"/>
  <c r="DB169" i="2"/>
  <c r="DD169" i="2"/>
  <c r="DE169" i="2"/>
  <c r="DH169" i="2"/>
  <c r="DK169" i="2"/>
  <c r="DM169" i="2"/>
  <c r="DN169" i="2"/>
  <c r="DP169" i="2"/>
  <c r="DQ169" i="2"/>
  <c r="P2" i="116"/>
  <c r="E6" i="116"/>
  <c r="G6" i="116" s="1"/>
  <c r="H6" i="116"/>
  <c r="K6" i="116"/>
  <c r="E8" i="116"/>
  <c r="G8" i="116" s="1"/>
  <c r="H8" i="116"/>
  <c r="K8" i="116"/>
  <c r="E9" i="116"/>
  <c r="G9" i="116" s="1"/>
  <c r="H9" i="116"/>
  <c r="K9" i="116"/>
  <c r="E10" i="116"/>
  <c r="G10" i="116"/>
  <c r="H10" i="116"/>
  <c r="K10" i="116"/>
  <c r="E11" i="116"/>
  <c r="G11" i="116"/>
  <c r="M11" i="116" s="1"/>
  <c r="H11" i="116"/>
  <c r="K11" i="116"/>
  <c r="E12" i="116"/>
  <c r="G12" i="116" s="1"/>
  <c r="M12" i="116" s="1"/>
  <c r="H12" i="116"/>
  <c r="K12" i="116"/>
  <c r="L12" i="116"/>
  <c r="N12" i="116" s="1"/>
  <c r="E13" i="116"/>
  <c r="G13" i="116"/>
  <c r="H13" i="116"/>
  <c r="K13" i="116"/>
  <c r="L13" i="116"/>
  <c r="M13" i="116"/>
  <c r="N13" i="116"/>
  <c r="E14" i="116"/>
  <c r="G14" i="116"/>
  <c r="H14" i="116"/>
  <c r="K14" i="116"/>
  <c r="L14" i="116"/>
  <c r="N14" i="116" s="1"/>
  <c r="M14" i="116"/>
  <c r="E15" i="116"/>
  <c r="G15" i="116" s="1"/>
  <c r="L15" i="116" s="1"/>
  <c r="H15" i="116"/>
  <c r="K15" i="116"/>
  <c r="E16" i="116"/>
  <c r="G16" i="116" s="1"/>
  <c r="H16" i="116"/>
  <c r="K16" i="116"/>
  <c r="E17" i="116"/>
  <c r="G17" i="116"/>
  <c r="H17" i="116"/>
  <c r="K17" i="116"/>
  <c r="E18" i="116"/>
  <c r="G18" i="116" s="1"/>
  <c r="H18" i="116"/>
  <c r="K18" i="116"/>
  <c r="E19" i="116"/>
  <c r="G19" i="116"/>
  <c r="H19" i="116"/>
  <c r="K19" i="116"/>
  <c r="E20" i="116"/>
  <c r="G20" i="116" s="1"/>
  <c r="H20" i="116"/>
  <c r="K20" i="116"/>
  <c r="L20" i="116"/>
  <c r="M20" i="116"/>
  <c r="E21" i="116"/>
  <c r="G21" i="116"/>
  <c r="H21" i="116"/>
  <c r="K21" i="116"/>
  <c r="L21" i="116"/>
  <c r="M21" i="116"/>
  <c r="N21" i="116" s="1"/>
  <c r="E22" i="116"/>
  <c r="G22" i="116"/>
  <c r="H22" i="116"/>
  <c r="K22" i="116"/>
  <c r="L22" i="116"/>
  <c r="M22" i="116"/>
  <c r="N22" i="116"/>
  <c r="E23" i="116"/>
  <c r="G23" i="116" s="1"/>
  <c r="L23" i="116" s="1"/>
  <c r="H23" i="116"/>
  <c r="K23" i="116"/>
  <c r="M23" i="116"/>
  <c r="N23" i="116" s="1"/>
  <c r="F24" i="116"/>
  <c r="E27" i="116"/>
  <c r="G27" i="116"/>
  <c r="H27" i="116"/>
  <c r="K27" i="116"/>
  <c r="L27" i="116"/>
  <c r="M27" i="116"/>
  <c r="E28" i="116"/>
  <c r="G28" i="116"/>
  <c r="H28" i="116"/>
  <c r="K28" i="116"/>
  <c r="L28" i="116"/>
  <c r="M28" i="116"/>
  <c r="N28" i="116"/>
  <c r="F29" i="116"/>
  <c r="E32" i="116"/>
  <c r="G32" i="116" s="1"/>
  <c r="M32" i="116" s="1"/>
  <c r="H32" i="116"/>
  <c r="K32" i="116"/>
  <c r="L32" i="116"/>
  <c r="E33" i="116"/>
  <c r="G33" i="116"/>
  <c r="H33" i="116"/>
  <c r="K33" i="116"/>
  <c r="L33" i="116"/>
  <c r="M33" i="116"/>
  <c r="N33" i="116" s="1"/>
  <c r="F34" i="116"/>
  <c r="G36" i="116"/>
  <c r="L36" i="116"/>
  <c r="M36" i="116"/>
  <c r="F37" i="116"/>
  <c r="E40" i="116"/>
  <c r="G40" i="116"/>
  <c r="H40" i="116"/>
  <c r="K40" i="116"/>
  <c r="L40" i="116"/>
  <c r="E41" i="116"/>
  <c r="G41" i="116" s="1"/>
  <c r="L41" i="116" s="1"/>
  <c r="H41" i="116"/>
  <c r="K41" i="116"/>
  <c r="M41" i="116"/>
  <c r="E42" i="116"/>
  <c r="G42" i="116" s="1"/>
  <c r="H42" i="116"/>
  <c r="K42" i="116"/>
  <c r="E43" i="116"/>
  <c r="G43" i="116"/>
  <c r="H43" i="116"/>
  <c r="K43" i="116"/>
  <c r="E44" i="116"/>
  <c r="G44" i="116" s="1"/>
  <c r="H44" i="116"/>
  <c r="K44" i="116"/>
  <c r="E45" i="116"/>
  <c r="G45" i="116"/>
  <c r="M45" i="116" s="1"/>
  <c r="H45" i="116"/>
  <c r="K45" i="116"/>
  <c r="L45" i="116"/>
  <c r="N45" i="116" s="1"/>
  <c r="E46" i="116"/>
  <c r="G46" i="116" s="1"/>
  <c r="H46" i="116"/>
  <c r="K46" i="116"/>
  <c r="F47" i="116"/>
  <c r="E50" i="116"/>
  <c r="H50" i="116"/>
  <c r="K50" i="116"/>
  <c r="L50" i="116"/>
  <c r="M50" i="116"/>
  <c r="E51" i="116"/>
  <c r="G51" i="116" s="1"/>
  <c r="H51" i="116"/>
  <c r="K51" i="116"/>
  <c r="L51" i="116"/>
  <c r="N51" i="116" s="1"/>
  <c r="M51" i="116"/>
  <c r="E52" i="116"/>
  <c r="G52" i="116"/>
  <c r="H52" i="116"/>
  <c r="K52" i="116"/>
  <c r="L52" i="116"/>
  <c r="M52" i="116"/>
  <c r="N52" i="116"/>
  <c r="E53" i="116"/>
  <c r="G53" i="116"/>
  <c r="H53" i="116"/>
  <c r="K53" i="116"/>
  <c r="L53" i="116"/>
  <c r="M53" i="116"/>
  <c r="E54" i="116"/>
  <c r="G54" i="116" s="1"/>
  <c r="L54" i="116" s="1"/>
  <c r="H54" i="116"/>
  <c r="K54" i="116"/>
  <c r="M54" i="116"/>
  <c r="N54" i="116"/>
  <c r="E55" i="116"/>
  <c r="G55" i="116" s="1"/>
  <c r="H55" i="116"/>
  <c r="K55" i="116"/>
  <c r="E56" i="116"/>
  <c r="G56" i="116" s="1"/>
  <c r="H56" i="116"/>
  <c r="K56" i="116"/>
  <c r="F57" i="116"/>
  <c r="E60" i="116"/>
  <c r="G60" i="116" s="1"/>
  <c r="L60" i="116" s="1"/>
  <c r="H60" i="116"/>
  <c r="K60" i="116"/>
  <c r="M60" i="116"/>
  <c r="N60" i="116"/>
  <c r="E61" i="116"/>
  <c r="G61" i="116" s="1"/>
  <c r="H61" i="116"/>
  <c r="K61" i="116"/>
  <c r="E62" i="116"/>
  <c r="G62" i="116"/>
  <c r="H62" i="116"/>
  <c r="K62" i="116"/>
  <c r="E63" i="116"/>
  <c r="L63" i="116"/>
  <c r="M63" i="116"/>
  <c r="N63" i="116" s="1"/>
  <c r="E64" i="116"/>
  <c r="G64" i="116"/>
  <c r="H64" i="116"/>
  <c r="K64" i="116"/>
  <c r="L64" i="116"/>
  <c r="M64" i="116"/>
  <c r="N64" i="116"/>
  <c r="E65" i="116"/>
  <c r="G65" i="116" s="1"/>
  <c r="L65" i="116" s="1"/>
  <c r="H65" i="116"/>
  <c r="K65" i="116"/>
  <c r="M65" i="116"/>
  <c r="N65" i="116"/>
  <c r="E66" i="116"/>
  <c r="G66" i="116"/>
  <c r="H66" i="116"/>
  <c r="K66" i="116"/>
  <c r="E67" i="116"/>
  <c r="G67" i="116"/>
  <c r="H67" i="116"/>
  <c r="K67" i="116"/>
  <c r="E68" i="116"/>
  <c r="G68" i="116"/>
  <c r="H68" i="116"/>
  <c r="K68" i="116"/>
  <c r="E69" i="116"/>
  <c r="G69" i="116"/>
  <c r="H69" i="116"/>
  <c r="K69" i="116"/>
  <c r="F70" i="116"/>
  <c r="E73" i="116"/>
  <c r="G73" i="116" s="1"/>
  <c r="H73" i="116"/>
  <c r="K73" i="116"/>
  <c r="E74" i="116"/>
  <c r="G74" i="116"/>
  <c r="H74" i="116"/>
  <c r="K74" i="116"/>
  <c r="N75" i="116"/>
  <c r="E76" i="116"/>
  <c r="G76" i="116" s="1"/>
  <c r="H76" i="116"/>
  <c r="K76" i="116"/>
  <c r="E77" i="116"/>
  <c r="G77" i="116"/>
  <c r="H77" i="116"/>
  <c r="K77" i="116"/>
  <c r="E78" i="116"/>
  <c r="G78" i="116"/>
  <c r="H78" i="116"/>
  <c r="K78" i="116"/>
  <c r="E79" i="116"/>
  <c r="G79" i="116" s="1"/>
  <c r="L79" i="116" s="1"/>
  <c r="N79" i="116" s="1"/>
  <c r="H79" i="116"/>
  <c r="K79" i="116"/>
  <c r="M79" i="116"/>
  <c r="E80" i="116"/>
  <c r="G80" i="116"/>
  <c r="H80" i="116"/>
  <c r="K80" i="116"/>
  <c r="L80" i="116"/>
  <c r="M80" i="116"/>
  <c r="N80" i="116" s="1"/>
  <c r="E81" i="116"/>
  <c r="G81" i="116"/>
  <c r="H81" i="116"/>
  <c r="K81" i="116"/>
  <c r="L81" i="116"/>
  <c r="M81" i="116"/>
  <c r="N81" i="116"/>
  <c r="E82" i="116"/>
  <c r="G82" i="116" s="1"/>
  <c r="I82" i="116"/>
  <c r="H82" i="116" s="1"/>
  <c r="E83" i="116"/>
  <c r="G83" i="116" s="1"/>
  <c r="L83" i="116" s="1"/>
  <c r="H83" i="116"/>
  <c r="K83" i="116"/>
  <c r="M83" i="116"/>
  <c r="N83" i="116"/>
  <c r="E84" i="116"/>
  <c r="G84" i="116" s="1"/>
  <c r="H84" i="116"/>
  <c r="K84" i="116"/>
  <c r="E85" i="116"/>
  <c r="G85" i="116" s="1"/>
  <c r="H85" i="116"/>
  <c r="K85" i="116"/>
  <c r="E86" i="116"/>
  <c r="G86" i="116"/>
  <c r="H86" i="116"/>
  <c r="K86" i="116"/>
  <c r="E87" i="116"/>
  <c r="G87" i="116"/>
  <c r="H87" i="116"/>
  <c r="K87" i="116"/>
  <c r="F88" i="116"/>
  <c r="E91" i="116"/>
  <c r="G91" i="116" s="1"/>
  <c r="H91" i="116"/>
  <c r="K91" i="116"/>
  <c r="F92" i="116"/>
  <c r="E95" i="116"/>
  <c r="G95" i="116" s="1"/>
  <c r="H95" i="116"/>
  <c r="K95" i="116"/>
  <c r="E96" i="116"/>
  <c r="G96" i="116" s="1"/>
  <c r="H96" i="116"/>
  <c r="K96" i="116"/>
  <c r="E97" i="116"/>
  <c r="G97" i="116" s="1"/>
  <c r="H97" i="116"/>
  <c r="K97" i="116"/>
  <c r="E98" i="116"/>
  <c r="G98" i="116"/>
  <c r="H98" i="116"/>
  <c r="K98" i="116"/>
  <c r="E99" i="116"/>
  <c r="G99" i="116"/>
  <c r="H99" i="116"/>
  <c r="K99" i="116"/>
  <c r="E100" i="116"/>
  <c r="G100" i="116" s="1"/>
  <c r="H100" i="116"/>
  <c r="K100" i="116"/>
  <c r="L100" i="116"/>
  <c r="M100" i="116"/>
  <c r="E101" i="116"/>
  <c r="G101" i="116"/>
  <c r="H101" i="116"/>
  <c r="K101" i="116"/>
  <c r="L101" i="116"/>
  <c r="N101" i="116" s="1"/>
  <c r="M101" i="116"/>
  <c r="E102" i="116"/>
  <c r="G102" i="116"/>
  <c r="H102" i="116"/>
  <c r="K102" i="116"/>
  <c r="L102" i="116"/>
  <c r="M102" i="116"/>
  <c r="N102" i="116" s="1"/>
  <c r="E103" i="116"/>
  <c r="G103" i="116" s="1"/>
  <c r="H103" i="116"/>
  <c r="K103" i="116"/>
  <c r="E104" i="116"/>
  <c r="G104" i="116" s="1"/>
  <c r="K104" i="116"/>
  <c r="E105" i="116"/>
  <c r="G105" i="116" s="1"/>
  <c r="K105" i="116"/>
  <c r="E106" i="116"/>
  <c r="G106" i="116" s="1"/>
  <c r="M75" i="116" s="1"/>
  <c r="H106" i="116"/>
  <c r="K106" i="116"/>
  <c r="L106" i="116"/>
  <c r="M106" i="116"/>
  <c r="F107" i="116"/>
  <c r="E110" i="116"/>
  <c r="G110" i="116" s="1"/>
  <c r="H110" i="116"/>
  <c r="K110" i="116"/>
  <c r="E111" i="116"/>
  <c r="G111" i="116"/>
  <c r="H111" i="116"/>
  <c r="K111" i="116"/>
  <c r="E112" i="116"/>
  <c r="G112" i="116" s="1"/>
  <c r="H112" i="116"/>
  <c r="K112" i="116"/>
  <c r="L112" i="116"/>
  <c r="M112" i="116"/>
  <c r="E113" i="116"/>
  <c r="G113" i="116"/>
  <c r="H113" i="116"/>
  <c r="K113" i="116"/>
  <c r="L113" i="116"/>
  <c r="M113" i="116"/>
  <c r="N113" i="116" s="1"/>
  <c r="E114" i="116"/>
  <c r="G114" i="116"/>
  <c r="H114" i="116"/>
  <c r="K114" i="116"/>
  <c r="L114" i="116"/>
  <c r="M114" i="116"/>
  <c r="N114" i="116"/>
  <c r="E115" i="116"/>
  <c r="G115" i="116" s="1"/>
  <c r="L115" i="116" s="1"/>
  <c r="H115" i="116"/>
  <c r="K115" i="116"/>
  <c r="M115" i="116"/>
  <c r="N115" i="116"/>
  <c r="E116" i="116"/>
  <c r="G116" i="116" s="1"/>
  <c r="H116" i="116"/>
  <c r="K116" i="116"/>
  <c r="E117" i="116"/>
  <c r="G117" i="116"/>
  <c r="H117" i="116"/>
  <c r="K117" i="116"/>
  <c r="F118" i="116"/>
  <c r="E121" i="116"/>
  <c r="G121" i="116" s="1"/>
  <c r="L121" i="116" s="1"/>
  <c r="H121" i="116"/>
  <c r="K121" i="116"/>
  <c r="M121" i="116"/>
  <c r="N121" i="116"/>
  <c r="P142" i="116"/>
  <c r="B175" i="116"/>
  <c r="C175" i="116"/>
  <c r="D175" i="116"/>
  <c r="D4" i="76"/>
  <c r="E4" i="76"/>
  <c r="F4" i="76"/>
  <c r="F8" i="76" s="1"/>
  <c r="G4" i="76"/>
  <c r="H4" i="76"/>
  <c r="I4" i="76"/>
  <c r="J4" i="76"/>
  <c r="K4" i="76"/>
  <c r="L4" i="76"/>
  <c r="M4" i="76"/>
  <c r="M8" i="76" s="1"/>
  <c r="N4" i="76"/>
  <c r="O4" i="76"/>
  <c r="D5" i="76"/>
  <c r="E5" i="76"/>
  <c r="F5" i="76"/>
  <c r="G5" i="76"/>
  <c r="H5" i="76"/>
  <c r="I5" i="76"/>
  <c r="I8" i="76" s="1"/>
  <c r="J5" i="76"/>
  <c r="J8" i="76" s="1"/>
  <c r="K5" i="76"/>
  <c r="L5" i="76"/>
  <c r="M5" i="76"/>
  <c r="N5" i="76"/>
  <c r="O5" i="76"/>
  <c r="P5" i="76"/>
  <c r="D6" i="76"/>
  <c r="E6" i="76"/>
  <c r="F6" i="76"/>
  <c r="G6" i="76"/>
  <c r="H6" i="76"/>
  <c r="I6" i="76"/>
  <c r="J6" i="76"/>
  <c r="K6" i="76"/>
  <c r="L6" i="76"/>
  <c r="L8" i="76" s="1"/>
  <c r="M6" i="76"/>
  <c r="N6" i="76"/>
  <c r="O6" i="76"/>
  <c r="A8" i="76"/>
  <c r="B8" i="76"/>
  <c r="D8" i="76"/>
  <c r="E8" i="76"/>
  <c r="G8" i="76"/>
  <c r="N8" i="76"/>
  <c r="O8" i="76"/>
  <c r="E15" i="76"/>
  <c r="H15" i="76"/>
  <c r="K15" i="76"/>
  <c r="E16" i="76"/>
  <c r="H16" i="76"/>
  <c r="K16" i="76"/>
  <c r="E17" i="76"/>
  <c r="H17" i="76"/>
  <c r="K17" i="76"/>
  <c r="E18" i="76"/>
  <c r="H18" i="76"/>
  <c r="G35" i="76" s="1"/>
  <c r="K18" i="76"/>
  <c r="E19" i="76"/>
  <c r="H19" i="76"/>
  <c r="K19" i="76"/>
  <c r="E20" i="76"/>
  <c r="H20" i="76"/>
  <c r="K20" i="76"/>
  <c r="E21" i="76"/>
  <c r="H21" i="76"/>
  <c r="K21" i="76"/>
  <c r="E22" i="76"/>
  <c r="H22" i="76"/>
  <c r="K22" i="76"/>
  <c r="E23" i="76"/>
  <c r="H23" i="76"/>
  <c r="K23" i="76"/>
  <c r="E24" i="76"/>
  <c r="H24" i="76"/>
  <c r="K24" i="76"/>
  <c r="E25" i="76"/>
  <c r="H25" i="76"/>
  <c r="K25" i="76"/>
  <c r="E26" i="76"/>
  <c r="H26" i="76"/>
  <c r="O35" i="76" s="1"/>
  <c r="K26" i="76"/>
  <c r="B28" i="76"/>
  <c r="D28" i="76"/>
  <c r="G28" i="76"/>
  <c r="J28" i="76"/>
  <c r="K30" i="76"/>
  <c r="D34" i="76"/>
  <c r="E34" i="76"/>
  <c r="I36" i="76"/>
  <c r="I38" i="76" s="1"/>
  <c r="J36" i="76"/>
  <c r="J38" i="76" s="1"/>
  <c r="A43" i="76"/>
  <c r="A4" i="80"/>
  <c r="E11" i="80"/>
  <c r="F11" i="80" s="1"/>
  <c r="H11" i="80"/>
  <c r="I11" i="80"/>
  <c r="K11" i="80"/>
  <c r="L11" i="80"/>
  <c r="N11" i="80"/>
  <c r="O11" i="80"/>
  <c r="O16" i="80" s="1"/>
  <c r="Q11" i="80"/>
  <c r="R11" i="80" s="1"/>
  <c r="T11" i="80"/>
  <c r="U11" i="80"/>
  <c r="W11" i="80"/>
  <c r="X11" i="80"/>
  <c r="Z11" i="80"/>
  <c r="AA11" i="80"/>
  <c r="AC11" i="80"/>
  <c r="AD11" i="80" s="1"/>
  <c r="AD16" i="80" s="1"/>
  <c r="AF11" i="80"/>
  <c r="AG11" i="80"/>
  <c r="AI11" i="80"/>
  <c r="AJ11" i="80"/>
  <c r="AL11" i="80"/>
  <c r="AM11" i="80" s="1"/>
  <c r="AS11" i="80"/>
  <c r="AV11" i="80"/>
  <c r="AY11" i="80"/>
  <c r="BB11" i="80"/>
  <c r="BE11" i="80"/>
  <c r="BH11" i="80"/>
  <c r="BK11" i="80"/>
  <c r="BN11" i="80"/>
  <c r="BQ11" i="80"/>
  <c r="BT11" i="80"/>
  <c r="BW11" i="80"/>
  <c r="F12" i="80"/>
  <c r="I12" i="80"/>
  <c r="L12" i="80"/>
  <c r="O12" i="80"/>
  <c r="R12" i="80"/>
  <c r="U12" i="80"/>
  <c r="X12" i="80"/>
  <c r="AA12" i="80"/>
  <c r="AD12" i="80"/>
  <c r="AG12" i="80"/>
  <c r="AJ12" i="80"/>
  <c r="AM12" i="80"/>
  <c r="AP12" i="80"/>
  <c r="AS12" i="80"/>
  <c r="AV12" i="80"/>
  <c r="AY12" i="80"/>
  <c r="BB12" i="80"/>
  <c r="BE12" i="80"/>
  <c r="BH12" i="80"/>
  <c r="BK12" i="80"/>
  <c r="BN12" i="80"/>
  <c r="BQ12" i="80"/>
  <c r="BT12" i="80"/>
  <c r="BW12" i="80"/>
  <c r="E13" i="80"/>
  <c r="F13" i="80"/>
  <c r="H13" i="80"/>
  <c r="I13" i="80" s="1"/>
  <c r="K13" i="80"/>
  <c r="L13" i="80" s="1"/>
  <c r="N13" i="80"/>
  <c r="O13" i="80"/>
  <c r="Q13" i="80"/>
  <c r="R13" i="80"/>
  <c r="T13" i="80"/>
  <c r="U13" i="80" s="1"/>
  <c r="U16" i="80" s="1"/>
  <c r="W13" i="80"/>
  <c r="X13" i="80" s="1"/>
  <c r="Z13" i="80"/>
  <c r="AA13" i="80"/>
  <c r="AC13" i="80"/>
  <c r="AD13" i="80"/>
  <c r="AF13" i="80"/>
  <c r="AG13" i="80"/>
  <c r="AI13" i="80"/>
  <c r="AJ13" i="80" s="1"/>
  <c r="AL13" i="80"/>
  <c r="AM13" i="80"/>
  <c r="AS13" i="80"/>
  <c r="AV13" i="80"/>
  <c r="AV16" i="80" s="1"/>
  <c r="AY13" i="80"/>
  <c r="BB13" i="80"/>
  <c r="BE13" i="80"/>
  <c r="BH13" i="80"/>
  <c r="BK13" i="80"/>
  <c r="BN13" i="80"/>
  <c r="BQ13" i="80"/>
  <c r="BT13" i="80"/>
  <c r="BT16" i="80" s="1"/>
  <c r="BW13" i="80"/>
  <c r="F14" i="80"/>
  <c r="I14" i="80"/>
  <c r="L14" i="80"/>
  <c r="O14" i="80"/>
  <c r="R14" i="80"/>
  <c r="U14" i="80"/>
  <c r="X14" i="80"/>
  <c r="AA14" i="80"/>
  <c r="AD14" i="80"/>
  <c r="AG14" i="80"/>
  <c r="AJ14" i="80"/>
  <c r="AM14" i="80"/>
  <c r="AS14" i="80"/>
  <c r="AV14" i="80"/>
  <c r="AY14" i="80"/>
  <c r="BB14" i="80"/>
  <c r="BE14" i="80"/>
  <c r="BH14" i="80"/>
  <c r="BK14" i="80"/>
  <c r="BN14" i="80"/>
  <c r="BQ14" i="80"/>
  <c r="BT14" i="80"/>
  <c r="BW14" i="80"/>
  <c r="BW16" i="80" s="1"/>
  <c r="F15" i="80"/>
  <c r="I15" i="80"/>
  <c r="L15" i="80"/>
  <c r="O15" i="80"/>
  <c r="R15" i="80"/>
  <c r="U15" i="80"/>
  <c r="X15" i="80"/>
  <c r="AA15" i="80"/>
  <c r="AA16" i="80" s="1"/>
  <c r="AD15" i="80"/>
  <c r="AG15" i="80"/>
  <c r="AJ15" i="80"/>
  <c r="AM15" i="80"/>
  <c r="AS15" i="80"/>
  <c r="AV15" i="80"/>
  <c r="AY15" i="80"/>
  <c r="BB15" i="80"/>
  <c r="BB16" i="80" s="1"/>
  <c r="BE15" i="80"/>
  <c r="BH15" i="80"/>
  <c r="BK15" i="80"/>
  <c r="BN15" i="80"/>
  <c r="BQ15" i="80"/>
  <c r="BT15" i="80"/>
  <c r="BW15" i="80"/>
  <c r="F16" i="80"/>
  <c r="X16" i="80"/>
  <c r="BE16" i="80"/>
  <c r="E17" i="80"/>
  <c r="F17" i="80" s="1"/>
  <c r="H17" i="80"/>
  <c r="I17" i="80"/>
  <c r="K17" i="80"/>
  <c r="L17" i="80" s="1"/>
  <c r="L18" i="80" s="1"/>
  <c r="O17" i="80"/>
  <c r="R17" i="80"/>
  <c r="U17" i="80"/>
  <c r="U18" i="80" s="1"/>
  <c r="X17" i="80"/>
  <c r="X18" i="80" s="1"/>
  <c r="AA17" i="80"/>
  <c r="AD17" i="80"/>
  <c r="AG17" i="80"/>
  <c r="AI17" i="80"/>
  <c r="AJ17" i="80"/>
  <c r="AJ18" i="80" s="1"/>
  <c r="AL17" i="80"/>
  <c r="AM17" i="80"/>
  <c r="AS17" i="80"/>
  <c r="AV17" i="80"/>
  <c r="AV18" i="80" s="1"/>
  <c r="AY17" i="80"/>
  <c r="AY18" i="80" s="1"/>
  <c r="BB17" i="80"/>
  <c r="BE17" i="80"/>
  <c r="BE18" i="80" s="1"/>
  <c r="BH17" i="80"/>
  <c r="BK17" i="80"/>
  <c r="BK18" i="80" s="1"/>
  <c r="BN17" i="80"/>
  <c r="BQ17" i="80"/>
  <c r="BT17" i="80"/>
  <c r="BT18" i="80" s="1"/>
  <c r="BW17" i="80"/>
  <c r="BW18" i="80" s="1"/>
  <c r="I18" i="80"/>
  <c r="O18" i="80"/>
  <c r="R18" i="80"/>
  <c r="AA18" i="80"/>
  <c r="AD18" i="80"/>
  <c r="AG18" i="80"/>
  <c r="AM18" i="80"/>
  <c r="AS18" i="80"/>
  <c r="BB18" i="80"/>
  <c r="BH18" i="80"/>
  <c r="BN18" i="80"/>
  <c r="BQ18" i="80"/>
  <c r="E19" i="80"/>
  <c r="F19" i="80" s="1"/>
  <c r="H19" i="80"/>
  <c r="I19" i="80" s="1"/>
  <c r="K19" i="80"/>
  <c r="L19" i="80" s="1"/>
  <c r="N19" i="80"/>
  <c r="O19" i="80"/>
  <c r="Q19" i="80"/>
  <c r="R19" i="80" s="1"/>
  <c r="R20" i="80" s="1"/>
  <c r="T19" i="80"/>
  <c r="U19" i="80"/>
  <c r="U20" i="80" s="1"/>
  <c r="W19" i="80"/>
  <c r="X19" i="80"/>
  <c r="Z19" i="80"/>
  <c r="AA19" i="80"/>
  <c r="AC19" i="80"/>
  <c r="AD19" i="80" s="1"/>
  <c r="AF19" i="80"/>
  <c r="AG19" i="80"/>
  <c r="AI19" i="80"/>
  <c r="AJ19" i="80" s="1"/>
  <c r="AL19" i="80"/>
  <c r="AM19" i="80"/>
  <c r="AS19" i="80"/>
  <c r="AV19" i="80"/>
  <c r="AV20" i="80" s="1"/>
  <c r="AY19" i="80"/>
  <c r="BB19" i="80"/>
  <c r="BE19" i="80"/>
  <c r="BH19" i="80"/>
  <c r="BK19" i="80"/>
  <c r="BK20" i="80" s="1"/>
  <c r="BN19" i="80"/>
  <c r="BN20" i="80" s="1"/>
  <c r="BQ19" i="80"/>
  <c r="BT19" i="80"/>
  <c r="BT20" i="80" s="1"/>
  <c r="BW19" i="80"/>
  <c r="F20" i="80"/>
  <c r="O20" i="80"/>
  <c r="AA20" i="80"/>
  <c r="AD20" i="80"/>
  <c r="AG20" i="80"/>
  <c r="AM20" i="80"/>
  <c r="AS20" i="80"/>
  <c r="AY20" i="80"/>
  <c r="BB20" i="80"/>
  <c r="BE20" i="80"/>
  <c r="BH20" i="80"/>
  <c r="BQ20" i="80"/>
  <c r="BW20" i="80"/>
  <c r="F21" i="80"/>
  <c r="I21" i="80"/>
  <c r="L21" i="80"/>
  <c r="L23" i="80" s="1"/>
  <c r="O21" i="80"/>
  <c r="R21" i="80"/>
  <c r="U21" i="80"/>
  <c r="X21" i="80"/>
  <c r="AA21" i="80"/>
  <c r="AD21" i="80"/>
  <c r="AG21" i="80"/>
  <c r="AJ21" i="80"/>
  <c r="AM21" i="80"/>
  <c r="AS21" i="80"/>
  <c r="AS23" i="80" s="1"/>
  <c r="AV21" i="80"/>
  <c r="AY21" i="80"/>
  <c r="BB21" i="80"/>
  <c r="BE21" i="80"/>
  <c r="BH21" i="80"/>
  <c r="BK21" i="80"/>
  <c r="BN21" i="80"/>
  <c r="BN23" i="80" s="1"/>
  <c r="BQ21" i="80"/>
  <c r="BQ23" i="80" s="1"/>
  <c r="BT21" i="80"/>
  <c r="BW21" i="80"/>
  <c r="F22" i="80"/>
  <c r="I22" i="80"/>
  <c r="L22" i="80"/>
  <c r="O22" i="80"/>
  <c r="R22" i="80"/>
  <c r="U22" i="80"/>
  <c r="X22" i="80"/>
  <c r="AA22" i="80"/>
  <c r="AD22" i="80"/>
  <c r="AG22" i="80"/>
  <c r="AJ22" i="80"/>
  <c r="AM22" i="80"/>
  <c r="AS22" i="80"/>
  <c r="AV22" i="80"/>
  <c r="AY22" i="80"/>
  <c r="BB22" i="80"/>
  <c r="BE22" i="80"/>
  <c r="BH22" i="80"/>
  <c r="BK22" i="80"/>
  <c r="BN22" i="80"/>
  <c r="BQ22" i="80"/>
  <c r="BT22" i="80"/>
  <c r="BW22" i="80"/>
  <c r="F23" i="80"/>
  <c r="I23" i="80"/>
  <c r="O23" i="80"/>
  <c r="R23" i="80"/>
  <c r="U23" i="80"/>
  <c r="X23" i="80"/>
  <c r="AD23" i="80"/>
  <c r="AG23" i="80"/>
  <c r="AM23" i="80"/>
  <c r="AV23" i="80"/>
  <c r="BE23" i="80"/>
  <c r="BH23" i="80"/>
  <c r="BK23" i="80"/>
  <c r="BT23" i="80"/>
  <c r="F24" i="80"/>
  <c r="I24" i="80"/>
  <c r="L24" i="80"/>
  <c r="O24" i="80"/>
  <c r="R24" i="80"/>
  <c r="U24" i="80"/>
  <c r="X24" i="80"/>
  <c r="AA24" i="80"/>
  <c r="AD24" i="80"/>
  <c r="AG24" i="80"/>
  <c r="AJ24" i="80"/>
  <c r="AM24" i="80"/>
  <c r="AS24" i="80"/>
  <c r="AV24" i="80"/>
  <c r="AY24" i="80"/>
  <c r="BB24" i="80"/>
  <c r="BB29" i="80" s="1"/>
  <c r="BE24" i="80"/>
  <c r="BH24" i="80"/>
  <c r="BH29" i="80" s="1"/>
  <c r="BK24" i="80"/>
  <c r="BN24" i="80"/>
  <c r="BQ24" i="80"/>
  <c r="BT24" i="80"/>
  <c r="BW24" i="80"/>
  <c r="F25" i="80"/>
  <c r="F29" i="80" s="1"/>
  <c r="I25" i="80"/>
  <c r="L25" i="80"/>
  <c r="O25" i="80"/>
  <c r="R25" i="80"/>
  <c r="U25" i="80"/>
  <c r="X25" i="80"/>
  <c r="AA25" i="80"/>
  <c r="AD25" i="80"/>
  <c r="AG25" i="80"/>
  <c r="AJ25" i="80"/>
  <c r="AJ29" i="80" s="1"/>
  <c r="AM25" i="80"/>
  <c r="AS25" i="80"/>
  <c r="AV25" i="80"/>
  <c r="AY25" i="80"/>
  <c r="BB25" i="80"/>
  <c r="BE25" i="80"/>
  <c r="BE29" i="80" s="1"/>
  <c r="BH25" i="80"/>
  <c r="BK25" i="80"/>
  <c r="BK29" i="80" s="1"/>
  <c r="BN25" i="80"/>
  <c r="BQ25" i="80"/>
  <c r="BT25" i="80"/>
  <c r="BW25" i="80"/>
  <c r="F26" i="80"/>
  <c r="I26" i="80"/>
  <c r="L26" i="80"/>
  <c r="O26" i="80"/>
  <c r="R26" i="80"/>
  <c r="U26" i="80"/>
  <c r="X26" i="80"/>
  <c r="AA26" i="80"/>
  <c r="AD26" i="80"/>
  <c r="AG26" i="80"/>
  <c r="AJ26" i="80"/>
  <c r="AM26" i="80"/>
  <c r="AS26" i="80"/>
  <c r="AV26" i="80"/>
  <c r="AY26" i="80"/>
  <c r="BB26" i="80"/>
  <c r="BE26" i="80"/>
  <c r="BH26" i="80"/>
  <c r="BK26" i="80"/>
  <c r="BN26" i="80"/>
  <c r="BQ26" i="80"/>
  <c r="BT26" i="80"/>
  <c r="BW26" i="80"/>
  <c r="F27" i="80"/>
  <c r="I27" i="80"/>
  <c r="L27" i="80"/>
  <c r="O27" i="80"/>
  <c r="R27" i="80"/>
  <c r="U27" i="80"/>
  <c r="X27" i="80"/>
  <c r="AA27" i="80"/>
  <c r="AD27" i="80"/>
  <c r="AG27" i="80"/>
  <c r="AJ27" i="80"/>
  <c r="AM27" i="80"/>
  <c r="AS27" i="80"/>
  <c r="AV27" i="80"/>
  <c r="AY27" i="80"/>
  <c r="BB27" i="80"/>
  <c r="BE27" i="80"/>
  <c r="BH27" i="80"/>
  <c r="BK27" i="80"/>
  <c r="BN27" i="80"/>
  <c r="BQ27" i="80"/>
  <c r="BT27" i="80"/>
  <c r="BW27" i="80"/>
  <c r="F28" i="80"/>
  <c r="I28" i="80"/>
  <c r="L28" i="80"/>
  <c r="O28" i="80"/>
  <c r="R28" i="80"/>
  <c r="U28" i="80"/>
  <c r="X28" i="80"/>
  <c r="AA28" i="80"/>
  <c r="AD28" i="80"/>
  <c r="AG28" i="80"/>
  <c r="AJ28" i="80"/>
  <c r="AM28" i="80"/>
  <c r="AS28" i="80"/>
  <c r="AV28" i="80"/>
  <c r="AY28" i="80"/>
  <c r="BB28" i="80"/>
  <c r="BE28" i="80"/>
  <c r="BH28" i="80"/>
  <c r="BK28" i="80"/>
  <c r="BN28" i="80"/>
  <c r="BQ28" i="80"/>
  <c r="BT28" i="80"/>
  <c r="BW28" i="80"/>
  <c r="R29" i="80"/>
  <c r="U29" i="80"/>
  <c r="X29" i="80"/>
  <c r="AA29" i="80"/>
  <c r="AS29" i="80"/>
  <c r="AV29" i="80"/>
  <c r="AY29" i="80"/>
  <c r="BN29" i="80"/>
  <c r="BQ29" i="80"/>
  <c r="BT29" i="80"/>
  <c r="BW29" i="80"/>
  <c r="E2" i="72"/>
  <c r="K13" i="72"/>
  <c r="N13" i="72"/>
  <c r="Q13" i="72"/>
  <c r="T13" i="72"/>
  <c r="W13" i="72"/>
  <c r="Z13" i="72"/>
  <c r="AC13" i="72"/>
  <c r="AF13" i="72"/>
  <c r="AL13" i="72"/>
  <c r="AO13" i="72"/>
  <c r="AP13" i="72"/>
  <c r="AR13" i="72"/>
  <c r="AS13" i="72"/>
  <c r="K14" i="72"/>
  <c r="N14" i="72"/>
  <c r="Q14" i="72"/>
  <c r="T14" i="72"/>
  <c r="W14" i="72"/>
  <c r="Z14" i="72"/>
  <c r="AC14" i="72"/>
  <c r="AF14" i="72"/>
  <c r="AL14" i="72"/>
  <c r="AO14" i="72"/>
  <c r="AP14" i="72"/>
  <c r="AR14" i="72"/>
  <c r="AS14" i="72"/>
  <c r="G15" i="72"/>
  <c r="K15" i="72"/>
  <c r="N15" i="72"/>
  <c r="Q15" i="72"/>
  <c r="T15" i="72"/>
  <c r="W15" i="72"/>
  <c r="Z15" i="72"/>
  <c r="AC15" i="72"/>
  <c r="AF15" i="72"/>
  <c r="AL15" i="72"/>
  <c r="AN15" i="72"/>
  <c r="AP15" i="72"/>
  <c r="AQ15" i="72"/>
  <c r="N21" i="101" s="1"/>
  <c r="N147" i="101" s="1"/>
  <c r="N148" i="101" s="1"/>
  <c r="AS15" i="72"/>
  <c r="K16" i="72"/>
  <c r="N16" i="72"/>
  <c r="Q16" i="72"/>
  <c r="T16" i="72"/>
  <c r="W16" i="72"/>
  <c r="Z16" i="72"/>
  <c r="AC16" i="72"/>
  <c r="AF16" i="72"/>
  <c r="AL16" i="72"/>
  <c r="AO16" i="72"/>
  <c r="AP16" i="72"/>
  <c r="AR16" i="72"/>
  <c r="AS16" i="72"/>
  <c r="K17" i="72"/>
  <c r="N17" i="72"/>
  <c r="Q17" i="72"/>
  <c r="T17" i="72"/>
  <c r="W17" i="72"/>
  <c r="Z17" i="72"/>
  <c r="AC17" i="72"/>
  <c r="AF17" i="72"/>
  <c r="AL17" i="72"/>
  <c r="AO17" i="72"/>
  <c r="AR17" i="72"/>
  <c r="K20" i="72"/>
  <c r="L20" i="72"/>
  <c r="N20" i="72"/>
  <c r="O20" i="72"/>
  <c r="Q20" i="72"/>
  <c r="R20" i="72"/>
  <c r="T20" i="72"/>
  <c r="U20" i="72"/>
  <c r="W20" i="72"/>
  <c r="X20" i="72"/>
  <c r="Z20" i="72"/>
  <c r="AA20" i="72"/>
  <c r="AC20" i="72"/>
  <c r="AD20" i="72"/>
  <c r="AF20" i="72"/>
  <c r="AG20" i="72"/>
  <c r="AI20" i="72"/>
  <c r="AJ20" i="72"/>
  <c r="AL20" i="72"/>
  <c r="AM20" i="72"/>
  <c r="AO20" i="72"/>
  <c r="AP20" i="72"/>
  <c r="AR20" i="72"/>
  <c r="AS20" i="72"/>
  <c r="K21" i="72"/>
  <c r="L21" i="72"/>
  <c r="N21" i="72"/>
  <c r="O21" i="72"/>
  <c r="Q21" i="72"/>
  <c r="R21" i="72"/>
  <c r="T21" i="72"/>
  <c r="U21" i="72"/>
  <c r="W21" i="72"/>
  <c r="X21" i="72"/>
  <c r="Z21" i="72"/>
  <c r="AA21" i="72"/>
  <c r="AC21" i="72"/>
  <c r="AD21" i="72"/>
  <c r="AF21" i="72"/>
  <c r="AG21" i="72"/>
  <c r="AJ21" i="72"/>
  <c r="AL21" i="72"/>
  <c r="AM21" i="72"/>
  <c r="AO21" i="72"/>
  <c r="AP21" i="72"/>
  <c r="AR21" i="72"/>
  <c r="AS21" i="72"/>
  <c r="G22" i="72"/>
  <c r="J22" i="72"/>
  <c r="C21" i="101" s="1"/>
  <c r="C147" i="101" s="1"/>
  <c r="K22" i="72"/>
  <c r="M22" i="72"/>
  <c r="D21" i="101" s="1"/>
  <c r="D147" i="101" s="1"/>
  <c r="N22" i="72"/>
  <c r="P22" i="72"/>
  <c r="E21" i="101" s="1"/>
  <c r="E147" i="101" s="1"/>
  <c r="Q22" i="72"/>
  <c r="S22" i="72"/>
  <c r="V22" i="72"/>
  <c r="G21" i="101" s="1"/>
  <c r="G147" i="101" s="1"/>
  <c r="W22" i="72"/>
  <c r="Y22" i="72"/>
  <c r="AA22" i="72"/>
  <c r="AB22" i="72"/>
  <c r="AE22" i="72"/>
  <c r="AG22" i="72"/>
  <c r="AH22" i="72"/>
  <c r="K21" i="101" s="1"/>
  <c r="K147" i="101" s="1"/>
  <c r="AK22" i="72"/>
  <c r="AN22" i="72"/>
  <c r="AO22" i="72" s="1"/>
  <c r="AP22" i="72"/>
  <c r="AQ22" i="72"/>
  <c r="AR22" i="72"/>
  <c r="AS22" i="72"/>
  <c r="K23" i="72"/>
  <c r="L23" i="72"/>
  <c r="N23" i="72"/>
  <c r="O23" i="72"/>
  <c r="Q23" i="72"/>
  <c r="R23" i="72"/>
  <c r="T23" i="72"/>
  <c r="U23" i="72"/>
  <c r="W23" i="72"/>
  <c r="X23" i="72"/>
  <c r="Z23" i="72"/>
  <c r="AA23" i="72"/>
  <c r="AC23" i="72"/>
  <c r="AD23" i="72"/>
  <c r="AF23" i="72"/>
  <c r="AG23" i="72"/>
  <c r="AJ23" i="72"/>
  <c r="AL23" i="72"/>
  <c r="AM23" i="72"/>
  <c r="AO23" i="72"/>
  <c r="AP23" i="72"/>
  <c r="AR23" i="72"/>
  <c r="AS23" i="72"/>
  <c r="K24" i="72"/>
  <c r="N24" i="72"/>
  <c r="Q24" i="72"/>
  <c r="T24" i="72"/>
  <c r="W24" i="72"/>
  <c r="Z24" i="72"/>
  <c r="AC24" i="72"/>
  <c r="AF24" i="72"/>
  <c r="AG24" i="72"/>
  <c r="AL24" i="72"/>
  <c r="AO24" i="72"/>
  <c r="AR24" i="72"/>
  <c r="AS24" i="72"/>
  <c r="E27" i="72"/>
  <c r="A4" i="114"/>
  <c r="C21" i="114"/>
  <c r="D21" i="114"/>
  <c r="E21" i="114"/>
  <c r="G21" i="114"/>
  <c r="I21" i="114"/>
  <c r="K21" i="114"/>
  <c r="N21" i="114"/>
  <c r="Q34" i="114"/>
  <c r="R34" i="114"/>
  <c r="Q35" i="114"/>
  <c r="R35" i="114"/>
  <c r="Q36" i="114"/>
  <c r="R36" i="114"/>
  <c r="Q37" i="114"/>
  <c r="R37" i="114"/>
  <c r="Q39" i="114"/>
  <c r="R39" i="114"/>
  <c r="Q40" i="114"/>
  <c r="R40" i="114"/>
  <c r="R41" i="114"/>
  <c r="R45" i="114" s="1"/>
  <c r="R48" i="114" s="1"/>
  <c r="R94" i="114" s="1"/>
  <c r="R96" i="114" s="1"/>
  <c r="Q63" i="114"/>
  <c r="R63" i="114"/>
  <c r="G67" i="114"/>
  <c r="I67" i="114"/>
  <c r="L67" i="114"/>
  <c r="N67" i="114"/>
  <c r="C68" i="114"/>
  <c r="D68" i="114"/>
  <c r="E68" i="114"/>
  <c r="F68" i="114"/>
  <c r="G68" i="114"/>
  <c r="H68" i="114"/>
  <c r="I68" i="114"/>
  <c r="J68" i="114"/>
  <c r="K68" i="114"/>
  <c r="L68" i="114"/>
  <c r="M68" i="114"/>
  <c r="N68" i="114"/>
  <c r="Q73" i="114"/>
  <c r="R73" i="114"/>
  <c r="C75" i="114"/>
  <c r="D75" i="114"/>
  <c r="D78" i="114" s="1"/>
  <c r="D95" i="114" s="1"/>
  <c r="E75" i="114"/>
  <c r="F75" i="114"/>
  <c r="G75" i="114"/>
  <c r="H75" i="114"/>
  <c r="H78" i="114" s="1"/>
  <c r="I75" i="114"/>
  <c r="AD24" i="72" s="1"/>
  <c r="J75" i="114"/>
  <c r="J67" i="114" s="1"/>
  <c r="K75" i="114"/>
  <c r="L75" i="114"/>
  <c r="AM24" i="72" s="1"/>
  <c r="M75" i="114"/>
  <c r="N75" i="114"/>
  <c r="N139" i="114" s="1"/>
  <c r="G78" i="114"/>
  <c r="I78" i="114"/>
  <c r="J78" i="114"/>
  <c r="K78" i="114"/>
  <c r="N78" i="114"/>
  <c r="O79" i="114"/>
  <c r="Q79" i="114"/>
  <c r="Q62" i="114" s="1"/>
  <c r="R79" i="114"/>
  <c r="R62" i="114" s="1"/>
  <c r="C82" i="114"/>
  <c r="C58" i="74" s="1"/>
  <c r="D82" i="114"/>
  <c r="D58" i="74" s="1"/>
  <c r="E82" i="114"/>
  <c r="E58" i="74" s="1"/>
  <c r="F82" i="114"/>
  <c r="G82" i="114"/>
  <c r="H82" i="114"/>
  <c r="I82" i="114"/>
  <c r="J82" i="114"/>
  <c r="J58" i="74" s="1"/>
  <c r="K82" i="114"/>
  <c r="K58" i="74" s="1"/>
  <c r="L82" i="114"/>
  <c r="L58" i="74" s="1"/>
  <c r="M82" i="114"/>
  <c r="M58" i="74" s="1"/>
  <c r="N82" i="114"/>
  <c r="C83" i="114"/>
  <c r="D83" i="114"/>
  <c r="E83" i="114"/>
  <c r="E59" i="74" s="1"/>
  <c r="F83" i="114"/>
  <c r="F59" i="74" s="1"/>
  <c r="R59" i="74" s="1"/>
  <c r="G83" i="114"/>
  <c r="G59" i="74" s="1"/>
  <c r="H83" i="114"/>
  <c r="H59" i="74" s="1"/>
  <c r="I83" i="114"/>
  <c r="I59" i="74" s="1"/>
  <c r="S59" i="74" s="1"/>
  <c r="J83" i="114"/>
  <c r="J59" i="74" s="1"/>
  <c r="K83" i="114"/>
  <c r="K59" i="74" s="1"/>
  <c r="L83" i="114"/>
  <c r="M83" i="114"/>
  <c r="M59" i="74" s="1"/>
  <c r="N83" i="114"/>
  <c r="N59" i="74" s="1"/>
  <c r="G95" i="114"/>
  <c r="I95" i="114"/>
  <c r="O102" i="114"/>
  <c r="C104" i="114"/>
  <c r="D104" i="114"/>
  <c r="E104" i="114"/>
  <c r="F104" i="114"/>
  <c r="G104" i="114"/>
  <c r="H104" i="114"/>
  <c r="I104" i="114"/>
  <c r="J104" i="114"/>
  <c r="K104" i="114"/>
  <c r="L104" i="114"/>
  <c r="M104" i="114"/>
  <c r="N104" i="114"/>
  <c r="O110" i="114"/>
  <c r="P110" i="114"/>
  <c r="F114" i="114"/>
  <c r="D139" i="114"/>
  <c r="F139" i="114"/>
  <c r="H139" i="114"/>
  <c r="I139" i="114"/>
  <c r="J139" i="114"/>
  <c r="L139" i="114"/>
  <c r="P139" i="114"/>
  <c r="A4" i="8"/>
  <c r="C19" i="8"/>
  <c r="D19" i="8"/>
  <c r="F19" i="8"/>
  <c r="G19" i="8"/>
  <c r="I19" i="8"/>
  <c r="J19" i="8"/>
  <c r="L19" i="8"/>
  <c r="M19" i="8"/>
  <c r="O19" i="8"/>
  <c r="P19" i="8"/>
  <c r="R19" i="8"/>
  <c r="S19" i="8"/>
  <c r="U19" i="8"/>
  <c r="V19" i="8"/>
  <c r="X19" i="8"/>
  <c r="Y19" i="8"/>
  <c r="AA19" i="8"/>
  <c r="AB19" i="8"/>
  <c r="AD19" i="8"/>
  <c r="AE19" i="8"/>
  <c r="AG19" i="8"/>
  <c r="AH19" i="8"/>
  <c r="AJ19" i="8"/>
  <c r="AK19" i="8"/>
  <c r="N46" i="8"/>
  <c r="Q46" i="8"/>
  <c r="T46" i="8"/>
  <c r="W46" i="8"/>
  <c r="Z46" i="8"/>
  <c r="AC46" i="8"/>
  <c r="AF46" i="8"/>
  <c r="R47" i="8"/>
  <c r="S47" i="8"/>
  <c r="T47" i="8"/>
  <c r="U47" i="8"/>
  <c r="V47" i="8"/>
  <c r="W47" i="8"/>
  <c r="X47" i="8"/>
  <c r="Y47" i="8"/>
  <c r="Z47" i="8"/>
  <c r="AA47" i="8"/>
  <c r="AB47" i="8"/>
  <c r="AA61" i="8"/>
  <c r="AJ68" i="8"/>
  <c r="AM88" i="8"/>
  <c r="AO88" i="8" s="1"/>
  <c r="AP88" i="8"/>
  <c r="AR88" i="8" s="1"/>
  <c r="AS88" i="8"/>
  <c r="AU88" i="8" s="1"/>
  <c r="AV88" i="8"/>
  <c r="AX88" i="8"/>
  <c r="AY88" i="8"/>
  <c r="BB88" i="8"/>
  <c r="BD88" i="8"/>
  <c r="BE88" i="8"/>
  <c r="BG88" i="8" s="1"/>
  <c r="BH88" i="8"/>
  <c r="BJ88" i="8"/>
  <c r="BK88" i="8"/>
  <c r="BM88" i="8"/>
  <c r="BN88" i="8"/>
  <c r="BP88" i="8" s="1"/>
  <c r="BQ88" i="8"/>
  <c r="BT88" i="8"/>
  <c r="BV88" i="8"/>
  <c r="F89" i="8"/>
  <c r="H89" i="8" s="1"/>
  <c r="L89" i="8"/>
  <c r="O89" i="8"/>
  <c r="Q89" i="8" s="1"/>
  <c r="AD89" i="8"/>
  <c r="AF89" i="8"/>
  <c r="AG89" i="8"/>
  <c r="AM89" i="8"/>
  <c r="AO89" i="8" s="1"/>
  <c r="AP89" i="8"/>
  <c r="AP93" i="8" s="1"/>
  <c r="AS89" i="8"/>
  <c r="AU89" i="8" s="1"/>
  <c r="AV89" i="8"/>
  <c r="AX89" i="8" s="1"/>
  <c r="AY89" i="8"/>
  <c r="BA89" i="8"/>
  <c r="BB89" i="8"/>
  <c r="BD89" i="8"/>
  <c r="BE89" i="8"/>
  <c r="BH89" i="8"/>
  <c r="BK89" i="8"/>
  <c r="BM89" i="8" s="1"/>
  <c r="BN89" i="8"/>
  <c r="BP89" i="8" s="1"/>
  <c r="BQ89" i="8"/>
  <c r="BS89" i="8" s="1"/>
  <c r="BT89" i="8"/>
  <c r="BV89" i="8"/>
  <c r="C90" i="8"/>
  <c r="E90" i="8" s="1"/>
  <c r="O90" i="8"/>
  <c r="Q90" i="8"/>
  <c r="F248" i="97" s="1"/>
  <c r="F166" i="97" s="1"/>
  <c r="U90" i="8"/>
  <c r="W90" i="8" s="1"/>
  <c r="AD90" i="8"/>
  <c r="AF90" i="8" s="1"/>
  <c r="AM90" i="8"/>
  <c r="AO90" i="8"/>
  <c r="AP90" i="8"/>
  <c r="AR90" i="8" s="1"/>
  <c r="AS90" i="8"/>
  <c r="AU90" i="8" s="1"/>
  <c r="AV90" i="8"/>
  <c r="AX90" i="8"/>
  <c r="AY90" i="8"/>
  <c r="BA90" i="8"/>
  <c r="BB90" i="8"/>
  <c r="BD90" i="8" s="1"/>
  <c r="BE90" i="8"/>
  <c r="BG90" i="8" s="1"/>
  <c r="BH90" i="8"/>
  <c r="BJ90" i="8" s="1"/>
  <c r="BK90" i="8"/>
  <c r="BM90" i="8" s="1"/>
  <c r="BN90" i="8"/>
  <c r="BP90" i="8"/>
  <c r="BQ90" i="8"/>
  <c r="BS90" i="8" s="1"/>
  <c r="BT90" i="8"/>
  <c r="BV90" i="8" s="1"/>
  <c r="E91" i="8"/>
  <c r="I91" i="8"/>
  <c r="K91" i="8" s="1"/>
  <c r="L91" i="8"/>
  <c r="N91" i="8" s="1"/>
  <c r="X91" i="8"/>
  <c r="Z91" i="8" s="1"/>
  <c r="AJ91" i="8"/>
  <c r="AM91" i="8"/>
  <c r="AO91" i="8"/>
  <c r="AP91" i="8"/>
  <c r="AR91" i="8" s="1"/>
  <c r="AS91" i="8"/>
  <c r="AV91" i="8"/>
  <c r="AX91" i="8"/>
  <c r="AY91" i="8"/>
  <c r="BA91" i="8" s="1"/>
  <c r="BB91" i="8"/>
  <c r="BD91" i="8" s="1"/>
  <c r="BE91" i="8"/>
  <c r="BG91" i="8" s="1"/>
  <c r="BH91" i="8"/>
  <c r="BJ91" i="8" s="1"/>
  <c r="BK91" i="8"/>
  <c r="BM91" i="8"/>
  <c r="BN91" i="8"/>
  <c r="BP91" i="8"/>
  <c r="BQ91" i="8"/>
  <c r="BS91" i="8" s="1"/>
  <c r="BT91" i="8"/>
  <c r="BV91" i="8"/>
  <c r="F92" i="8"/>
  <c r="H92" i="8"/>
  <c r="I92" i="8"/>
  <c r="O92" i="8"/>
  <c r="Q92" i="8" s="1"/>
  <c r="X92" i="8"/>
  <c r="Z92" i="8" s="1"/>
  <c r="AC92" i="8"/>
  <c r="AF92" i="8"/>
  <c r="AG92" i="8"/>
  <c r="AI92" i="8" s="1"/>
  <c r="AM92" i="8"/>
  <c r="AO92" i="8" s="1"/>
  <c r="AP92" i="8"/>
  <c r="AR92" i="8" s="1"/>
  <c r="AS92" i="8"/>
  <c r="AU92" i="8" s="1"/>
  <c r="AV92" i="8"/>
  <c r="AX92" i="8"/>
  <c r="AY92" i="8"/>
  <c r="BA92" i="8" s="1"/>
  <c r="BB92" i="8"/>
  <c r="BD92" i="8"/>
  <c r="BE92" i="8"/>
  <c r="BG92" i="8" s="1"/>
  <c r="BH92" i="8"/>
  <c r="BJ92" i="8"/>
  <c r="BK92" i="8"/>
  <c r="BM92" i="8"/>
  <c r="BN92" i="8"/>
  <c r="BP92" i="8" s="1"/>
  <c r="BQ92" i="8"/>
  <c r="BS92" i="8" s="1"/>
  <c r="BT92" i="8"/>
  <c r="BV92" i="8"/>
  <c r="AM93" i="8"/>
  <c r="AV93" i="8"/>
  <c r="BT93" i="8"/>
  <c r="AM94" i="8"/>
  <c r="AO94" i="8"/>
  <c r="AO95" i="8" s="1"/>
  <c r="AP94" i="8"/>
  <c r="AS94" i="8"/>
  <c r="AU94" i="8"/>
  <c r="AU95" i="8" s="1"/>
  <c r="AV94" i="8"/>
  <c r="AX94" i="8"/>
  <c r="AY94" i="8"/>
  <c r="BA94" i="8"/>
  <c r="BB94" i="8"/>
  <c r="BE94" i="8"/>
  <c r="BG94" i="8"/>
  <c r="BG95" i="8" s="1"/>
  <c r="BH94" i="8"/>
  <c r="BJ94" i="8"/>
  <c r="BK94" i="8"/>
  <c r="BM94" i="8"/>
  <c r="BN94" i="8"/>
  <c r="BP94" i="8" s="1"/>
  <c r="BP95" i="8" s="1"/>
  <c r="BQ94" i="8"/>
  <c r="BS94" i="8"/>
  <c r="BS95" i="8" s="1"/>
  <c r="BT94" i="8"/>
  <c r="BV94" i="8"/>
  <c r="BV95" i="8" s="1"/>
  <c r="AM95" i="8"/>
  <c r="AS95" i="8"/>
  <c r="AV95" i="8"/>
  <c r="AX95" i="8"/>
  <c r="AY95" i="8"/>
  <c r="BA95" i="8"/>
  <c r="BE95" i="8"/>
  <c r="BH95" i="8"/>
  <c r="BJ95" i="8"/>
  <c r="BK95" i="8"/>
  <c r="BM95" i="8"/>
  <c r="BN95" i="8"/>
  <c r="BQ95" i="8"/>
  <c r="BT95" i="8"/>
  <c r="AM96" i="8"/>
  <c r="AO96" i="8"/>
  <c r="AO97" i="8" s="1"/>
  <c r="AP96" i="8"/>
  <c r="AS96" i="8"/>
  <c r="AU96" i="8"/>
  <c r="AU97" i="8" s="1"/>
  <c r="AV96" i="8"/>
  <c r="AX96" i="8"/>
  <c r="AY96" i="8"/>
  <c r="BA96" i="8"/>
  <c r="BB96" i="8"/>
  <c r="BE96" i="8"/>
  <c r="BG96" i="8"/>
  <c r="BG97" i="8" s="1"/>
  <c r="BH96" i="8"/>
  <c r="BJ96" i="8"/>
  <c r="BK96" i="8"/>
  <c r="BM96" i="8"/>
  <c r="BN96" i="8"/>
  <c r="BP96" i="8" s="1"/>
  <c r="BP97" i="8" s="1"/>
  <c r="BQ96" i="8"/>
  <c r="BS96" i="8"/>
  <c r="BS97" i="8" s="1"/>
  <c r="BT96" i="8"/>
  <c r="BV96" i="8"/>
  <c r="BV97" i="8" s="1"/>
  <c r="AM97" i="8"/>
  <c r="AS97" i="8"/>
  <c r="AV97" i="8"/>
  <c r="AX97" i="8"/>
  <c r="AY97" i="8"/>
  <c r="BA97" i="8"/>
  <c r="BE97" i="8"/>
  <c r="BH97" i="8"/>
  <c r="BJ97" i="8"/>
  <c r="BK97" i="8"/>
  <c r="BM97" i="8"/>
  <c r="BN97" i="8"/>
  <c r="BQ97" i="8"/>
  <c r="BT97" i="8"/>
  <c r="C98" i="8"/>
  <c r="F98" i="8"/>
  <c r="H98" i="8" s="1"/>
  <c r="K98" i="8"/>
  <c r="O98" i="8"/>
  <c r="Q98" i="8"/>
  <c r="AA98" i="8"/>
  <c r="AD98" i="8"/>
  <c r="AF98" i="8" s="1"/>
  <c r="AM98" i="8"/>
  <c r="AO98" i="8"/>
  <c r="AP98" i="8"/>
  <c r="AR98" i="8" s="1"/>
  <c r="AR100" i="8" s="1"/>
  <c r="AS98" i="8"/>
  <c r="AU98" i="8"/>
  <c r="AV98" i="8"/>
  <c r="AX98" i="8"/>
  <c r="AY98" i="8"/>
  <c r="BA98" i="8"/>
  <c r="BB98" i="8"/>
  <c r="BD98" i="8" s="1"/>
  <c r="BE98" i="8"/>
  <c r="BG98" i="8"/>
  <c r="BH98" i="8"/>
  <c r="BJ98" i="8"/>
  <c r="BJ100" i="8" s="1"/>
  <c r="BK98" i="8"/>
  <c r="BM98" i="8"/>
  <c r="BN98" i="8"/>
  <c r="BP98" i="8" s="1"/>
  <c r="BQ98" i="8"/>
  <c r="BS98" i="8"/>
  <c r="BT98" i="8"/>
  <c r="BV98" i="8"/>
  <c r="BV100" i="8" s="1"/>
  <c r="AM99" i="8"/>
  <c r="AM100" i="8" s="1"/>
  <c r="AO99" i="8"/>
  <c r="AO100" i="8" s="1"/>
  <c r="AP99" i="8"/>
  <c r="AR99" i="8" s="1"/>
  <c r="AS99" i="8"/>
  <c r="AU99" i="8"/>
  <c r="AV99" i="8"/>
  <c r="AX99" i="8"/>
  <c r="AX100" i="8" s="1"/>
  <c r="AY99" i="8"/>
  <c r="AY100" i="8" s="1"/>
  <c r="BA99" i="8"/>
  <c r="BA100" i="8" s="1"/>
  <c r="BB99" i="8"/>
  <c r="BD99" i="8" s="1"/>
  <c r="BE99" i="8"/>
  <c r="BG99" i="8"/>
  <c r="BH99" i="8"/>
  <c r="BJ99" i="8"/>
  <c r="BK99" i="8"/>
  <c r="BK100" i="8" s="1"/>
  <c r="BM99" i="8"/>
  <c r="BM100" i="8" s="1"/>
  <c r="BN99" i="8"/>
  <c r="BQ99" i="8"/>
  <c r="BS99" i="8"/>
  <c r="BT99" i="8"/>
  <c r="BV99" i="8"/>
  <c r="AP100" i="8"/>
  <c r="AS100" i="8"/>
  <c r="AU100" i="8"/>
  <c r="AV100" i="8"/>
  <c r="BE100" i="8"/>
  <c r="BG100" i="8"/>
  <c r="BH100" i="8"/>
  <c r="BQ100" i="8"/>
  <c r="BS100" i="8"/>
  <c r="BT100" i="8"/>
  <c r="AM101" i="8"/>
  <c r="AO101" i="8" s="1"/>
  <c r="AO106" i="8" s="1"/>
  <c r="AP101" i="8"/>
  <c r="AR101" i="8" s="1"/>
  <c r="AS101" i="8"/>
  <c r="AU101" i="8"/>
  <c r="AV101" i="8"/>
  <c r="AX101" i="8"/>
  <c r="AY101" i="8"/>
  <c r="BA101" i="8"/>
  <c r="BB101" i="8"/>
  <c r="BE101" i="8"/>
  <c r="BG101" i="8"/>
  <c r="BH101" i="8"/>
  <c r="BJ101" i="8"/>
  <c r="BK101" i="8"/>
  <c r="BM101" i="8"/>
  <c r="BN101" i="8"/>
  <c r="BQ101" i="8"/>
  <c r="BS101" i="8"/>
  <c r="BT101" i="8"/>
  <c r="BV101" i="8"/>
  <c r="F102" i="8"/>
  <c r="H102" i="8" s="1"/>
  <c r="K102" i="8"/>
  <c r="O102" i="8"/>
  <c r="Q102" i="8"/>
  <c r="R102" i="8"/>
  <c r="T102" i="8" s="1"/>
  <c r="AD102" i="8"/>
  <c r="AM102" i="8"/>
  <c r="AO102" i="8"/>
  <c r="AP102" i="8"/>
  <c r="AR102" i="8" s="1"/>
  <c r="AS102" i="8"/>
  <c r="AU102" i="8"/>
  <c r="AV102" i="8"/>
  <c r="AX102" i="8"/>
  <c r="AY102" i="8"/>
  <c r="BA102" i="8" s="1"/>
  <c r="BB102" i="8"/>
  <c r="BD102" i="8" s="1"/>
  <c r="BE102" i="8"/>
  <c r="BG102" i="8"/>
  <c r="BH102" i="8"/>
  <c r="BJ102" i="8"/>
  <c r="BK102" i="8"/>
  <c r="BM102" i="8"/>
  <c r="BN102" i="8"/>
  <c r="BP102" i="8" s="1"/>
  <c r="BQ102" i="8"/>
  <c r="BS102" i="8"/>
  <c r="BS106" i="8" s="1"/>
  <c r="BT102" i="8"/>
  <c r="BV102" i="8"/>
  <c r="AM103" i="8"/>
  <c r="AO103" i="8"/>
  <c r="AP103" i="8"/>
  <c r="AR103" i="8" s="1"/>
  <c r="AS103" i="8"/>
  <c r="AU103" i="8"/>
  <c r="AV103" i="8"/>
  <c r="AX103" i="8"/>
  <c r="AY103" i="8"/>
  <c r="BA103" i="8"/>
  <c r="BB103" i="8"/>
  <c r="BD103" i="8" s="1"/>
  <c r="BE103" i="8"/>
  <c r="BG103" i="8"/>
  <c r="BH103" i="8"/>
  <c r="BJ103" i="8"/>
  <c r="BK103" i="8"/>
  <c r="BM103" i="8" s="1"/>
  <c r="BN103" i="8"/>
  <c r="BP103" i="8" s="1"/>
  <c r="BQ103" i="8"/>
  <c r="BS103" i="8"/>
  <c r="BT103" i="8"/>
  <c r="BV103" i="8"/>
  <c r="Z104" i="8"/>
  <c r="AM104" i="8"/>
  <c r="AO104" i="8"/>
  <c r="AP104" i="8"/>
  <c r="AS104" i="8"/>
  <c r="AU104" i="8"/>
  <c r="AU106" i="8" s="1"/>
  <c r="AV104" i="8"/>
  <c r="AX104" i="8"/>
  <c r="AY104" i="8"/>
  <c r="BA104" i="8" s="1"/>
  <c r="BB104" i="8"/>
  <c r="BD104" i="8" s="1"/>
  <c r="BE104" i="8"/>
  <c r="BG104" i="8"/>
  <c r="BH104" i="8"/>
  <c r="BJ104" i="8"/>
  <c r="BK104" i="8"/>
  <c r="BM104" i="8"/>
  <c r="BN104" i="8"/>
  <c r="BP104" i="8" s="1"/>
  <c r="BQ104" i="8"/>
  <c r="BS104" i="8"/>
  <c r="BT104" i="8"/>
  <c r="BV104" i="8"/>
  <c r="BV106" i="8" s="1"/>
  <c r="AM105" i="8"/>
  <c r="AO105" i="8"/>
  <c r="AP105" i="8"/>
  <c r="AR105" i="8" s="1"/>
  <c r="AS105" i="8"/>
  <c r="AU105" i="8"/>
  <c r="AV105" i="8"/>
  <c r="AX105" i="8"/>
  <c r="AY105" i="8"/>
  <c r="BA105" i="8"/>
  <c r="BB105" i="8"/>
  <c r="BD105" i="8" s="1"/>
  <c r="BE105" i="8"/>
  <c r="BG105" i="8"/>
  <c r="BH105" i="8"/>
  <c r="BJ105" i="8"/>
  <c r="BK105" i="8"/>
  <c r="BM105" i="8" s="1"/>
  <c r="BN105" i="8"/>
  <c r="BP105" i="8" s="1"/>
  <c r="BQ105" i="8"/>
  <c r="BS105" i="8"/>
  <c r="BT105" i="8"/>
  <c r="BV105" i="8"/>
  <c r="AS106" i="8"/>
  <c r="AV106" i="8"/>
  <c r="BE106" i="8"/>
  <c r="BG106" i="8"/>
  <c r="BH106" i="8"/>
  <c r="BJ106" i="8"/>
  <c r="BQ106" i="8"/>
  <c r="BT106" i="8"/>
  <c r="C112" i="8"/>
  <c r="F112" i="8"/>
  <c r="H112" i="8"/>
  <c r="I112" i="8"/>
  <c r="L112" i="8"/>
  <c r="O112" i="8"/>
  <c r="R112" i="8"/>
  <c r="U112" i="8"/>
  <c r="X112" i="8"/>
  <c r="AA112" i="8"/>
  <c r="AD112" i="8"/>
  <c r="AF112" i="8"/>
  <c r="AG112" i="8"/>
  <c r="AJ112" i="8"/>
  <c r="AO112" i="8"/>
  <c r="AR112" i="8"/>
  <c r="AU112" i="8"/>
  <c r="AX112" i="8"/>
  <c r="BA112" i="8"/>
  <c r="BA117" i="8" s="1"/>
  <c r="BD112" i="8"/>
  <c r="BG112" i="8"/>
  <c r="BJ112" i="8"/>
  <c r="BM112" i="8"/>
  <c r="BP112" i="8"/>
  <c r="BS112" i="8"/>
  <c r="BV112" i="8"/>
  <c r="C113" i="8"/>
  <c r="F113" i="8"/>
  <c r="G113" i="8"/>
  <c r="I113" i="8"/>
  <c r="I89" i="8" s="1"/>
  <c r="J113" i="8"/>
  <c r="L113" i="8"/>
  <c r="L186" i="8" s="1"/>
  <c r="M113" i="8"/>
  <c r="O113" i="8"/>
  <c r="P113" i="8"/>
  <c r="R113" i="8"/>
  <c r="S113" i="8" s="1"/>
  <c r="U113" i="8"/>
  <c r="X113" i="8"/>
  <c r="AA113" i="8"/>
  <c r="AA89" i="8" s="1"/>
  <c r="AC89" i="8" s="1"/>
  <c r="J241" i="97" s="1"/>
  <c r="AB113" i="8"/>
  <c r="AD113" i="8"/>
  <c r="AE113" i="8"/>
  <c r="AG113" i="8"/>
  <c r="AH113" i="8"/>
  <c r="AJ113" i="8"/>
  <c r="AO113" i="8"/>
  <c r="AR113" i="8"/>
  <c r="AR117" i="8" s="1"/>
  <c r="AU113" i="8"/>
  <c r="AX113" i="8"/>
  <c r="BA113" i="8"/>
  <c r="BD113" i="8"/>
  <c r="BG113" i="8"/>
  <c r="BJ113" i="8"/>
  <c r="BM113" i="8"/>
  <c r="BP113" i="8"/>
  <c r="BP117" i="8" s="1"/>
  <c r="BS113" i="8"/>
  <c r="BV113" i="8"/>
  <c r="C114" i="8"/>
  <c r="F114" i="8"/>
  <c r="F90" i="8" s="1"/>
  <c r="H90" i="8" s="1"/>
  <c r="C248" i="97" s="1"/>
  <c r="I114" i="8"/>
  <c r="I90" i="8" s="1"/>
  <c r="L114" i="8"/>
  <c r="L90" i="8" s="1"/>
  <c r="O114" i="8"/>
  <c r="R114" i="8"/>
  <c r="T114" i="8"/>
  <c r="U114" i="8"/>
  <c r="X114" i="8"/>
  <c r="AA114" i="8"/>
  <c r="AD114" i="8"/>
  <c r="AG114" i="8"/>
  <c r="AG90" i="8" s="1"/>
  <c r="AI90" i="8" s="1"/>
  <c r="AJ114" i="8"/>
  <c r="AJ90" i="8" s="1"/>
  <c r="AL90" i="8" s="1"/>
  <c r="AO114" i="8"/>
  <c r="AR114" i="8"/>
  <c r="AU114" i="8"/>
  <c r="AX114" i="8"/>
  <c r="BA114" i="8"/>
  <c r="BD114" i="8"/>
  <c r="BG114" i="8"/>
  <c r="BJ114" i="8"/>
  <c r="BM114" i="8"/>
  <c r="BP114" i="8"/>
  <c r="BS114" i="8"/>
  <c r="BV114" i="8"/>
  <c r="C115" i="8"/>
  <c r="C91" i="8" s="1"/>
  <c r="F115" i="8"/>
  <c r="F91" i="8" s="1"/>
  <c r="H91" i="8" s="1"/>
  <c r="G115" i="8"/>
  <c r="I115" i="8"/>
  <c r="J115" i="8"/>
  <c r="L115" i="8"/>
  <c r="L188" i="8" s="1"/>
  <c r="M115" i="8"/>
  <c r="O115" i="8"/>
  <c r="O91" i="8" s="1"/>
  <c r="Q91" i="8" s="1"/>
  <c r="P115" i="8"/>
  <c r="R115" i="8"/>
  <c r="S115" i="8"/>
  <c r="U115" i="8"/>
  <c r="V115" i="8" s="1"/>
  <c r="X115" i="8"/>
  <c r="Y115" i="8" s="1"/>
  <c r="AA115" i="8"/>
  <c r="AD115" i="8"/>
  <c r="AD91" i="8" s="1"/>
  <c r="AF91" i="8" s="1"/>
  <c r="AE115" i="8"/>
  <c r="AG115" i="8"/>
  <c r="AG91" i="8" s="1"/>
  <c r="AI91" i="8" s="1"/>
  <c r="AH115" i="8"/>
  <c r="AJ115" i="8"/>
  <c r="AK115" i="8"/>
  <c r="AO115" i="8"/>
  <c r="AR115" i="8"/>
  <c r="AU115" i="8"/>
  <c r="AX115" i="8"/>
  <c r="BA115" i="8"/>
  <c r="BD115" i="8"/>
  <c r="BD117" i="8" s="1"/>
  <c r="BG115" i="8"/>
  <c r="BJ115" i="8"/>
  <c r="BM115" i="8"/>
  <c r="BP115" i="8"/>
  <c r="BS115" i="8"/>
  <c r="BV115" i="8"/>
  <c r="C116" i="8"/>
  <c r="C92" i="8" s="1"/>
  <c r="E92" i="8" s="1"/>
  <c r="D116" i="8"/>
  <c r="F116" i="8"/>
  <c r="G116" i="8"/>
  <c r="I116" i="8"/>
  <c r="J116" i="8"/>
  <c r="L116" i="8"/>
  <c r="L92" i="8" s="1"/>
  <c r="N92" i="8" s="1"/>
  <c r="M116" i="8"/>
  <c r="O116" i="8"/>
  <c r="P116" i="8"/>
  <c r="R116" i="8"/>
  <c r="R92" i="8" s="1"/>
  <c r="T92" i="8" s="1"/>
  <c r="S116" i="8"/>
  <c r="U116" i="8"/>
  <c r="X116" i="8"/>
  <c r="AA116" i="8"/>
  <c r="AA92" i="8" s="1"/>
  <c r="AB116" i="8"/>
  <c r="AD116" i="8"/>
  <c r="AD92" i="8" s="1"/>
  <c r="AE116" i="8"/>
  <c r="AF116" i="8"/>
  <c r="AG116" i="8"/>
  <c r="AH116" i="8"/>
  <c r="AJ116" i="8"/>
  <c r="AK116" i="8" s="1"/>
  <c r="AO116" i="8"/>
  <c r="AR116" i="8"/>
  <c r="AU116" i="8"/>
  <c r="AX116" i="8"/>
  <c r="BA116" i="8"/>
  <c r="BD116" i="8"/>
  <c r="BG116" i="8"/>
  <c r="BJ116" i="8"/>
  <c r="BM116" i="8"/>
  <c r="BP116" i="8"/>
  <c r="BS116" i="8"/>
  <c r="BV116" i="8"/>
  <c r="AO117" i="8"/>
  <c r="AU117" i="8"/>
  <c r="BJ117" i="8"/>
  <c r="BM117" i="8"/>
  <c r="BS117" i="8"/>
  <c r="C118" i="8"/>
  <c r="F118" i="8"/>
  <c r="H118" i="8"/>
  <c r="I118" i="8"/>
  <c r="L118" i="8"/>
  <c r="O118" i="8"/>
  <c r="P118" i="8"/>
  <c r="R118" i="8"/>
  <c r="U118" i="8"/>
  <c r="X118" i="8"/>
  <c r="AA118" i="8"/>
  <c r="AD118" i="8"/>
  <c r="AG118" i="8"/>
  <c r="AJ118" i="8"/>
  <c r="AO118" i="8"/>
  <c r="AR118" i="8"/>
  <c r="AR119" i="8" s="1"/>
  <c r="AU118" i="8"/>
  <c r="AX118" i="8"/>
  <c r="BA118" i="8"/>
  <c r="BD118" i="8"/>
  <c r="BG118" i="8"/>
  <c r="BJ118" i="8"/>
  <c r="BM118" i="8"/>
  <c r="BP118" i="8"/>
  <c r="BP119" i="8" s="1"/>
  <c r="BS118" i="8"/>
  <c r="BV118" i="8"/>
  <c r="AO119" i="8"/>
  <c r="AU119" i="8"/>
  <c r="AX119" i="8"/>
  <c r="BA119" i="8"/>
  <c r="BD119" i="8"/>
  <c r="BG119" i="8"/>
  <c r="BJ119" i="8"/>
  <c r="BM119" i="8"/>
  <c r="BS119" i="8"/>
  <c r="BV119" i="8"/>
  <c r="C120" i="8"/>
  <c r="F120" i="8"/>
  <c r="I120" i="8"/>
  <c r="L120" i="8"/>
  <c r="O120" i="8"/>
  <c r="R120" i="8"/>
  <c r="U120" i="8"/>
  <c r="X120" i="8"/>
  <c r="AA120" i="8"/>
  <c r="AD120" i="8"/>
  <c r="AF120" i="8"/>
  <c r="AG120" i="8"/>
  <c r="AJ120" i="8"/>
  <c r="AO120" i="8"/>
  <c r="AR120" i="8"/>
  <c r="AU120" i="8"/>
  <c r="AX120" i="8"/>
  <c r="AX121" i="8" s="1"/>
  <c r="BA120" i="8"/>
  <c r="BA121" i="8" s="1"/>
  <c r="BD120" i="8"/>
  <c r="BD121" i="8" s="1"/>
  <c r="BG120" i="8"/>
  <c r="BJ120" i="8"/>
  <c r="BM120" i="8"/>
  <c r="BP120" i="8"/>
  <c r="BS120" i="8"/>
  <c r="BV120" i="8"/>
  <c r="BV121" i="8" s="1"/>
  <c r="AI121" i="8"/>
  <c r="AO121" i="8"/>
  <c r="AR121" i="8"/>
  <c r="AU121" i="8"/>
  <c r="BG121" i="8"/>
  <c r="BJ121" i="8"/>
  <c r="BM121" i="8"/>
  <c r="BP121" i="8"/>
  <c r="BS121" i="8"/>
  <c r="C122" i="8"/>
  <c r="C195" i="8" s="1"/>
  <c r="F122" i="8"/>
  <c r="G122" i="8"/>
  <c r="I122" i="8"/>
  <c r="I98" i="8" s="1"/>
  <c r="J122" i="8"/>
  <c r="L122" i="8"/>
  <c r="M122" i="8"/>
  <c r="O122" i="8"/>
  <c r="P122" i="8"/>
  <c r="R122" i="8"/>
  <c r="U122" i="8"/>
  <c r="X122" i="8"/>
  <c r="AA122" i="8"/>
  <c r="AB122" i="8"/>
  <c r="AD122" i="8"/>
  <c r="AE122" i="8"/>
  <c r="AG122" i="8"/>
  <c r="AG98" i="8" s="1"/>
  <c r="AH122" i="8"/>
  <c r="AJ122" i="8"/>
  <c r="AK122" i="8"/>
  <c r="AO122" i="8"/>
  <c r="AR122" i="8"/>
  <c r="AU122" i="8"/>
  <c r="AX122" i="8"/>
  <c r="BA122" i="8"/>
  <c r="BA124" i="8" s="1"/>
  <c r="BD122" i="8"/>
  <c r="BD124" i="8" s="1"/>
  <c r="BG122" i="8"/>
  <c r="BG124" i="8" s="1"/>
  <c r="BJ122" i="8"/>
  <c r="BM122" i="8"/>
  <c r="BP122" i="8"/>
  <c r="BS122" i="8"/>
  <c r="BV122" i="8"/>
  <c r="C123" i="8"/>
  <c r="D123" i="8"/>
  <c r="F123" i="8"/>
  <c r="G123" i="8"/>
  <c r="I123" i="8"/>
  <c r="J123" i="8"/>
  <c r="L123" i="8"/>
  <c r="M123" i="8"/>
  <c r="O123" i="8"/>
  <c r="P123" i="8"/>
  <c r="R123" i="8"/>
  <c r="S123" i="8"/>
  <c r="U123" i="8"/>
  <c r="X123" i="8"/>
  <c r="AA123" i="8"/>
  <c r="AB123" i="8" s="1"/>
  <c r="AD123" i="8"/>
  <c r="AE123" i="8"/>
  <c r="AG123" i="8"/>
  <c r="AH123" i="8"/>
  <c r="AJ123" i="8"/>
  <c r="AO123" i="8"/>
  <c r="AR123" i="8"/>
  <c r="AU123" i="8"/>
  <c r="AX123" i="8"/>
  <c r="BA123" i="8"/>
  <c r="BD123" i="8"/>
  <c r="BG123" i="8"/>
  <c r="BJ123" i="8"/>
  <c r="BM123" i="8"/>
  <c r="BP123" i="8"/>
  <c r="BS123" i="8"/>
  <c r="BV123" i="8"/>
  <c r="AO124" i="8"/>
  <c r="AR124" i="8"/>
  <c r="AU124" i="8"/>
  <c r="BJ124" i="8"/>
  <c r="BM124" i="8"/>
  <c r="BP124" i="8"/>
  <c r="BS124" i="8"/>
  <c r="C125" i="8"/>
  <c r="D125" i="8" s="1"/>
  <c r="E125" i="8"/>
  <c r="F125" i="8"/>
  <c r="G125" i="8"/>
  <c r="I125" i="8"/>
  <c r="J125" i="8"/>
  <c r="L125" i="8"/>
  <c r="M125" i="8"/>
  <c r="O125" i="8"/>
  <c r="P125" i="8"/>
  <c r="R125" i="8"/>
  <c r="S125" i="8"/>
  <c r="U125" i="8"/>
  <c r="V125" i="8" s="1"/>
  <c r="X125" i="8"/>
  <c r="Y125" i="8" s="1"/>
  <c r="AA125" i="8"/>
  <c r="AB125" i="8" s="1"/>
  <c r="AC125" i="8"/>
  <c r="AD125" i="8"/>
  <c r="AE125" i="8"/>
  <c r="AG125" i="8"/>
  <c r="AH125" i="8"/>
  <c r="AJ125" i="8"/>
  <c r="AK125" i="8"/>
  <c r="AO125" i="8"/>
  <c r="AR125" i="8"/>
  <c r="AU125" i="8"/>
  <c r="AX125" i="8"/>
  <c r="BA125" i="8"/>
  <c r="BD125" i="8"/>
  <c r="BG125" i="8"/>
  <c r="BJ125" i="8"/>
  <c r="BM125" i="8"/>
  <c r="BP125" i="8"/>
  <c r="BS125" i="8"/>
  <c r="BV125" i="8"/>
  <c r="C126" i="8"/>
  <c r="D126" i="8" s="1"/>
  <c r="F126" i="8"/>
  <c r="G126" i="8"/>
  <c r="I126" i="8"/>
  <c r="I102" i="8" s="1"/>
  <c r="J126" i="8"/>
  <c r="L126" i="8"/>
  <c r="M126" i="8"/>
  <c r="O126" i="8"/>
  <c r="P126" i="8"/>
  <c r="R126" i="8"/>
  <c r="S126" i="8"/>
  <c r="U126" i="8"/>
  <c r="X126" i="8"/>
  <c r="AA126" i="8"/>
  <c r="AB126" i="8" s="1"/>
  <c r="AD126" i="8"/>
  <c r="AE126" i="8"/>
  <c r="AG126" i="8"/>
  <c r="AG102" i="8" s="1"/>
  <c r="AI102" i="8" s="1"/>
  <c r="AH126" i="8"/>
  <c r="AJ126" i="8"/>
  <c r="AO126" i="8"/>
  <c r="AR126" i="8"/>
  <c r="AU126" i="8"/>
  <c r="AX126" i="8"/>
  <c r="BA126" i="8"/>
  <c r="BD126" i="8"/>
  <c r="BG126" i="8"/>
  <c r="BJ126" i="8"/>
  <c r="BM126" i="8"/>
  <c r="BP126" i="8"/>
  <c r="BS126" i="8"/>
  <c r="BV126" i="8"/>
  <c r="C127" i="8"/>
  <c r="D127" i="8"/>
  <c r="F127" i="8"/>
  <c r="G127" i="8"/>
  <c r="I127" i="8"/>
  <c r="J127" i="8"/>
  <c r="L127" i="8"/>
  <c r="M127" i="8"/>
  <c r="O127" i="8"/>
  <c r="P127" i="8"/>
  <c r="R127" i="8"/>
  <c r="S127" i="8"/>
  <c r="U127" i="8"/>
  <c r="V127" i="8" s="1"/>
  <c r="X127" i="8"/>
  <c r="Y127" i="8" s="1"/>
  <c r="AA127" i="8"/>
  <c r="AB127" i="8"/>
  <c r="AD127" i="8"/>
  <c r="AE127" i="8"/>
  <c r="AG127" i="8"/>
  <c r="AH127" i="8"/>
  <c r="AJ127" i="8"/>
  <c r="AK127" i="8" s="1"/>
  <c r="AO127" i="8"/>
  <c r="AR127" i="8"/>
  <c r="AU127" i="8"/>
  <c r="AX127" i="8"/>
  <c r="BA127" i="8"/>
  <c r="BD127" i="8"/>
  <c r="BG127" i="8"/>
  <c r="BJ127" i="8"/>
  <c r="BM127" i="8"/>
  <c r="BP127" i="8"/>
  <c r="BS127" i="8"/>
  <c r="BV127" i="8"/>
  <c r="C128" i="8"/>
  <c r="D128" i="8" s="1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T128" i="8"/>
  <c r="U128" i="8"/>
  <c r="V128" i="8" s="1"/>
  <c r="W128" i="8"/>
  <c r="X128" i="8"/>
  <c r="Z128" i="8"/>
  <c r="I194" i="97" s="1"/>
  <c r="I126" i="97" s="1"/>
  <c r="AA128" i="8"/>
  <c r="J17" i="97" s="1"/>
  <c r="J126" i="97" s="1"/>
  <c r="AB128" i="8"/>
  <c r="AC128" i="8"/>
  <c r="AD128" i="8"/>
  <c r="AE128" i="8"/>
  <c r="AF128" i="8"/>
  <c r="AG128" i="8"/>
  <c r="AH128" i="8"/>
  <c r="AI128" i="8"/>
  <c r="L194" i="97" s="1"/>
  <c r="L126" i="97" s="1"/>
  <c r="AJ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BV128" i="8"/>
  <c r="C129" i="8"/>
  <c r="D129" i="8"/>
  <c r="F129" i="8"/>
  <c r="G129" i="8"/>
  <c r="I129" i="8"/>
  <c r="J129" i="8"/>
  <c r="L129" i="8"/>
  <c r="M129" i="8" s="1"/>
  <c r="O129" i="8"/>
  <c r="P129" i="8"/>
  <c r="R129" i="8"/>
  <c r="S129" i="8"/>
  <c r="U129" i="8"/>
  <c r="X129" i="8"/>
  <c r="Z129" i="8"/>
  <c r="AA129" i="8"/>
  <c r="AB129" i="8"/>
  <c r="AD129" i="8"/>
  <c r="AE129" i="8"/>
  <c r="AG129" i="8"/>
  <c r="AH129" i="8"/>
  <c r="AJ129" i="8"/>
  <c r="AK129" i="8" s="1"/>
  <c r="AO129" i="8"/>
  <c r="AR129" i="8"/>
  <c r="AU129" i="8"/>
  <c r="AX129" i="8"/>
  <c r="BA129" i="8"/>
  <c r="BD129" i="8"/>
  <c r="BG129" i="8"/>
  <c r="BJ129" i="8"/>
  <c r="BM129" i="8"/>
  <c r="BP129" i="8"/>
  <c r="BS129" i="8"/>
  <c r="BV129" i="8"/>
  <c r="AO130" i="8"/>
  <c r="AU130" i="8"/>
  <c r="BJ130" i="8"/>
  <c r="BM130" i="8"/>
  <c r="BS130" i="8"/>
  <c r="AG148" i="8"/>
  <c r="AM161" i="8"/>
  <c r="AM185" i="8" s="1"/>
  <c r="AP161" i="8"/>
  <c r="AS161" i="8"/>
  <c r="AV161" i="8"/>
  <c r="AY161" i="8"/>
  <c r="BB161" i="8"/>
  <c r="BE161" i="8"/>
  <c r="BH161" i="8"/>
  <c r="BK161" i="8"/>
  <c r="BN161" i="8"/>
  <c r="BQ161" i="8"/>
  <c r="BT161" i="8"/>
  <c r="C162" i="8"/>
  <c r="F162" i="8"/>
  <c r="I162" i="8"/>
  <c r="L162" i="8"/>
  <c r="O162" i="8"/>
  <c r="R162" i="8"/>
  <c r="U162" i="8"/>
  <c r="U186" i="8" s="1"/>
  <c r="X162" i="8"/>
  <c r="AA162" i="8"/>
  <c r="AD162" i="8"/>
  <c r="AG162" i="8"/>
  <c r="AJ162" i="8"/>
  <c r="AM162" i="8"/>
  <c r="AM186" i="8" s="1"/>
  <c r="AO186" i="8" s="1"/>
  <c r="AO212" i="8" s="1"/>
  <c r="AP162" i="8"/>
  <c r="AS162" i="8"/>
  <c r="AS186" i="8" s="1"/>
  <c r="AU186" i="8" s="1"/>
  <c r="AV162" i="8"/>
  <c r="AY162" i="8"/>
  <c r="BB162" i="8"/>
  <c r="BB186" i="8" s="1"/>
  <c r="BD186" i="8" s="1"/>
  <c r="BD212" i="8" s="1"/>
  <c r="BE162" i="8"/>
  <c r="BH162" i="8"/>
  <c r="BK162" i="8"/>
  <c r="BK186" i="8" s="1"/>
  <c r="BN162" i="8"/>
  <c r="BQ162" i="8"/>
  <c r="BT162" i="8"/>
  <c r="C163" i="8"/>
  <c r="F163" i="8"/>
  <c r="F187" i="8" s="1"/>
  <c r="I163" i="8"/>
  <c r="L163" i="8"/>
  <c r="O163" i="8"/>
  <c r="O187" i="8" s="1"/>
  <c r="Q187" i="8" s="1"/>
  <c r="Q213" i="8" s="1"/>
  <c r="R163" i="8"/>
  <c r="U163" i="8"/>
  <c r="X163" i="8"/>
  <c r="AA163" i="8"/>
  <c r="AD163" i="8"/>
  <c r="AD187" i="8" s="1"/>
  <c r="AG163" i="8"/>
  <c r="AJ163" i="8"/>
  <c r="AM163" i="8"/>
  <c r="AM187" i="8" s="1"/>
  <c r="AO187" i="8" s="1"/>
  <c r="AO213" i="8" s="1"/>
  <c r="AP163" i="8"/>
  <c r="AS163" i="8"/>
  <c r="AV163" i="8"/>
  <c r="AV187" i="8" s="1"/>
  <c r="AX187" i="8" s="1"/>
  <c r="AX213" i="8" s="1"/>
  <c r="AY163" i="8"/>
  <c r="BB163" i="8"/>
  <c r="BE163" i="8"/>
  <c r="BH163" i="8"/>
  <c r="BK163" i="8"/>
  <c r="BK187" i="8" s="1"/>
  <c r="BM187" i="8" s="1"/>
  <c r="BN163" i="8"/>
  <c r="BQ163" i="8"/>
  <c r="BQ187" i="8" s="1"/>
  <c r="BT163" i="8"/>
  <c r="BT187" i="8" s="1"/>
  <c r="BV187" i="8" s="1"/>
  <c r="C164" i="8"/>
  <c r="C188" i="8" s="1"/>
  <c r="F164" i="8"/>
  <c r="I164" i="8"/>
  <c r="L164" i="8"/>
  <c r="O164" i="8"/>
  <c r="O188" i="8" s="1"/>
  <c r="Q188" i="8" s="1"/>
  <c r="Q214" i="8" s="1"/>
  <c r="R164" i="8"/>
  <c r="U164" i="8"/>
  <c r="X164" i="8"/>
  <c r="AA164" i="8"/>
  <c r="AD164" i="8"/>
  <c r="AG164" i="8"/>
  <c r="AJ164" i="8"/>
  <c r="AM164" i="8"/>
  <c r="AM188" i="8" s="1"/>
  <c r="AO188" i="8" s="1"/>
  <c r="AO214" i="8" s="1"/>
  <c r="AP164" i="8"/>
  <c r="AS164" i="8"/>
  <c r="AV164" i="8"/>
  <c r="AY164" i="8"/>
  <c r="BB164" i="8"/>
  <c r="BB188" i="8" s="1"/>
  <c r="BD188" i="8" s="1"/>
  <c r="BE164" i="8"/>
  <c r="BH164" i="8"/>
  <c r="BK164" i="8"/>
  <c r="BK188" i="8" s="1"/>
  <c r="BM188" i="8" s="1"/>
  <c r="BN164" i="8"/>
  <c r="BQ164" i="8"/>
  <c r="BQ188" i="8" s="1"/>
  <c r="BS188" i="8" s="1"/>
  <c r="BS214" i="8" s="1"/>
  <c r="BT164" i="8"/>
  <c r="C165" i="8"/>
  <c r="F165" i="8"/>
  <c r="F189" i="8" s="1"/>
  <c r="I165" i="8"/>
  <c r="L165" i="8"/>
  <c r="O165" i="8"/>
  <c r="R165" i="8"/>
  <c r="U165" i="8"/>
  <c r="X165" i="8"/>
  <c r="AA165" i="8"/>
  <c r="AD165" i="8"/>
  <c r="AD189" i="8" s="1"/>
  <c r="AG165" i="8"/>
  <c r="AJ165" i="8"/>
  <c r="AM165" i="8"/>
  <c r="AP165" i="8"/>
  <c r="AS165" i="8"/>
  <c r="AS189" i="8" s="1"/>
  <c r="AU189" i="8" s="1"/>
  <c r="AV165" i="8"/>
  <c r="AV189" i="8" s="1"/>
  <c r="AX189" i="8" s="1"/>
  <c r="AX215" i="8" s="1"/>
  <c r="AY165" i="8"/>
  <c r="AY189" i="8" s="1"/>
  <c r="BA189" i="8" s="1"/>
  <c r="BA215" i="8" s="1"/>
  <c r="BB165" i="8"/>
  <c r="BE165" i="8"/>
  <c r="BH165" i="8"/>
  <c r="BK165" i="8"/>
  <c r="BK189" i="8" s="1"/>
  <c r="BM189" i="8" s="1"/>
  <c r="BM215" i="8" s="1"/>
  <c r="BN165" i="8"/>
  <c r="BQ165" i="8"/>
  <c r="BT165" i="8"/>
  <c r="BT189" i="8" s="1"/>
  <c r="BV189" i="8" s="1"/>
  <c r="AM166" i="8"/>
  <c r="AP166" i="8"/>
  <c r="BB166" i="8"/>
  <c r="BE166" i="8"/>
  <c r="BH166" i="8"/>
  <c r="BN166" i="8"/>
  <c r="U167" i="8"/>
  <c r="AM167" i="8"/>
  <c r="AM191" i="8" s="1"/>
  <c r="AP167" i="8"/>
  <c r="AS167" i="8"/>
  <c r="AV167" i="8"/>
  <c r="AV191" i="8" s="1"/>
  <c r="AV192" i="8" s="1"/>
  <c r="AY167" i="8"/>
  <c r="AY168" i="8" s="1"/>
  <c r="BB167" i="8"/>
  <c r="BE167" i="8"/>
  <c r="BH167" i="8"/>
  <c r="BK167" i="8"/>
  <c r="BN167" i="8"/>
  <c r="BQ167" i="8"/>
  <c r="BQ191" i="8" s="1"/>
  <c r="BS191" i="8" s="1"/>
  <c r="BS192" i="8" s="1"/>
  <c r="BT167" i="8"/>
  <c r="BT168" i="8" s="1"/>
  <c r="AM168" i="8"/>
  <c r="AP168" i="8"/>
  <c r="AS168" i="8"/>
  <c r="AV168" i="8"/>
  <c r="BE168" i="8"/>
  <c r="BH168" i="8"/>
  <c r="BK168" i="8"/>
  <c r="BN168" i="8"/>
  <c r="AM169" i="8"/>
  <c r="AM170" i="8" s="1"/>
  <c r="AP169" i="8"/>
  <c r="AS169" i="8"/>
  <c r="AV169" i="8"/>
  <c r="AV193" i="8" s="1"/>
  <c r="AY169" i="8"/>
  <c r="BB169" i="8"/>
  <c r="BE169" i="8"/>
  <c r="BH169" i="8"/>
  <c r="BK169" i="8"/>
  <c r="BN169" i="8"/>
  <c r="BQ169" i="8"/>
  <c r="BT169" i="8"/>
  <c r="BT193" i="8" s="1"/>
  <c r="AP170" i="8"/>
  <c r="AS170" i="8"/>
  <c r="AV170" i="8"/>
  <c r="AY170" i="8"/>
  <c r="BE170" i="8"/>
  <c r="BH170" i="8"/>
  <c r="BN170" i="8"/>
  <c r="BQ170" i="8"/>
  <c r="BT170" i="8"/>
  <c r="C171" i="8"/>
  <c r="F171" i="8"/>
  <c r="I171" i="8"/>
  <c r="L171" i="8"/>
  <c r="O171" i="8"/>
  <c r="R171" i="8"/>
  <c r="U171" i="8"/>
  <c r="X171" i="8"/>
  <c r="AA171" i="8"/>
  <c r="AD171" i="8"/>
  <c r="AG171" i="8"/>
  <c r="AJ171" i="8"/>
  <c r="AM171" i="8"/>
  <c r="AM173" i="8" s="1"/>
  <c r="AP171" i="8"/>
  <c r="AS171" i="8"/>
  <c r="AV171" i="8"/>
  <c r="AY171" i="8"/>
  <c r="BB171" i="8"/>
  <c r="BB195" i="8" s="1"/>
  <c r="BE171" i="8"/>
  <c r="BH171" i="8"/>
  <c r="BK171" i="8"/>
  <c r="BK173" i="8" s="1"/>
  <c r="BN171" i="8"/>
  <c r="BQ171" i="8"/>
  <c r="BT171" i="8"/>
  <c r="BT195" i="8" s="1"/>
  <c r="BT197" i="8" s="1"/>
  <c r="AM172" i="8"/>
  <c r="AM196" i="8" s="1"/>
  <c r="AO196" i="8" s="1"/>
  <c r="AO222" i="8" s="1"/>
  <c r="AP172" i="8"/>
  <c r="AS172" i="8"/>
  <c r="AS196" i="8" s="1"/>
  <c r="AU196" i="8" s="1"/>
  <c r="AU222" i="8" s="1"/>
  <c r="AV172" i="8"/>
  <c r="AV196" i="8" s="1"/>
  <c r="AY172" i="8"/>
  <c r="BB172" i="8"/>
  <c r="BE172" i="8"/>
  <c r="BH172" i="8"/>
  <c r="BK172" i="8"/>
  <c r="BN172" i="8"/>
  <c r="BQ172" i="8"/>
  <c r="BQ196" i="8" s="1"/>
  <c r="BS196" i="8" s="1"/>
  <c r="BS222" i="8" s="1"/>
  <c r="BT172" i="8"/>
  <c r="BT196" i="8" s="1"/>
  <c r="AP173" i="8"/>
  <c r="AV173" i="8"/>
  <c r="AY173" i="8"/>
  <c r="BE173" i="8"/>
  <c r="BH173" i="8"/>
  <c r="BN173" i="8"/>
  <c r="BT173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C175" i="8"/>
  <c r="F175" i="8"/>
  <c r="I175" i="8"/>
  <c r="L175" i="8"/>
  <c r="O175" i="8"/>
  <c r="R175" i="8"/>
  <c r="U175" i="8"/>
  <c r="U199" i="8" s="1"/>
  <c r="X175" i="8"/>
  <c r="AA175" i="8"/>
  <c r="AD175" i="8"/>
  <c r="AG175" i="8"/>
  <c r="AJ175" i="8"/>
  <c r="AM175" i="8"/>
  <c r="AM199" i="8" s="1"/>
  <c r="AO199" i="8" s="1"/>
  <c r="AP175" i="8"/>
  <c r="AS175" i="8"/>
  <c r="AV175" i="8"/>
  <c r="AY175" i="8"/>
  <c r="AY199" i="8" s="1"/>
  <c r="BA199" i="8" s="1"/>
  <c r="BA225" i="8" s="1"/>
  <c r="BB175" i="8"/>
  <c r="BE175" i="8"/>
  <c r="BH175" i="8"/>
  <c r="BK175" i="8"/>
  <c r="BK199" i="8" s="1"/>
  <c r="BM199" i="8" s="1"/>
  <c r="BN175" i="8"/>
  <c r="BQ175" i="8"/>
  <c r="BQ199" i="8" s="1"/>
  <c r="BT175" i="8"/>
  <c r="AM176" i="8"/>
  <c r="AP176" i="8"/>
  <c r="AS176" i="8"/>
  <c r="AV176" i="8"/>
  <c r="AV200" i="8" s="1"/>
  <c r="AX200" i="8" s="1"/>
  <c r="AX226" i="8" s="1"/>
  <c r="AY176" i="8"/>
  <c r="BB176" i="8"/>
  <c r="BB200" i="8" s="1"/>
  <c r="BE176" i="8"/>
  <c r="BH176" i="8"/>
  <c r="BK176" i="8"/>
  <c r="BK200" i="8" s="1"/>
  <c r="BM200" i="8" s="1"/>
  <c r="BM226" i="8" s="1"/>
  <c r="BN176" i="8"/>
  <c r="BQ176" i="8"/>
  <c r="BT176" i="8"/>
  <c r="BT200" i="8" s="1"/>
  <c r="BV200" i="8" s="1"/>
  <c r="BV226" i="8" s="1"/>
  <c r="X177" i="8"/>
  <c r="AM177" i="8"/>
  <c r="AP177" i="8"/>
  <c r="AS177" i="8"/>
  <c r="AS201" i="8" s="1"/>
  <c r="AU201" i="8" s="1"/>
  <c r="AV177" i="8"/>
  <c r="AY177" i="8"/>
  <c r="BB177" i="8"/>
  <c r="BE177" i="8"/>
  <c r="BH177" i="8"/>
  <c r="BK177" i="8"/>
  <c r="BN177" i="8"/>
  <c r="BQ177" i="8"/>
  <c r="BT177" i="8"/>
  <c r="BT201" i="8" s="1"/>
  <c r="AM178" i="8"/>
  <c r="AP178" i="8"/>
  <c r="AS178" i="8"/>
  <c r="AV178" i="8"/>
  <c r="AV202" i="8" s="1"/>
  <c r="AY178" i="8"/>
  <c r="BB178" i="8"/>
  <c r="BE178" i="8"/>
  <c r="BH178" i="8"/>
  <c r="BK178" i="8"/>
  <c r="BK202" i="8" s="1"/>
  <c r="BN178" i="8"/>
  <c r="BQ178" i="8"/>
  <c r="BT178" i="8"/>
  <c r="AP179" i="8"/>
  <c r="BE179" i="8"/>
  <c r="BH179" i="8"/>
  <c r="BN179" i="8"/>
  <c r="D185" i="8"/>
  <c r="G185" i="8"/>
  <c r="J185" i="8"/>
  <c r="M185" i="8"/>
  <c r="P185" i="8"/>
  <c r="S185" i="8"/>
  <c r="V185" i="8"/>
  <c r="Y185" i="8"/>
  <c r="AB185" i="8"/>
  <c r="AE185" i="8"/>
  <c r="AH185" i="8"/>
  <c r="AK185" i="8"/>
  <c r="AP185" i="8"/>
  <c r="BB185" i="8"/>
  <c r="BD185" i="8"/>
  <c r="BE185" i="8"/>
  <c r="BH185" i="8"/>
  <c r="BJ185" i="8"/>
  <c r="BN185" i="8"/>
  <c r="BP185" i="8"/>
  <c r="BQ185" i="8"/>
  <c r="BS185" i="8"/>
  <c r="D186" i="8"/>
  <c r="F186" i="8"/>
  <c r="H186" i="8" s="1"/>
  <c r="H212" i="8" s="1"/>
  <c r="G186" i="8"/>
  <c r="I186" i="8"/>
  <c r="J186" i="8"/>
  <c r="K186" i="8"/>
  <c r="K212" i="8" s="1"/>
  <c r="M186" i="8"/>
  <c r="N186" i="8" s="1"/>
  <c r="O186" i="8"/>
  <c r="Q186" i="8" s="1"/>
  <c r="P186" i="8"/>
  <c r="S186" i="8"/>
  <c r="V186" i="8"/>
  <c r="W186" i="8"/>
  <c r="X186" i="8"/>
  <c r="Z186" i="8" s="1"/>
  <c r="Z212" i="8" s="1"/>
  <c r="Y186" i="8"/>
  <c r="AA186" i="8"/>
  <c r="AC186" i="8" s="1"/>
  <c r="AC212" i="8" s="1"/>
  <c r="AB186" i="8"/>
  <c r="AD186" i="8"/>
  <c r="AE186" i="8"/>
  <c r="AF186" i="8"/>
  <c r="AF212" i="8" s="1"/>
  <c r="AG186" i="8"/>
  <c r="AH186" i="8"/>
  <c r="AI186" i="8"/>
  <c r="AI212" i="8" s="1"/>
  <c r="AK186" i="8"/>
  <c r="AP186" i="8"/>
  <c r="AR186" i="8"/>
  <c r="AV186" i="8"/>
  <c r="AX186" i="8" s="1"/>
  <c r="AX212" i="8" s="1"/>
  <c r="AY186" i="8"/>
  <c r="BA186" i="8" s="1"/>
  <c r="BA212" i="8" s="1"/>
  <c r="BE186" i="8"/>
  <c r="BG186" i="8" s="1"/>
  <c r="BH186" i="8"/>
  <c r="BH190" i="8" s="1"/>
  <c r="BJ186" i="8"/>
  <c r="BM186" i="8"/>
  <c r="BM212" i="8" s="1"/>
  <c r="BN186" i="8"/>
  <c r="BP186" i="8"/>
  <c r="BQ186" i="8"/>
  <c r="BS186" i="8" s="1"/>
  <c r="BS212" i="8" s="1"/>
  <c r="BT186" i="8"/>
  <c r="BV186" i="8" s="1"/>
  <c r="C187" i="8"/>
  <c r="E187" i="8" s="1"/>
  <c r="D187" i="8"/>
  <c r="G187" i="8"/>
  <c r="I187" i="8"/>
  <c r="J187" i="8"/>
  <c r="K187" i="8" s="1"/>
  <c r="K213" i="8" s="1"/>
  <c r="J213" i="8" s="1"/>
  <c r="L187" i="8"/>
  <c r="N187" i="8" s="1"/>
  <c r="N213" i="8" s="1"/>
  <c r="M187" i="8"/>
  <c r="P187" i="8"/>
  <c r="S187" i="8"/>
  <c r="V187" i="8"/>
  <c r="Y187" i="8"/>
  <c r="AB187" i="8"/>
  <c r="AE187" i="8"/>
  <c r="AG187" i="8"/>
  <c r="AH187" i="8"/>
  <c r="AI187" i="8" s="1"/>
  <c r="AI213" i="8" s="1"/>
  <c r="AH213" i="8" s="1"/>
  <c r="AJ187" i="8"/>
  <c r="AL187" i="8" s="1"/>
  <c r="AL213" i="8" s="1"/>
  <c r="AK187" i="8"/>
  <c r="AP187" i="8"/>
  <c r="AR187" i="8"/>
  <c r="AS187" i="8"/>
  <c r="AU187" i="8" s="1"/>
  <c r="AU213" i="8" s="1"/>
  <c r="AY187" i="8"/>
  <c r="BA187" i="8" s="1"/>
  <c r="BB187" i="8"/>
  <c r="BE187" i="8"/>
  <c r="BG187" i="8" s="1"/>
  <c r="BG213" i="8" s="1"/>
  <c r="BH187" i="8"/>
  <c r="BJ187" i="8"/>
  <c r="BN187" i="8"/>
  <c r="BP187" i="8" s="1"/>
  <c r="BP213" i="8" s="1"/>
  <c r="BS187" i="8"/>
  <c r="BS213" i="8" s="1"/>
  <c r="D188" i="8"/>
  <c r="E188" i="8"/>
  <c r="F188" i="8"/>
  <c r="G188" i="8"/>
  <c r="H188" i="8"/>
  <c r="H214" i="8" s="1"/>
  <c r="I188" i="8"/>
  <c r="J188" i="8"/>
  <c r="K188" i="8"/>
  <c r="M188" i="8"/>
  <c r="N188" i="8" s="1"/>
  <c r="P188" i="8"/>
  <c r="S188" i="8"/>
  <c r="V188" i="8"/>
  <c r="X188" i="8"/>
  <c r="Z188" i="8" s="1"/>
  <c r="Z214" i="8" s="1"/>
  <c r="Y188" i="8"/>
  <c r="AB188" i="8"/>
  <c r="AD188" i="8"/>
  <c r="AE188" i="8"/>
  <c r="AF188" i="8" s="1"/>
  <c r="AF214" i="8" s="1"/>
  <c r="AG188" i="8"/>
  <c r="AH188" i="8"/>
  <c r="AI188" i="8"/>
  <c r="AI214" i="8" s="1"/>
  <c r="AK188" i="8"/>
  <c r="AP188" i="8"/>
  <c r="AR188" i="8"/>
  <c r="AS188" i="8"/>
  <c r="AU188" i="8" s="1"/>
  <c r="AV188" i="8"/>
  <c r="AX188" i="8"/>
  <c r="AX214" i="8" s="1"/>
  <c r="AY188" i="8"/>
  <c r="BA188" i="8" s="1"/>
  <c r="BA214" i="8" s="1"/>
  <c r="BE188" i="8"/>
  <c r="BG188" i="8" s="1"/>
  <c r="BH188" i="8"/>
  <c r="BJ188" i="8"/>
  <c r="BN188" i="8"/>
  <c r="BP188" i="8"/>
  <c r="BT188" i="8"/>
  <c r="BV188" i="8" s="1"/>
  <c r="BV214" i="8" s="1"/>
  <c r="C189" i="8"/>
  <c r="E189" i="8" s="1"/>
  <c r="E215" i="8" s="1"/>
  <c r="D189" i="8"/>
  <c r="G189" i="8"/>
  <c r="I189" i="8"/>
  <c r="J189" i="8"/>
  <c r="L189" i="8"/>
  <c r="N189" i="8" s="1"/>
  <c r="M189" i="8"/>
  <c r="O189" i="8"/>
  <c r="Q189" i="8" s="1"/>
  <c r="Q215" i="8" s="1"/>
  <c r="P189" i="8"/>
  <c r="R189" i="8"/>
  <c r="S189" i="8"/>
  <c r="V189" i="8"/>
  <c r="Y189" i="8"/>
  <c r="AA189" i="8"/>
  <c r="AC189" i="8" s="1"/>
  <c r="AC215" i="8" s="1"/>
  <c r="AB189" i="8"/>
  <c r="AE189" i="8"/>
  <c r="AG189" i="8"/>
  <c r="AH189" i="8"/>
  <c r="AI189" i="8" s="1"/>
  <c r="AJ189" i="8"/>
  <c r="AL189" i="8" s="1"/>
  <c r="AK189" i="8"/>
  <c r="AM189" i="8"/>
  <c r="AO189" i="8" s="1"/>
  <c r="AO215" i="8" s="1"/>
  <c r="AP189" i="8"/>
  <c r="AR189" i="8" s="1"/>
  <c r="AR215" i="8" s="1"/>
  <c r="BB189" i="8"/>
  <c r="BD189" i="8"/>
  <c r="BE189" i="8"/>
  <c r="BG189" i="8" s="1"/>
  <c r="BG215" i="8" s="1"/>
  <c r="BH189" i="8"/>
  <c r="BJ189" i="8"/>
  <c r="BN189" i="8"/>
  <c r="BP189" i="8"/>
  <c r="BQ189" i="8"/>
  <c r="BS189" i="8" s="1"/>
  <c r="BS215" i="8" s="1"/>
  <c r="D191" i="8"/>
  <c r="G191" i="8"/>
  <c r="J191" i="8"/>
  <c r="M191" i="8"/>
  <c r="P191" i="8"/>
  <c r="S191" i="8"/>
  <c r="V191" i="8"/>
  <c r="Y191" i="8"/>
  <c r="AB191" i="8"/>
  <c r="AE191" i="8"/>
  <c r="AH191" i="8"/>
  <c r="AK191" i="8"/>
  <c r="AO191" i="8"/>
  <c r="AP191" i="8"/>
  <c r="AR191" i="8"/>
  <c r="AS191" i="8"/>
  <c r="AU191" i="8" s="1"/>
  <c r="AU192" i="8" s="1"/>
  <c r="AY191" i="8"/>
  <c r="BE191" i="8"/>
  <c r="BG191" i="8" s="1"/>
  <c r="BG192" i="8" s="1"/>
  <c r="BH191" i="8"/>
  <c r="BH192" i="8" s="1"/>
  <c r="BJ191" i="8"/>
  <c r="BK191" i="8"/>
  <c r="BM191" i="8" s="1"/>
  <c r="BN191" i="8"/>
  <c r="BP191" i="8"/>
  <c r="AM192" i="8"/>
  <c r="AP192" i="8"/>
  <c r="AR192" i="8"/>
  <c r="AS192" i="8"/>
  <c r="BE192" i="8"/>
  <c r="BK192" i="8"/>
  <c r="BN192" i="8"/>
  <c r="BP192" i="8"/>
  <c r="BQ192" i="8"/>
  <c r="D193" i="8"/>
  <c r="G193" i="8"/>
  <c r="J193" i="8"/>
  <c r="M193" i="8"/>
  <c r="P193" i="8"/>
  <c r="S193" i="8"/>
  <c r="V193" i="8"/>
  <c r="Y193" i="8"/>
  <c r="AB193" i="8"/>
  <c r="AE193" i="8"/>
  <c r="AH193" i="8"/>
  <c r="AK193" i="8"/>
  <c r="AM193" i="8"/>
  <c r="AP193" i="8"/>
  <c r="AR193" i="8"/>
  <c r="AS193" i="8"/>
  <c r="AU193" i="8" s="1"/>
  <c r="AU194" i="8" s="1"/>
  <c r="AY193" i="8"/>
  <c r="BA193" i="8" s="1"/>
  <c r="BE193" i="8"/>
  <c r="BH193" i="8"/>
  <c r="BJ193" i="8"/>
  <c r="BN193" i="8"/>
  <c r="BP193" i="8"/>
  <c r="BQ193" i="8"/>
  <c r="BQ194" i="8" s="1"/>
  <c r="BS193" i="8"/>
  <c r="AP194" i="8"/>
  <c r="AS194" i="8"/>
  <c r="AY194" i="8"/>
  <c r="BH194" i="8"/>
  <c r="BJ194" i="8"/>
  <c r="BN194" i="8"/>
  <c r="BP194" i="8"/>
  <c r="D195" i="8"/>
  <c r="E195" i="8"/>
  <c r="F195" i="8"/>
  <c r="G195" i="8"/>
  <c r="I195" i="8"/>
  <c r="J195" i="8"/>
  <c r="K195" i="8"/>
  <c r="M195" i="8"/>
  <c r="O195" i="8"/>
  <c r="P195" i="8"/>
  <c r="S195" i="8"/>
  <c r="U195" i="8"/>
  <c r="W195" i="8" s="1"/>
  <c r="W221" i="8" s="1"/>
  <c r="V195" i="8"/>
  <c r="X195" i="8"/>
  <c r="Y195" i="8"/>
  <c r="AA195" i="8"/>
  <c r="AB195" i="8"/>
  <c r="AD195" i="8"/>
  <c r="AE195" i="8"/>
  <c r="AG195" i="8"/>
  <c r="AH195" i="8"/>
  <c r="AI195" i="8"/>
  <c r="AK195" i="8"/>
  <c r="AM195" i="8"/>
  <c r="AM197" i="8" s="1"/>
  <c r="AO195" i="8"/>
  <c r="AP195" i="8"/>
  <c r="AR195" i="8"/>
  <c r="AV195" i="8"/>
  <c r="AV197" i="8" s="1"/>
  <c r="AX195" i="8"/>
  <c r="AX197" i="8" s="1"/>
  <c r="AY195" i="8"/>
  <c r="AY197" i="8" s="1"/>
  <c r="BA195" i="8"/>
  <c r="BD195" i="8"/>
  <c r="BE195" i="8"/>
  <c r="BG195" i="8" s="1"/>
  <c r="BH195" i="8"/>
  <c r="BJ195" i="8" s="1"/>
  <c r="BK195" i="8"/>
  <c r="BM195" i="8"/>
  <c r="BN195" i="8"/>
  <c r="BP195" i="8"/>
  <c r="BQ195" i="8"/>
  <c r="BV195" i="8"/>
  <c r="BV221" i="8" s="1"/>
  <c r="D196" i="8"/>
  <c r="G196" i="8"/>
  <c r="J196" i="8"/>
  <c r="M196" i="8"/>
  <c r="P196" i="8"/>
  <c r="S196" i="8"/>
  <c r="V196" i="8"/>
  <c r="Y196" i="8"/>
  <c r="AB196" i="8"/>
  <c r="AE196" i="8"/>
  <c r="AH196" i="8"/>
  <c r="AK196" i="8"/>
  <c r="AP196" i="8"/>
  <c r="AR196" i="8"/>
  <c r="AX196" i="8"/>
  <c r="AY196" i="8"/>
  <c r="BA196" i="8" s="1"/>
  <c r="BA222" i="8" s="1"/>
  <c r="BB196" i="8"/>
  <c r="BD196" i="8" s="1"/>
  <c r="BE196" i="8"/>
  <c r="BE197" i="8" s="1"/>
  <c r="BH196" i="8"/>
  <c r="BJ196" i="8"/>
  <c r="BK196" i="8"/>
  <c r="BM196" i="8" s="1"/>
  <c r="BM222" i="8" s="1"/>
  <c r="BN196" i="8"/>
  <c r="BP196" i="8" s="1"/>
  <c r="BP222" i="8" s="1"/>
  <c r="BV196" i="8"/>
  <c r="BV222" i="8" s="1"/>
  <c r="BV223" i="8" s="1"/>
  <c r="AP197" i="8"/>
  <c r="AR197" i="8"/>
  <c r="BB197" i="8"/>
  <c r="BD197" i="8"/>
  <c r="BH197" i="8"/>
  <c r="BN197" i="8"/>
  <c r="BV197" i="8"/>
  <c r="D198" i="8"/>
  <c r="G198" i="8"/>
  <c r="J198" i="8"/>
  <c r="M198" i="8"/>
  <c r="P198" i="8"/>
  <c r="S198" i="8"/>
  <c r="V198" i="8"/>
  <c r="Y198" i="8"/>
  <c r="AB198" i="8"/>
  <c r="AE198" i="8"/>
  <c r="AH198" i="8"/>
  <c r="AK198" i="8"/>
  <c r="AM198" i="8"/>
  <c r="AO198" i="8"/>
  <c r="AP198" i="8"/>
  <c r="AR198" i="8"/>
  <c r="BB198" i="8"/>
  <c r="BD198" i="8"/>
  <c r="BE198" i="8"/>
  <c r="BH198" i="8"/>
  <c r="BJ198" i="8" s="1"/>
  <c r="BK198" i="8"/>
  <c r="BN198" i="8"/>
  <c r="BP198" i="8"/>
  <c r="BT198" i="8"/>
  <c r="BV198" i="8"/>
  <c r="D199" i="8"/>
  <c r="F199" i="8"/>
  <c r="G199" i="8"/>
  <c r="I199" i="8"/>
  <c r="J199" i="8"/>
  <c r="K199" i="8"/>
  <c r="K225" i="8" s="1"/>
  <c r="M199" i="8"/>
  <c r="O199" i="8"/>
  <c r="Q199" i="8" s="1"/>
  <c r="Q225" i="8" s="1"/>
  <c r="F206" i="97" s="1"/>
  <c r="P199" i="8"/>
  <c r="R199" i="8"/>
  <c r="S199" i="8"/>
  <c r="V199" i="8"/>
  <c r="W199" i="8"/>
  <c r="W225" i="8" s="1"/>
  <c r="V225" i="8" s="1"/>
  <c r="Y199" i="8"/>
  <c r="AB199" i="8"/>
  <c r="AD199" i="8"/>
  <c r="AF199" i="8" s="1"/>
  <c r="AF225" i="8" s="1"/>
  <c r="K206" i="97" s="1"/>
  <c r="AE199" i="8"/>
  <c r="AG199" i="8"/>
  <c r="AH199" i="8"/>
  <c r="AI199" i="8"/>
  <c r="AI225" i="8" s="1"/>
  <c r="AK199" i="8"/>
  <c r="AP199" i="8"/>
  <c r="AP203" i="8" s="1"/>
  <c r="AR199" i="8"/>
  <c r="AR225" i="8" s="1"/>
  <c r="AR229" i="8" s="1"/>
  <c r="AS199" i="8"/>
  <c r="AU199" i="8" s="1"/>
  <c r="AU225" i="8" s="1"/>
  <c r="AV199" i="8"/>
  <c r="AX199" i="8" s="1"/>
  <c r="BB199" i="8"/>
  <c r="BD199" i="8"/>
  <c r="BE199" i="8"/>
  <c r="BG199" i="8"/>
  <c r="BG225" i="8" s="1"/>
  <c r="BH199" i="8"/>
  <c r="BH203" i="8" s="1"/>
  <c r="BJ199" i="8"/>
  <c r="BJ225" i="8" s="1"/>
  <c r="BN199" i="8"/>
  <c r="BP199" i="8"/>
  <c r="BS199" i="8"/>
  <c r="BT199" i="8"/>
  <c r="BV199" i="8" s="1"/>
  <c r="D200" i="8"/>
  <c r="G200" i="8"/>
  <c r="J200" i="8"/>
  <c r="M200" i="8"/>
  <c r="P200" i="8"/>
  <c r="S200" i="8"/>
  <c r="V200" i="8"/>
  <c r="Y200" i="8"/>
  <c r="AB200" i="8"/>
  <c r="AE200" i="8"/>
  <c r="AH200" i="8"/>
  <c r="AK200" i="8"/>
  <c r="AM200" i="8"/>
  <c r="AO200" i="8" s="1"/>
  <c r="AO226" i="8" s="1"/>
  <c r="AP200" i="8"/>
  <c r="AR200" i="8"/>
  <c r="AR226" i="8" s="1"/>
  <c r="AS200" i="8"/>
  <c r="AU200" i="8" s="1"/>
  <c r="AY200" i="8"/>
  <c r="BA200" i="8"/>
  <c r="BD200" i="8"/>
  <c r="BD226" i="8" s="1"/>
  <c r="BE200" i="8"/>
  <c r="BG200" i="8" s="1"/>
  <c r="BG226" i="8" s="1"/>
  <c r="BH200" i="8"/>
  <c r="BJ200" i="8"/>
  <c r="BJ226" i="8" s="1"/>
  <c r="BN200" i="8"/>
  <c r="BP200" i="8" s="1"/>
  <c r="BQ200" i="8"/>
  <c r="BS200" i="8" s="1"/>
  <c r="D201" i="8"/>
  <c r="G201" i="8"/>
  <c r="J201" i="8"/>
  <c r="M201" i="8"/>
  <c r="P201" i="8"/>
  <c r="S201" i="8"/>
  <c r="V201" i="8"/>
  <c r="Y201" i="8"/>
  <c r="AB201" i="8"/>
  <c r="AE201" i="8"/>
  <c r="AH201" i="8"/>
  <c r="AK201" i="8"/>
  <c r="AM201" i="8"/>
  <c r="AO201" i="8" s="1"/>
  <c r="AO227" i="8" s="1"/>
  <c r="AP201" i="8"/>
  <c r="AR201" i="8"/>
  <c r="AV201" i="8"/>
  <c r="AX201" i="8" s="1"/>
  <c r="AX227" i="8" s="1"/>
  <c r="AY201" i="8"/>
  <c r="BA201" i="8" s="1"/>
  <c r="BA227" i="8" s="1"/>
  <c r="BB201" i="8"/>
  <c r="BD201" i="8" s="1"/>
  <c r="BD227" i="8" s="1"/>
  <c r="BE201" i="8"/>
  <c r="BG201" i="8" s="1"/>
  <c r="BH201" i="8"/>
  <c r="BJ201" i="8"/>
  <c r="BK201" i="8"/>
  <c r="BM201" i="8" s="1"/>
  <c r="BN201" i="8"/>
  <c r="BP201" i="8"/>
  <c r="BP203" i="8" s="1"/>
  <c r="BQ201" i="8"/>
  <c r="BS201" i="8" s="1"/>
  <c r="BS227" i="8" s="1"/>
  <c r="BV201" i="8"/>
  <c r="D202" i="8"/>
  <c r="G202" i="8"/>
  <c r="J202" i="8"/>
  <c r="M202" i="8"/>
  <c r="P202" i="8"/>
  <c r="S202" i="8"/>
  <c r="V202" i="8"/>
  <c r="Y202" i="8"/>
  <c r="AB202" i="8"/>
  <c r="AE202" i="8"/>
  <c r="AH202" i="8"/>
  <c r="AK202" i="8"/>
  <c r="AM202" i="8"/>
  <c r="AO202" i="8" s="1"/>
  <c r="AO228" i="8" s="1"/>
  <c r="AP202" i="8"/>
  <c r="AR202" i="8"/>
  <c r="AS202" i="8"/>
  <c r="AU202" i="8" s="1"/>
  <c r="AX202" i="8"/>
  <c r="AY202" i="8"/>
  <c r="BA202" i="8" s="1"/>
  <c r="BE202" i="8"/>
  <c r="BG202" i="8" s="1"/>
  <c r="BH202" i="8"/>
  <c r="BJ202" i="8" s="1"/>
  <c r="BM202" i="8"/>
  <c r="BN202" i="8"/>
  <c r="BP202" i="8"/>
  <c r="BQ202" i="8"/>
  <c r="BS202" i="8" s="1"/>
  <c r="BT202" i="8"/>
  <c r="BV202" i="8" s="1"/>
  <c r="BV228" i="8" s="1"/>
  <c r="AM211" i="8"/>
  <c r="AN211" i="8" s="1"/>
  <c r="AP211" i="8"/>
  <c r="AS211" i="8"/>
  <c r="AV211" i="8"/>
  <c r="AW211" i="8"/>
  <c r="AY211" i="8"/>
  <c r="AZ211" i="8" s="1"/>
  <c r="BB211" i="8"/>
  <c r="BC211" i="8"/>
  <c r="BE211" i="8"/>
  <c r="BF211" i="8"/>
  <c r="BH211" i="8"/>
  <c r="BJ211" i="8"/>
  <c r="BK211" i="8"/>
  <c r="BL211" i="8" s="1"/>
  <c r="BN211" i="8"/>
  <c r="BO211" i="8"/>
  <c r="BP211" i="8"/>
  <c r="BQ211" i="8"/>
  <c r="BR211" i="8"/>
  <c r="BT211" i="8"/>
  <c r="BU211" i="8"/>
  <c r="C212" i="8"/>
  <c r="D212" i="8"/>
  <c r="F212" i="8"/>
  <c r="G212" i="8"/>
  <c r="I212" i="8"/>
  <c r="J212" i="8"/>
  <c r="L212" i="8"/>
  <c r="M212" i="8"/>
  <c r="N212" i="8"/>
  <c r="E240" i="97" s="1"/>
  <c r="E159" i="97" s="1"/>
  <c r="O212" i="8"/>
  <c r="Q212" i="8"/>
  <c r="F240" i="97" s="1"/>
  <c r="R212" i="8"/>
  <c r="S212" i="8"/>
  <c r="U212" i="8"/>
  <c r="V212" i="8"/>
  <c r="W212" i="8"/>
  <c r="X212" i="8"/>
  <c r="Y212" i="8"/>
  <c r="AA212" i="8"/>
  <c r="AB212" i="8"/>
  <c r="AD212" i="8"/>
  <c r="AE212" i="8"/>
  <c r="AG212" i="8"/>
  <c r="AH212" i="8" s="1"/>
  <c r="AJ212" i="8"/>
  <c r="M62" i="97" s="1"/>
  <c r="AK212" i="8"/>
  <c r="AM212" i="8"/>
  <c r="AN212" i="8" s="1"/>
  <c r="AP212" i="8"/>
  <c r="AQ212" i="8"/>
  <c r="AR212" i="8"/>
  <c r="AS212" i="8"/>
  <c r="AT212" i="8"/>
  <c r="AU212" i="8"/>
  <c r="AV212" i="8"/>
  <c r="AW212" i="8"/>
  <c r="AY212" i="8"/>
  <c r="AZ212" i="8" s="1"/>
  <c r="BB212" i="8"/>
  <c r="BC212" i="8" s="1"/>
  <c r="BE212" i="8"/>
  <c r="BG212" i="8"/>
  <c r="BH212" i="8"/>
  <c r="BI212" i="8" s="1"/>
  <c r="BJ212" i="8"/>
  <c r="BK212" i="8"/>
  <c r="BN212" i="8"/>
  <c r="BO212" i="8" s="1"/>
  <c r="BP212" i="8"/>
  <c r="BQ212" i="8"/>
  <c r="BR212" i="8" s="1"/>
  <c r="BT212" i="8"/>
  <c r="BU212" i="8"/>
  <c r="BV212" i="8"/>
  <c r="C213" i="8"/>
  <c r="D213" i="8"/>
  <c r="E213" i="8"/>
  <c r="F213" i="8"/>
  <c r="I213" i="8"/>
  <c r="L213" i="8"/>
  <c r="M213" i="8" s="1"/>
  <c r="O213" i="8"/>
  <c r="R213" i="8"/>
  <c r="U213" i="8"/>
  <c r="X213" i="8"/>
  <c r="AA213" i="8"/>
  <c r="AD213" i="8"/>
  <c r="AG213" i="8"/>
  <c r="AJ213" i="8"/>
  <c r="AM213" i="8"/>
  <c r="AN213" i="8" s="1"/>
  <c r="AP213" i="8"/>
  <c r="AQ213" i="8"/>
  <c r="AR213" i="8"/>
  <c r="AS213" i="8"/>
  <c r="AT213" i="8" s="1"/>
  <c r="AV213" i="8"/>
  <c r="AW213" i="8"/>
  <c r="AY213" i="8"/>
  <c r="AZ213" i="8"/>
  <c r="BA213" i="8"/>
  <c r="BB213" i="8"/>
  <c r="BC213" i="8" s="1"/>
  <c r="BE213" i="8"/>
  <c r="BF213" i="8"/>
  <c r="BH213" i="8"/>
  <c r="BI213" i="8"/>
  <c r="BJ213" i="8"/>
  <c r="BK213" i="8"/>
  <c r="BL213" i="8" s="1"/>
  <c r="BM213" i="8"/>
  <c r="BN213" i="8"/>
  <c r="BO213" i="8" s="1"/>
  <c r="BQ213" i="8"/>
  <c r="BR213" i="8" s="1"/>
  <c r="BT213" i="8"/>
  <c r="BU213" i="8"/>
  <c r="BV213" i="8"/>
  <c r="C214" i="8"/>
  <c r="E214" i="8"/>
  <c r="B225" i="97" s="1"/>
  <c r="F214" i="8"/>
  <c r="I214" i="8"/>
  <c r="J214" i="8"/>
  <c r="K214" i="8"/>
  <c r="L214" i="8"/>
  <c r="M214" i="8" s="1"/>
  <c r="N214" i="8"/>
  <c r="O214" i="8"/>
  <c r="P214" i="8"/>
  <c r="R214" i="8"/>
  <c r="S214" i="8"/>
  <c r="U214" i="8"/>
  <c r="V214" i="8"/>
  <c r="X214" i="8"/>
  <c r="AA214" i="8"/>
  <c r="AB214" i="8"/>
  <c r="AD214" i="8"/>
  <c r="AE214" i="8"/>
  <c r="AG214" i="8"/>
  <c r="AJ214" i="8"/>
  <c r="AK214" i="8" s="1"/>
  <c r="AM214" i="8"/>
  <c r="AN214" i="8" s="1"/>
  <c r="AP214" i="8"/>
  <c r="AQ214" i="8" s="1"/>
  <c r="AR214" i="8"/>
  <c r="AS214" i="8"/>
  <c r="AT214" i="8"/>
  <c r="AU214" i="8"/>
  <c r="AV214" i="8"/>
  <c r="AW214" i="8"/>
  <c r="AY214" i="8"/>
  <c r="AZ214" i="8"/>
  <c r="BB214" i="8"/>
  <c r="BC214" i="8"/>
  <c r="BD214" i="8"/>
  <c r="BE214" i="8"/>
  <c r="BF214" i="8" s="1"/>
  <c r="BG214" i="8"/>
  <c r="BH214" i="8"/>
  <c r="BI214" i="8" s="1"/>
  <c r="BJ214" i="8"/>
  <c r="BK214" i="8"/>
  <c r="BL214" i="8"/>
  <c r="BM214" i="8"/>
  <c r="BN214" i="8"/>
  <c r="BO214" i="8" s="1"/>
  <c r="BP214" i="8"/>
  <c r="BQ214" i="8"/>
  <c r="BR214" i="8"/>
  <c r="BT214" i="8"/>
  <c r="BU214" i="8" s="1"/>
  <c r="C215" i="8"/>
  <c r="D215" i="8" s="1"/>
  <c r="F215" i="8"/>
  <c r="I215" i="8"/>
  <c r="L215" i="8"/>
  <c r="N215" i="8"/>
  <c r="O215" i="8"/>
  <c r="R215" i="8"/>
  <c r="U215" i="8"/>
  <c r="X215" i="8"/>
  <c r="AA215" i="8"/>
  <c r="AD215" i="8"/>
  <c r="AG215" i="8"/>
  <c r="AI215" i="8"/>
  <c r="AJ215" i="8"/>
  <c r="AK215" i="8" s="1"/>
  <c r="AL215" i="8"/>
  <c r="AM215" i="8"/>
  <c r="AN215" i="8"/>
  <c r="AP215" i="8"/>
  <c r="AQ215" i="8"/>
  <c r="AS215" i="8"/>
  <c r="AT215" i="8"/>
  <c r="AU215" i="8"/>
  <c r="AV215" i="8"/>
  <c r="AW215" i="8" s="1"/>
  <c r="AY215" i="8"/>
  <c r="BB215" i="8"/>
  <c r="BC215" i="8" s="1"/>
  <c r="BD215" i="8"/>
  <c r="BE215" i="8"/>
  <c r="BF215" i="8" s="1"/>
  <c r="BH215" i="8"/>
  <c r="BI215" i="8" s="1"/>
  <c r="BJ215" i="8"/>
  <c r="BK215" i="8"/>
  <c r="BL215" i="8" s="1"/>
  <c r="BN215" i="8"/>
  <c r="BO215" i="8" s="1"/>
  <c r="BP215" i="8"/>
  <c r="BQ215" i="8"/>
  <c r="BR215" i="8"/>
  <c r="BT215" i="8"/>
  <c r="BU215" i="8" s="1"/>
  <c r="BV215" i="8"/>
  <c r="AV216" i="8"/>
  <c r="BP216" i="8"/>
  <c r="BQ216" i="8"/>
  <c r="AM217" i="8"/>
  <c r="AM218" i="8" s="1"/>
  <c r="AN217" i="8"/>
  <c r="AP217" i="8"/>
  <c r="AP218" i="8" s="1"/>
  <c r="AQ217" i="8"/>
  <c r="AR217" i="8"/>
  <c r="AR218" i="8" s="1"/>
  <c r="AS217" i="8"/>
  <c r="AT217" i="8"/>
  <c r="AU217" i="8"/>
  <c r="AV217" i="8"/>
  <c r="AW217" i="8" s="1"/>
  <c r="AY217" i="8"/>
  <c r="AZ217" i="8"/>
  <c r="BB217" i="8"/>
  <c r="BE217" i="8"/>
  <c r="BG217" i="8"/>
  <c r="BG218" i="8" s="1"/>
  <c r="BH217" i="8"/>
  <c r="BI217" i="8" s="1"/>
  <c r="BK217" i="8"/>
  <c r="BN217" i="8"/>
  <c r="BN218" i="8" s="1"/>
  <c r="BO217" i="8"/>
  <c r="BP217" i="8"/>
  <c r="BP218" i="8" s="1"/>
  <c r="BQ217" i="8"/>
  <c r="BR217" i="8"/>
  <c r="BS217" i="8"/>
  <c r="BS218" i="8" s="1"/>
  <c r="BT217" i="8"/>
  <c r="BU217" i="8"/>
  <c r="AS218" i="8"/>
  <c r="AU218" i="8"/>
  <c r="AV218" i="8"/>
  <c r="AY218" i="8"/>
  <c r="BH218" i="8"/>
  <c r="BQ218" i="8"/>
  <c r="BT218" i="8"/>
  <c r="AJ219" i="8"/>
  <c r="AM219" i="8"/>
  <c r="AM220" i="8" s="1"/>
  <c r="AN219" i="8"/>
  <c r="AP219" i="8"/>
  <c r="AS219" i="8"/>
  <c r="AT219" i="8"/>
  <c r="AU219" i="8"/>
  <c r="AU220" i="8" s="1"/>
  <c r="AV219" i="8"/>
  <c r="AW219" i="8" s="1"/>
  <c r="AY219" i="8"/>
  <c r="AZ219" i="8"/>
  <c r="BB219" i="8"/>
  <c r="BB220" i="8" s="1"/>
  <c r="BC219" i="8"/>
  <c r="BE219" i="8"/>
  <c r="BE220" i="8" s="1"/>
  <c r="BH219" i="8"/>
  <c r="BI219" i="8" s="1"/>
  <c r="BJ219" i="8"/>
  <c r="BK219" i="8"/>
  <c r="BK220" i="8" s="1"/>
  <c r="BN219" i="8"/>
  <c r="BN220" i="8" s="1"/>
  <c r="BO219" i="8"/>
  <c r="BP219" i="8"/>
  <c r="BQ219" i="8"/>
  <c r="BR219" i="8"/>
  <c r="BT219" i="8"/>
  <c r="BU219" i="8"/>
  <c r="AS220" i="8"/>
  <c r="AV220" i="8"/>
  <c r="AY220" i="8"/>
  <c r="BH220" i="8"/>
  <c r="BJ220" i="8"/>
  <c r="BP220" i="8"/>
  <c r="BQ220" i="8"/>
  <c r="BT220" i="8"/>
  <c r="C221" i="8"/>
  <c r="F221" i="8"/>
  <c r="G221" i="8" s="1"/>
  <c r="I221" i="8"/>
  <c r="J221" i="8"/>
  <c r="K221" i="8"/>
  <c r="L221" i="8"/>
  <c r="O221" i="8"/>
  <c r="P221" i="8" s="1"/>
  <c r="R221" i="8"/>
  <c r="S221" i="8" s="1"/>
  <c r="U221" i="8"/>
  <c r="V221" i="8"/>
  <c r="X221" i="8"/>
  <c r="Y221" i="8"/>
  <c r="AA221" i="8"/>
  <c r="AB221" i="8" s="1"/>
  <c r="AD221" i="8"/>
  <c r="AG221" i="8"/>
  <c r="AH221" i="8"/>
  <c r="AI221" i="8"/>
  <c r="AJ221" i="8"/>
  <c r="AM221" i="8"/>
  <c r="AN221" i="8" s="1"/>
  <c r="AP221" i="8"/>
  <c r="AQ221" i="8"/>
  <c r="AR221" i="8"/>
  <c r="AR223" i="8" s="1"/>
  <c r="AS221" i="8"/>
  <c r="AT221" i="8"/>
  <c r="AV221" i="8"/>
  <c r="AW221" i="8"/>
  <c r="AX221" i="8"/>
  <c r="AY221" i="8"/>
  <c r="AY223" i="8" s="1"/>
  <c r="AZ221" i="8"/>
  <c r="BB221" i="8"/>
  <c r="BD221" i="8"/>
  <c r="BD223" i="8" s="1"/>
  <c r="BE221" i="8"/>
  <c r="BF221" i="8"/>
  <c r="BG221" i="8"/>
  <c r="BH221" i="8"/>
  <c r="BJ221" i="8"/>
  <c r="BJ223" i="8" s="1"/>
  <c r="BK221" i="8"/>
  <c r="BM221" i="8"/>
  <c r="BN221" i="8"/>
  <c r="BO221" i="8"/>
  <c r="BQ221" i="8"/>
  <c r="BR221" i="8"/>
  <c r="BT221" i="8"/>
  <c r="AM222" i="8"/>
  <c r="AN222" i="8"/>
  <c r="AP222" i="8"/>
  <c r="AQ222" i="8"/>
  <c r="AR222" i="8"/>
  <c r="AS222" i="8"/>
  <c r="AT222" i="8"/>
  <c r="AV222" i="8"/>
  <c r="AW222" i="8" s="1"/>
  <c r="AX222" i="8"/>
  <c r="AX223" i="8" s="1"/>
  <c r="AY222" i="8"/>
  <c r="AZ222" i="8" s="1"/>
  <c r="BB222" i="8"/>
  <c r="BC222" i="8" s="1"/>
  <c r="BD222" i="8"/>
  <c r="BE222" i="8"/>
  <c r="BF222" i="8" s="1"/>
  <c r="BH222" i="8"/>
  <c r="BI222" i="8" s="1"/>
  <c r="BJ222" i="8"/>
  <c r="BK222" i="8"/>
  <c r="BL222" i="8"/>
  <c r="BN222" i="8"/>
  <c r="BO222" i="8" s="1"/>
  <c r="BQ222" i="8"/>
  <c r="BR222" i="8"/>
  <c r="BT222" i="8"/>
  <c r="BU222" i="8" s="1"/>
  <c r="AM223" i="8"/>
  <c r="AS223" i="8"/>
  <c r="AV223" i="8"/>
  <c r="BE223" i="8"/>
  <c r="BM223" i="8"/>
  <c r="BQ223" i="8"/>
  <c r="AM224" i="8"/>
  <c r="AM229" i="8" s="1"/>
  <c r="AN224" i="8"/>
  <c r="AO224" i="8"/>
  <c r="AO229" i="8" s="1"/>
  <c r="AP224" i="8"/>
  <c r="AQ224" i="8"/>
  <c r="AR224" i="8"/>
  <c r="AS224" i="8"/>
  <c r="AT224" i="8"/>
  <c r="AV224" i="8"/>
  <c r="AW224" i="8"/>
  <c r="AY224" i="8"/>
  <c r="BB224" i="8"/>
  <c r="BC224" i="8" s="1"/>
  <c r="BE224" i="8"/>
  <c r="BF224" i="8"/>
  <c r="BH224" i="8"/>
  <c r="BK224" i="8"/>
  <c r="BL224" i="8" s="1"/>
  <c r="BN224" i="8"/>
  <c r="BO224" i="8"/>
  <c r="BP224" i="8"/>
  <c r="BQ224" i="8"/>
  <c r="BR224" i="8"/>
  <c r="BT224" i="8"/>
  <c r="BU224" i="8"/>
  <c r="C225" i="8"/>
  <c r="F225" i="8"/>
  <c r="I225" i="8"/>
  <c r="L225" i="8"/>
  <c r="O225" i="8"/>
  <c r="R225" i="8"/>
  <c r="U225" i="8"/>
  <c r="X225" i="8"/>
  <c r="AA225" i="8"/>
  <c r="AD225" i="8"/>
  <c r="K29" i="97" s="1"/>
  <c r="AG225" i="8"/>
  <c r="AJ225" i="8"/>
  <c r="AM225" i="8"/>
  <c r="AN225" i="8"/>
  <c r="AO225" i="8"/>
  <c r="AP225" i="8"/>
  <c r="AQ225" i="8"/>
  <c r="AS225" i="8"/>
  <c r="AT225" i="8"/>
  <c r="AV225" i="8"/>
  <c r="AW225" i="8"/>
  <c r="AX225" i="8"/>
  <c r="AY225" i="8"/>
  <c r="AZ225" i="8" s="1"/>
  <c r="BB225" i="8"/>
  <c r="BB229" i="8" s="1"/>
  <c r="BD225" i="8"/>
  <c r="BE225" i="8"/>
  <c r="BF225" i="8" s="1"/>
  <c r="BH225" i="8"/>
  <c r="BI225" i="8" s="1"/>
  <c r="BK225" i="8"/>
  <c r="BL225" i="8"/>
  <c r="BM225" i="8"/>
  <c r="BN225" i="8"/>
  <c r="BP225" i="8"/>
  <c r="BQ225" i="8"/>
  <c r="BR225" i="8"/>
  <c r="BS225" i="8"/>
  <c r="BT225" i="8"/>
  <c r="BU225" i="8"/>
  <c r="BV225" i="8"/>
  <c r="AM226" i="8"/>
  <c r="AN226" i="8"/>
  <c r="AP226" i="8"/>
  <c r="AQ226" i="8" s="1"/>
  <c r="AS226" i="8"/>
  <c r="AU226" i="8"/>
  <c r="AV226" i="8"/>
  <c r="AW226" i="8" s="1"/>
  <c r="AY226" i="8"/>
  <c r="AZ226" i="8"/>
  <c r="BA226" i="8"/>
  <c r="BB226" i="8"/>
  <c r="BC226" i="8"/>
  <c r="BE226" i="8"/>
  <c r="BF226" i="8"/>
  <c r="BH226" i="8"/>
  <c r="BI226" i="8"/>
  <c r="BK226" i="8"/>
  <c r="BL226" i="8" s="1"/>
  <c r="BN226" i="8"/>
  <c r="BO226" i="8" s="1"/>
  <c r="BP226" i="8"/>
  <c r="BQ226" i="8"/>
  <c r="BR226" i="8"/>
  <c r="BS226" i="8"/>
  <c r="BT226" i="8"/>
  <c r="BU226" i="8" s="1"/>
  <c r="F227" i="8"/>
  <c r="O227" i="8"/>
  <c r="X227" i="8"/>
  <c r="AD227" i="8"/>
  <c r="AM227" i="8"/>
  <c r="AN227" i="8"/>
  <c r="AP227" i="8"/>
  <c r="AQ227" i="8" s="1"/>
  <c r="AR227" i="8"/>
  <c r="AS227" i="8"/>
  <c r="AT227" i="8" s="1"/>
  <c r="AU227" i="8"/>
  <c r="AV227" i="8"/>
  <c r="AW227" i="8" s="1"/>
  <c r="AY227" i="8"/>
  <c r="AZ227" i="8"/>
  <c r="BB227" i="8"/>
  <c r="BC227" i="8"/>
  <c r="BE227" i="8"/>
  <c r="BF227" i="8"/>
  <c r="BG227" i="8"/>
  <c r="BH227" i="8"/>
  <c r="BI227" i="8" s="1"/>
  <c r="BJ227" i="8"/>
  <c r="BK227" i="8"/>
  <c r="BL227" i="8" s="1"/>
  <c r="BM227" i="8"/>
  <c r="BN227" i="8"/>
  <c r="BO227" i="8" s="1"/>
  <c r="BQ227" i="8"/>
  <c r="BQ229" i="8" s="1"/>
  <c r="BR227" i="8"/>
  <c r="BT227" i="8"/>
  <c r="BU227" i="8" s="1"/>
  <c r="BV227" i="8"/>
  <c r="AM228" i="8"/>
  <c r="AN228" i="8"/>
  <c r="AP228" i="8"/>
  <c r="AQ228" i="8" s="1"/>
  <c r="AR228" i="8"/>
  <c r="AS228" i="8"/>
  <c r="AT228" i="8"/>
  <c r="AU228" i="8"/>
  <c r="AV228" i="8"/>
  <c r="AW228" i="8" s="1"/>
  <c r="AX228" i="8"/>
  <c r="AY228" i="8"/>
  <c r="AZ228" i="8"/>
  <c r="BA228" i="8"/>
  <c r="BB228" i="8"/>
  <c r="BC228" i="8"/>
  <c r="BE228" i="8"/>
  <c r="BF228" i="8"/>
  <c r="BG228" i="8"/>
  <c r="BH228" i="8"/>
  <c r="BI228" i="8"/>
  <c r="BJ228" i="8"/>
  <c r="BK228" i="8"/>
  <c r="BL228" i="8" s="1"/>
  <c r="BM228" i="8"/>
  <c r="BN228" i="8"/>
  <c r="BO228" i="8" s="1"/>
  <c r="BP228" i="8"/>
  <c r="BQ228" i="8"/>
  <c r="BR228" i="8"/>
  <c r="BS228" i="8"/>
  <c r="BT228" i="8"/>
  <c r="BU228" i="8" s="1"/>
  <c r="AP229" i="8"/>
  <c r="BE229" i="8"/>
  <c r="E2" i="3"/>
  <c r="J12" i="3"/>
  <c r="M12" i="3"/>
  <c r="P12" i="3"/>
  <c r="S12" i="3"/>
  <c r="V12" i="3"/>
  <c r="Z12" i="3"/>
  <c r="Y12" i="3" s="1"/>
  <c r="AC12" i="3"/>
  <c r="AU12" i="3" s="1"/>
  <c r="AF12" i="3"/>
  <c r="AE12" i="3" s="1"/>
  <c r="AI12" i="3"/>
  <c r="AK12" i="3"/>
  <c r="AN12" i="3"/>
  <c r="AQ12" i="3"/>
  <c r="K13" i="3"/>
  <c r="K21" i="3" s="1"/>
  <c r="N13" i="3"/>
  <c r="Q13" i="3"/>
  <c r="T13" i="3"/>
  <c r="W13" i="3"/>
  <c r="X13" i="3"/>
  <c r="Y13" i="3" s="1"/>
  <c r="Z13" i="3"/>
  <c r="AA13" i="3"/>
  <c r="AA21" i="3" s="1"/>
  <c r="AB13" i="3"/>
  <c r="AC13" i="3"/>
  <c r="AD13" i="3"/>
  <c r="AE13" i="3" s="1"/>
  <c r="AF13" i="3"/>
  <c r="AG13" i="3"/>
  <c r="AH13" i="3"/>
  <c r="AI13" i="3"/>
  <c r="AJ13" i="3"/>
  <c r="AJ21" i="3" s="1"/>
  <c r="AK13" i="3"/>
  <c r="AL13" i="3"/>
  <c r="AM13" i="3"/>
  <c r="AN13" i="3"/>
  <c r="AO13" i="3"/>
  <c r="AR13" i="3"/>
  <c r="O14" i="3"/>
  <c r="P14" i="3"/>
  <c r="R14" i="3"/>
  <c r="S14" i="3"/>
  <c r="T14" i="3" s="1"/>
  <c r="U14" i="3"/>
  <c r="U21" i="3" s="1"/>
  <c r="V14" i="3"/>
  <c r="W14" i="3"/>
  <c r="W21" i="3" s="1"/>
  <c r="Q53" i="8" s="1"/>
  <c r="X14" i="3"/>
  <c r="Y14" i="3"/>
  <c r="AA14" i="3"/>
  <c r="AB14" i="3"/>
  <c r="AC14" i="3"/>
  <c r="AD14" i="3"/>
  <c r="AE14" i="3"/>
  <c r="AF14" i="3"/>
  <c r="AG14" i="3"/>
  <c r="AI14" i="3" s="1"/>
  <c r="AH14" i="3"/>
  <c r="AJ14" i="3"/>
  <c r="AK14" i="3"/>
  <c r="AL14" i="3"/>
  <c r="AM14" i="3"/>
  <c r="AN14" i="3"/>
  <c r="AO14" i="3"/>
  <c r="AP14" i="3"/>
  <c r="AQ14" i="3"/>
  <c r="AR14" i="3" s="1"/>
  <c r="X15" i="3"/>
  <c r="Y15" i="3"/>
  <c r="Z15" i="3" s="1"/>
  <c r="AA15" i="3"/>
  <c r="AC15" i="3" s="1"/>
  <c r="AB15" i="3"/>
  <c r="AD15" i="3"/>
  <c r="AE15" i="3"/>
  <c r="AF15" i="3"/>
  <c r="AG15" i="3"/>
  <c r="AH15" i="3"/>
  <c r="AI15" i="3" s="1"/>
  <c r="AJ15" i="3"/>
  <c r="AK15" i="3"/>
  <c r="AL15" i="3" s="1"/>
  <c r="AM15" i="3"/>
  <c r="AM21" i="3" s="1"/>
  <c r="AN15" i="3"/>
  <c r="AO15" i="3" s="1"/>
  <c r="AP15" i="3"/>
  <c r="AQ15" i="3"/>
  <c r="J16" i="3"/>
  <c r="K16" i="3"/>
  <c r="M16" i="3"/>
  <c r="N16" i="3"/>
  <c r="P16" i="3"/>
  <c r="Q16" i="3" s="1"/>
  <c r="S16" i="3"/>
  <c r="T16" i="3"/>
  <c r="V16" i="3"/>
  <c r="W16" i="3"/>
  <c r="Y16" i="3"/>
  <c r="Z16" i="3"/>
  <c r="AB16" i="3"/>
  <c r="AC16" i="3" s="1"/>
  <c r="AE16" i="3"/>
  <c r="AF16" i="3"/>
  <c r="AH16" i="3"/>
  <c r="AI16" i="3"/>
  <c r="AK16" i="3"/>
  <c r="AL16" i="3"/>
  <c r="AN16" i="3"/>
  <c r="AO16" i="3" s="1"/>
  <c r="AQ16" i="3"/>
  <c r="AR16" i="3"/>
  <c r="J17" i="3"/>
  <c r="M17" i="3"/>
  <c r="P17" i="3"/>
  <c r="S17" i="3"/>
  <c r="V17" i="3"/>
  <c r="Y17" i="3"/>
  <c r="AB17" i="3"/>
  <c r="AF17" i="3"/>
  <c r="AE17" i="3" s="1"/>
  <c r="AI17" i="3"/>
  <c r="AH17" i="3" s="1"/>
  <c r="AL17" i="3"/>
  <c r="AK17" i="3" s="1"/>
  <c r="AO17" i="3"/>
  <c r="AN17" i="3" s="1"/>
  <c r="AR17" i="3"/>
  <c r="J18" i="3"/>
  <c r="M18" i="3"/>
  <c r="P18" i="3"/>
  <c r="S18" i="3"/>
  <c r="V18" i="3"/>
  <c r="Z18" i="3"/>
  <c r="Y18" i="3" s="1"/>
  <c r="AB18" i="3"/>
  <c r="AC18" i="3"/>
  <c r="AE18" i="3"/>
  <c r="AF18" i="3"/>
  <c r="AI18" i="3"/>
  <c r="AH18" i="3" s="1"/>
  <c r="AL18" i="3"/>
  <c r="AK18" i="3" s="1"/>
  <c r="AO18" i="3"/>
  <c r="AN18" i="3" s="1"/>
  <c r="AQ18" i="3"/>
  <c r="AR18" i="3"/>
  <c r="J19" i="3"/>
  <c r="K19" i="3"/>
  <c r="N19" i="3"/>
  <c r="M19" i="3" s="1"/>
  <c r="Q19" i="3"/>
  <c r="P19" i="3" s="1"/>
  <c r="S19" i="3"/>
  <c r="T19" i="3"/>
  <c r="V19" i="3"/>
  <c r="W19" i="3"/>
  <c r="Z19" i="3"/>
  <c r="Y19" i="3" s="1"/>
  <c r="AC19" i="3"/>
  <c r="AB19" i="3" s="1"/>
  <c r="AE19" i="3"/>
  <c r="AF19" i="3"/>
  <c r="AH19" i="3"/>
  <c r="AI19" i="3"/>
  <c r="AL19" i="3"/>
  <c r="AK19" i="3" s="1"/>
  <c r="AO19" i="3"/>
  <c r="AU19" i="3" s="1"/>
  <c r="AQ19" i="3"/>
  <c r="AR19" i="3"/>
  <c r="J20" i="3"/>
  <c r="M20" i="3"/>
  <c r="P20" i="3"/>
  <c r="S20" i="3"/>
  <c r="V20" i="3"/>
  <c r="Y20" i="3"/>
  <c r="AB20" i="3"/>
  <c r="AC20" i="3"/>
  <c r="AE20" i="3"/>
  <c r="AF20" i="3"/>
  <c r="AH20" i="3"/>
  <c r="AI20" i="3"/>
  <c r="AK20" i="3"/>
  <c r="AL20" i="3"/>
  <c r="AU20" i="3" s="1"/>
  <c r="AN20" i="3"/>
  <c r="AO20" i="3"/>
  <c r="AQ20" i="3"/>
  <c r="AR20" i="3"/>
  <c r="E21" i="3"/>
  <c r="I21" i="3"/>
  <c r="L21" i="3"/>
  <c r="R21" i="3"/>
  <c r="V21" i="3"/>
  <c r="P53" i="8" s="1"/>
  <c r="AD21" i="3"/>
  <c r="X53" i="8" s="1"/>
  <c r="AG21" i="3"/>
  <c r="AA53" i="8" s="1"/>
  <c r="AL21" i="3"/>
  <c r="AF53" i="8" s="1"/>
  <c r="AP21" i="3"/>
  <c r="H25" i="3"/>
  <c r="K25" i="3"/>
  <c r="N25" i="3"/>
  <c r="N28" i="3" s="1"/>
  <c r="H59" i="8" s="1"/>
  <c r="Q25" i="3"/>
  <c r="Q28" i="3" s="1"/>
  <c r="T25" i="3"/>
  <c r="W25" i="3"/>
  <c r="W28" i="3" s="1"/>
  <c r="Z25" i="3"/>
  <c r="AC25" i="3"/>
  <c r="AF25" i="3"/>
  <c r="AI25" i="3"/>
  <c r="AI28" i="3" s="1"/>
  <c r="AC59" i="8" s="1"/>
  <c r="AL25" i="3"/>
  <c r="AL28" i="3" s="1"/>
  <c r="AF59" i="8" s="1"/>
  <c r="AF60" i="8" s="1"/>
  <c r="AO25" i="3"/>
  <c r="AR25" i="3"/>
  <c r="AA26" i="3"/>
  <c r="AB26" i="3"/>
  <c r="AC26" i="3"/>
  <c r="AD26" i="3"/>
  <c r="AE26" i="3"/>
  <c r="AF26" i="3"/>
  <c r="AG26" i="3"/>
  <c r="AG28" i="3" s="1"/>
  <c r="AH26" i="3"/>
  <c r="AI26" i="3"/>
  <c r="I28" i="3"/>
  <c r="K28" i="3"/>
  <c r="E59" i="8" s="1"/>
  <c r="L28" i="3"/>
  <c r="F59" i="8" s="1"/>
  <c r="M28" i="3"/>
  <c r="G59" i="8" s="1"/>
  <c r="O28" i="3"/>
  <c r="R28" i="3"/>
  <c r="S28" i="3"/>
  <c r="M59" i="8" s="1"/>
  <c r="T28" i="3"/>
  <c r="N59" i="8" s="1"/>
  <c r="U28" i="3"/>
  <c r="O59" i="8" s="1"/>
  <c r="V28" i="3"/>
  <c r="P59" i="8" s="1"/>
  <c r="X28" i="3"/>
  <c r="Y28" i="3" s="1"/>
  <c r="S59" i="8" s="1"/>
  <c r="Z28" i="3"/>
  <c r="AA28" i="3"/>
  <c r="U59" i="8" s="1"/>
  <c r="AC28" i="3"/>
  <c r="W59" i="8" s="1"/>
  <c r="W60" i="8" s="1"/>
  <c r="AD28" i="3"/>
  <c r="AJ28" i="3"/>
  <c r="AM28" i="3"/>
  <c r="AP28" i="3"/>
  <c r="AJ59" i="8" s="1"/>
  <c r="AJ217" i="8" s="1"/>
  <c r="M79" i="97" s="1"/>
  <c r="AR28" i="3"/>
  <c r="H32" i="3"/>
  <c r="I32" i="3"/>
  <c r="I34" i="3" s="1"/>
  <c r="C61" i="8" s="1"/>
  <c r="J32" i="3"/>
  <c r="K32" i="3"/>
  <c r="L32" i="3"/>
  <c r="M32" i="3"/>
  <c r="N32" i="3"/>
  <c r="O32" i="3"/>
  <c r="O34" i="3" s="1"/>
  <c r="I61" i="8" s="1"/>
  <c r="P32" i="3"/>
  <c r="P34" i="3" s="1"/>
  <c r="J61" i="8" s="1"/>
  <c r="Q32" i="3"/>
  <c r="Q34" i="3" s="1"/>
  <c r="K61" i="8" s="1"/>
  <c r="R32" i="3"/>
  <c r="S32" i="3"/>
  <c r="T32" i="3"/>
  <c r="U32" i="3"/>
  <c r="U34" i="3" s="1"/>
  <c r="V32" i="3"/>
  <c r="V34" i="3" s="1"/>
  <c r="P61" i="8" s="1"/>
  <c r="W32" i="3"/>
  <c r="W34" i="3" s="1"/>
  <c r="X32" i="3"/>
  <c r="X34" i="3" s="1"/>
  <c r="R61" i="8" s="1"/>
  <c r="Y32" i="3"/>
  <c r="Y34" i="3" s="1"/>
  <c r="S61" i="8" s="1"/>
  <c r="Z32" i="3"/>
  <c r="AA32" i="3"/>
  <c r="AA34" i="3" s="1"/>
  <c r="U61" i="8" s="1"/>
  <c r="AB32" i="3"/>
  <c r="AC32" i="3"/>
  <c r="AD32" i="3"/>
  <c r="AE32" i="3"/>
  <c r="AE34" i="3" s="1"/>
  <c r="Y61" i="8" s="1"/>
  <c r="AF32" i="3"/>
  <c r="AG32" i="3"/>
  <c r="AG34" i="3" s="1"/>
  <c r="AH32" i="3"/>
  <c r="AI32" i="3"/>
  <c r="AJ32" i="3"/>
  <c r="AK32" i="3"/>
  <c r="AL32" i="3"/>
  <c r="AM32" i="3"/>
  <c r="AM34" i="3" s="1"/>
  <c r="AG61" i="8" s="1"/>
  <c r="AN32" i="3"/>
  <c r="AN34" i="3" s="1"/>
  <c r="AH61" i="8" s="1"/>
  <c r="AO32" i="3"/>
  <c r="AP32" i="3"/>
  <c r="AQ32" i="3"/>
  <c r="AR32" i="3"/>
  <c r="F33" i="3"/>
  <c r="W33" i="3" s="1"/>
  <c r="J33" i="3"/>
  <c r="J34" i="3" s="1"/>
  <c r="D61" i="8" s="1"/>
  <c r="K33" i="3"/>
  <c r="M33" i="3"/>
  <c r="N33" i="3" s="1"/>
  <c r="N34" i="3" s="1"/>
  <c r="H61" i="8" s="1"/>
  <c r="P33" i="3"/>
  <c r="Q33" i="3" s="1"/>
  <c r="V33" i="3"/>
  <c r="Y33" i="3"/>
  <c r="AB33" i="3"/>
  <c r="AE33" i="3"/>
  <c r="AH33" i="3"/>
  <c r="AH34" i="3" s="1"/>
  <c r="AB61" i="8" s="1"/>
  <c r="AK33" i="3"/>
  <c r="AN33" i="3"/>
  <c r="AO33" i="3" s="1"/>
  <c r="AQ33" i="3"/>
  <c r="AR33" i="3" s="1"/>
  <c r="L34" i="3"/>
  <c r="R34" i="3"/>
  <c r="L61" i="8" s="1"/>
  <c r="AB34" i="3"/>
  <c r="V61" i="8" s="1"/>
  <c r="AD34" i="3"/>
  <c r="X61" i="8" s="1"/>
  <c r="X169" i="8" s="1"/>
  <c r="X170" i="8" s="1"/>
  <c r="AJ34" i="3"/>
  <c r="AP34" i="3"/>
  <c r="AJ61" i="8" s="1"/>
  <c r="F38" i="3"/>
  <c r="J38" i="3"/>
  <c r="K38" i="3"/>
  <c r="M38" i="3"/>
  <c r="N38" i="3"/>
  <c r="P38" i="3"/>
  <c r="S38" i="3"/>
  <c r="V38" i="3"/>
  <c r="Y38" i="3"/>
  <c r="AB38" i="3"/>
  <c r="AE38" i="3"/>
  <c r="AH38" i="3"/>
  <c r="AK38" i="3"/>
  <c r="AN38" i="3"/>
  <c r="AQ38" i="3"/>
  <c r="F39" i="3"/>
  <c r="Q39" i="3" s="1"/>
  <c r="J39" i="3"/>
  <c r="K39" i="3"/>
  <c r="M39" i="3"/>
  <c r="N39" i="3"/>
  <c r="P39" i="3"/>
  <c r="S39" i="3"/>
  <c r="T39" i="3"/>
  <c r="V39" i="3"/>
  <c r="W39" i="3"/>
  <c r="Y39" i="3"/>
  <c r="Z39" i="3"/>
  <c r="AB39" i="3"/>
  <c r="AE39" i="3"/>
  <c r="AF39" i="3"/>
  <c r="AH39" i="3"/>
  <c r="AI39" i="3"/>
  <c r="AK39" i="3"/>
  <c r="AL39" i="3"/>
  <c r="AN39" i="3"/>
  <c r="AO39" i="3"/>
  <c r="AQ39" i="3"/>
  <c r="AR39" i="3"/>
  <c r="F40" i="3"/>
  <c r="J40" i="3"/>
  <c r="K40" i="3"/>
  <c r="M40" i="3"/>
  <c r="P40" i="3"/>
  <c r="S40" i="3"/>
  <c r="T40" i="3"/>
  <c r="V40" i="3"/>
  <c r="W40" i="3"/>
  <c r="Y40" i="3"/>
  <c r="AB40" i="3"/>
  <c r="AE40" i="3"/>
  <c r="AF40" i="3"/>
  <c r="AH40" i="3"/>
  <c r="AI40" i="3"/>
  <c r="AK40" i="3"/>
  <c r="AN40" i="3"/>
  <c r="AO40" i="3"/>
  <c r="AQ40" i="3"/>
  <c r="AR40" i="3"/>
  <c r="F41" i="3"/>
  <c r="J41" i="3"/>
  <c r="M41" i="3"/>
  <c r="P41" i="3"/>
  <c r="S41" i="3"/>
  <c r="T41" i="3"/>
  <c r="V41" i="3"/>
  <c r="Y41" i="3"/>
  <c r="AB41" i="3"/>
  <c r="AC41" i="3"/>
  <c r="AE41" i="3"/>
  <c r="AH41" i="3"/>
  <c r="AK41" i="3"/>
  <c r="AN41" i="3"/>
  <c r="AO41" i="3"/>
  <c r="AO48" i="3" s="1"/>
  <c r="AQ41" i="3"/>
  <c r="AR41" i="3"/>
  <c r="F42" i="3"/>
  <c r="J42" i="3"/>
  <c r="K42" i="3"/>
  <c r="M42" i="3"/>
  <c r="N42" i="3"/>
  <c r="P42" i="3"/>
  <c r="Q42" i="3"/>
  <c r="S42" i="3"/>
  <c r="T42" i="3"/>
  <c r="V42" i="3"/>
  <c r="W42" i="3"/>
  <c r="Y42" i="3"/>
  <c r="Z42" i="3"/>
  <c r="AB42" i="3"/>
  <c r="AC42" i="3"/>
  <c r="AE42" i="3"/>
  <c r="AF42" i="3"/>
  <c r="AH42" i="3"/>
  <c r="AI42" i="3"/>
  <c r="AK42" i="3"/>
  <c r="AL42" i="3"/>
  <c r="AN42" i="3"/>
  <c r="AO42" i="3"/>
  <c r="AQ42" i="3"/>
  <c r="AR42" i="3"/>
  <c r="F43" i="3"/>
  <c r="Q43" i="3" s="1"/>
  <c r="J43" i="3"/>
  <c r="K43" i="3"/>
  <c r="M43" i="3"/>
  <c r="N43" i="3"/>
  <c r="P43" i="3"/>
  <c r="S43" i="3"/>
  <c r="T43" i="3"/>
  <c r="V43" i="3"/>
  <c r="W43" i="3"/>
  <c r="Y43" i="3"/>
  <c r="Z43" i="3"/>
  <c r="AB43" i="3"/>
  <c r="AE43" i="3"/>
  <c r="AF43" i="3"/>
  <c r="AH43" i="3"/>
  <c r="AI43" i="3"/>
  <c r="AK43" i="3"/>
  <c r="AL43" i="3"/>
  <c r="AN43" i="3"/>
  <c r="AO43" i="3"/>
  <c r="AQ43" i="3"/>
  <c r="AR43" i="3"/>
  <c r="F44" i="3"/>
  <c r="J44" i="3"/>
  <c r="K44" i="3"/>
  <c r="M44" i="3"/>
  <c r="P44" i="3"/>
  <c r="S44" i="3"/>
  <c r="V44" i="3"/>
  <c r="W44" i="3"/>
  <c r="Y44" i="3"/>
  <c r="AB44" i="3"/>
  <c r="AE44" i="3"/>
  <c r="AF44" i="3"/>
  <c r="AH44" i="3"/>
  <c r="AK44" i="3"/>
  <c r="AN44" i="3"/>
  <c r="AO44" i="3"/>
  <c r="AQ44" i="3"/>
  <c r="AR44" i="3"/>
  <c r="J45" i="3"/>
  <c r="K45" i="3"/>
  <c r="N45" i="3"/>
  <c r="P45" i="3"/>
  <c r="Q45" i="3"/>
  <c r="S45" i="3"/>
  <c r="T45" i="3"/>
  <c r="V45" i="3"/>
  <c r="W45" i="3"/>
  <c r="Y45" i="3"/>
  <c r="Z45" i="3"/>
  <c r="AB45" i="3"/>
  <c r="AC45" i="3"/>
  <c r="AE45" i="3"/>
  <c r="AF45" i="3"/>
  <c r="AH45" i="3"/>
  <c r="AI45" i="3"/>
  <c r="AU45" i="3" s="1"/>
  <c r="AK45" i="3"/>
  <c r="AL45" i="3"/>
  <c r="AN45" i="3"/>
  <c r="AO45" i="3"/>
  <c r="AQ45" i="3"/>
  <c r="AR45" i="3"/>
  <c r="K46" i="3"/>
  <c r="N46" i="3"/>
  <c r="Q46" i="3"/>
  <c r="T46" i="3"/>
  <c r="W46" i="3"/>
  <c r="Z46" i="3"/>
  <c r="AC46" i="3"/>
  <c r="AF46" i="3"/>
  <c r="AI46" i="3"/>
  <c r="AL46" i="3"/>
  <c r="AO46" i="3"/>
  <c r="AR46" i="3"/>
  <c r="J47" i="3"/>
  <c r="M47" i="3"/>
  <c r="P47" i="3"/>
  <c r="S47" i="3"/>
  <c r="V47" i="3"/>
  <c r="Y47" i="3"/>
  <c r="AB47" i="3"/>
  <c r="AE47" i="3"/>
  <c r="AH47" i="3"/>
  <c r="AK47" i="3"/>
  <c r="AN47" i="3"/>
  <c r="AQ47" i="3"/>
  <c r="AU47" i="3"/>
  <c r="E48" i="3"/>
  <c r="I48" i="3"/>
  <c r="J48" i="3" s="1"/>
  <c r="D64" i="8" s="1"/>
  <c r="L48" i="3"/>
  <c r="M48" i="3"/>
  <c r="G64" i="8" s="1"/>
  <c r="O48" i="3"/>
  <c r="R48" i="3"/>
  <c r="S48" i="3"/>
  <c r="M64" i="8" s="1"/>
  <c r="U48" i="3"/>
  <c r="V48" i="3"/>
  <c r="P64" i="8" s="1"/>
  <c r="X48" i="3"/>
  <c r="Y48" i="3"/>
  <c r="S64" i="8" s="1"/>
  <c r="AA48" i="3"/>
  <c r="AD48" i="3"/>
  <c r="X64" i="8" s="1"/>
  <c r="AE48" i="3"/>
  <c r="Y64" i="8" s="1"/>
  <c r="AG48" i="3"/>
  <c r="AH48" i="3" s="1"/>
  <c r="AB64" i="8" s="1"/>
  <c r="AJ48" i="3"/>
  <c r="AD64" i="8" s="1"/>
  <c r="AD65" i="8" s="1"/>
  <c r="AK48" i="3"/>
  <c r="AE64" i="8" s="1"/>
  <c r="AM48" i="3"/>
  <c r="AP48" i="3"/>
  <c r="AQ48" i="3"/>
  <c r="AK64" i="8" s="1"/>
  <c r="AR48" i="3"/>
  <c r="AL64" i="8" s="1"/>
  <c r="J52" i="3"/>
  <c r="M52" i="3"/>
  <c r="P52" i="3"/>
  <c r="S52" i="3"/>
  <c r="V52" i="3"/>
  <c r="Z52" i="3"/>
  <c r="Z62" i="3" s="1"/>
  <c r="AB52" i="3"/>
  <c r="AC52" i="3"/>
  <c r="AF52" i="3"/>
  <c r="AE52" i="3" s="1"/>
  <c r="AI52" i="3"/>
  <c r="AH52" i="3" s="1"/>
  <c r="AL52" i="3"/>
  <c r="AO52" i="3"/>
  <c r="AR52" i="3"/>
  <c r="AQ52" i="3" s="1"/>
  <c r="J53" i="3"/>
  <c r="M53" i="3"/>
  <c r="P53" i="3"/>
  <c r="S53" i="3"/>
  <c r="V53" i="3"/>
  <c r="X53" i="3"/>
  <c r="Y53" i="3"/>
  <c r="Z53" i="3"/>
  <c r="AA53" i="3"/>
  <c r="AA62" i="3" s="1"/>
  <c r="AB53" i="3"/>
  <c r="AC53" i="3"/>
  <c r="AD53" i="3"/>
  <c r="AE53" i="3"/>
  <c r="AF53" i="3"/>
  <c r="AG53" i="3"/>
  <c r="AH53" i="3"/>
  <c r="AI53" i="3"/>
  <c r="AJ53" i="3"/>
  <c r="AJ62" i="3" s="1"/>
  <c r="L152" i="101" s="1"/>
  <c r="AK53" i="3"/>
  <c r="AL53" i="3"/>
  <c r="AM53" i="3"/>
  <c r="AM62" i="3" s="1"/>
  <c r="M152" i="101" s="1"/>
  <c r="AN53" i="3"/>
  <c r="AO53" i="3"/>
  <c r="AP53" i="3"/>
  <c r="AQ53" i="3"/>
  <c r="AR53" i="3"/>
  <c r="J54" i="3"/>
  <c r="M54" i="3"/>
  <c r="P54" i="3"/>
  <c r="S54" i="3"/>
  <c r="V54" i="3"/>
  <c r="Y54" i="3"/>
  <c r="Z54" i="3"/>
  <c r="AB54" i="3"/>
  <c r="AC54" i="3"/>
  <c r="AE54" i="3"/>
  <c r="AF54" i="3"/>
  <c r="AH54" i="3"/>
  <c r="AI54" i="3"/>
  <c r="AK54" i="3"/>
  <c r="AL54" i="3"/>
  <c r="AN54" i="3"/>
  <c r="AO54" i="3"/>
  <c r="AU54" i="3" s="1"/>
  <c r="AQ54" i="3"/>
  <c r="AR54" i="3"/>
  <c r="J55" i="3"/>
  <c r="M55" i="3"/>
  <c r="P55" i="3"/>
  <c r="S55" i="3"/>
  <c r="V55" i="3"/>
  <c r="Y55" i="3"/>
  <c r="Z55" i="3"/>
  <c r="AB55" i="3"/>
  <c r="AC55" i="3"/>
  <c r="AF55" i="3"/>
  <c r="AF62" i="3" s="1"/>
  <c r="AI55" i="3"/>
  <c r="AH55" i="3" s="1"/>
  <c r="AK55" i="3"/>
  <c r="AL55" i="3"/>
  <c r="AN55" i="3"/>
  <c r="AO55" i="3"/>
  <c r="AR55" i="3"/>
  <c r="J56" i="3"/>
  <c r="M56" i="3"/>
  <c r="P56" i="3"/>
  <c r="S56" i="3"/>
  <c r="V56" i="3"/>
  <c r="Z56" i="3"/>
  <c r="Y56" i="3" s="1"/>
  <c r="AC56" i="3"/>
  <c r="AB56" i="3" s="1"/>
  <c r="AE56" i="3"/>
  <c r="AF56" i="3"/>
  <c r="AH56" i="3"/>
  <c r="AI56" i="3"/>
  <c r="AL56" i="3"/>
  <c r="AK56" i="3" s="1"/>
  <c r="AO56" i="3"/>
  <c r="AQ56" i="3"/>
  <c r="AR56" i="3"/>
  <c r="J57" i="3"/>
  <c r="M57" i="3"/>
  <c r="P57" i="3"/>
  <c r="S57" i="3"/>
  <c r="V57" i="3"/>
  <c r="Y57" i="3"/>
  <c r="AC57" i="3"/>
  <c r="AB57" i="3" s="1"/>
  <c r="AF57" i="3"/>
  <c r="AE57" i="3" s="1"/>
  <c r="AH57" i="3"/>
  <c r="AI57" i="3"/>
  <c r="AL57" i="3"/>
  <c r="AK57" i="3" s="1"/>
  <c r="AO57" i="3"/>
  <c r="AN57" i="3" s="1"/>
  <c r="AR57" i="3"/>
  <c r="AQ57" i="3" s="1"/>
  <c r="J58" i="3"/>
  <c r="M58" i="3"/>
  <c r="P58" i="3"/>
  <c r="S58" i="3"/>
  <c r="V58" i="3"/>
  <c r="Z58" i="3"/>
  <c r="Y58" i="3" s="1"/>
  <c r="AB58" i="3"/>
  <c r="AC58" i="3"/>
  <c r="AF58" i="3"/>
  <c r="AE58" i="3" s="1"/>
  <c r="AI58" i="3"/>
  <c r="AH58" i="3" s="1"/>
  <c r="AL58" i="3"/>
  <c r="AK58" i="3" s="1"/>
  <c r="AN58" i="3"/>
  <c r="AO58" i="3"/>
  <c r="AQ58" i="3"/>
  <c r="AR58" i="3"/>
  <c r="J59" i="3"/>
  <c r="M59" i="3"/>
  <c r="P59" i="3"/>
  <c r="S59" i="3"/>
  <c r="V59" i="3"/>
  <c r="Z59" i="3"/>
  <c r="Y59" i="3" s="1"/>
  <c r="AC59" i="3"/>
  <c r="AB59" i="3" s="1"/>
  <c r="AF59" i="3"/>
  <c r="AE59" i="3" s="1"/>
  <c r="AI59" i="3"/>
  <c r="AH59" i="3" s="1"/>
  <c r="AK59" i="3"/>
  <c r="AL59" i="3"/>
  <c r="AO59" i="3"/>
  <c r="AN59" i="3" s="1"/>
  <c r="AR59" i="3"/>
  <c r="AQ59" i="3" s="1"/>
  <c r="J60" i="3"/>
  <c r="M60" i="3"/>
  <c r="P60" i="3"/>
  <c r="S60" i="3"/>
  <c r="V60" i="3"/>
  <c r="Z60" i="3"/>
  <c r="Y60" i="3" s="1"/>
  <c r="AB60" i="3"/>
  <c r="AC60" i="3"/>
  <c r="AF60" i="3"/>
  <c r="AE60" i="3" s="1"/>
  <c r="AI60" i="3"/>
  <c r="AH60" i="3" s="1"/>
  <c r="AL60" i="3"/>
  <c r="AK60" i="3" s="1"/>
  <c r="AN60" i="3"/>
  <c r="AO60" i="3"/>
  <c r="AQ60" i="3"/>
  <c r="AR60" i="3"/>
  <c r="J61" i="3"/>
  <c r="M61" i="3"/>
  <c r="P61" i="3"/>
  <c r="S61" i="3"/>
  <c r="V61" i="3"/>
  <c r="Z61" i="3"/>
  <c r="Y61" i="3" s="1"/>
  <c r="AC61" i="3"/>
  <c r="AB61" i="3" s="1"/>
  <c r="AF61" i="3"/>
  <c r="AE61" i="3" s="1"/>
  <c r="AI61" i="3"/>
  <c r="AH61" i="3" s="1"/>
  <c r="AK61" i="3"/>
  <c r="AL61" i="3"/>
  <c r="AO61" i="3"/>
  <c r="AN61" i="3" s="1"/>
  <c r="AR61" i="3"/>
  <c r="AQ61" i="3" s="1"/>
  <c r="E62" i="3"/>
  <c r="I62" i="3"/>
  <c r="I74" i="3" s="1"/>
  <c r="K62" i="3"/>
  <c r="L62" i="3"/>
  <c r="N62" i="3"/>
  <c r="O62" i="3"/>
  <c r="Q62" i="3"/>
  <c r="R62" i="3"/>
  <c r="T62" i="3"/>
  <c r="U62" i="3"/>
  <c r="W62" i="3"/>
  <c r="X62" i="3"/>
  <c r="H152" i="101" s="1"/>
  <c r="AC62" i="3"/>
  <c r="AD62" i="3"/>
  <c r="J152" i="101" s="1"/>
  <c r="AG62" i="3"/>
  <c r="AP62" i="3"/>
  <c r="H64" i="3"/>
  <c r="J64" i="3"/>
  <c r="M64" i="3"/>
  <c r="P64" i="3"/>
  <c r="R64" i="3"/>
  <c r="T64" i="3"/>
  <c r="S64" i="3" s="1"/>
  <c r="V64" i="3"/>
  <c r="W64" i="3"/>
  <c r="Z64" i="3"/>
  <c r="Y64" i="3" s="1"/>
  <c r="AC64" i="3"/>
  <c r="AB64" i="3" s="1"/>
  <c r="AF64" i="3"/>
  <c r="AI64" i="3"/>
  <c r="AH64" i="3" s="1"/>
  <c r="AL64" i="3"/>
  <c r="AK64" i="3" s="1"/>
  <c r="AO64" i="3"/>
  <c r="AN64" i="3" s="1"/>
  <c r="AQ64" i="3"/>
  <c r="AR64" i="3"/>
  <c r="F65" i="3"/>
  <c r="J65" i="3"/>
  <c r="M65" i="3"/>
  <c r="N65" i="3"/>
  <c r="N72" i="3" s="1"/>
  <c r="N74" i="3" s="1"/>
  <c r="H66" i="8" s="1"/>
  <c r="P65" i="3"/>
  <c r="S65" i="3"/>
  <c r="T65" i="3"/>
  <c r="V65" i="3"/>
  <c r="Y65" i="3"/>
  <c r="Z65" i="3"/>
  <c r="AB65" i="3"/>
  <c r="AE65" i="3"/>
  <c r="AH65" i="3"/>
  <c r="AK65" i="3"/>
  <c r="AL65" i="3"/>
  <c r="AN65" i="3"/>
  <c r="AO65" i="3"/>
  <c r="AQ65" i="3"/>
  <c r="AR65" i="3"/>
  <c r="AU66" i="3"/>
  <c r="T67" i="3"/>
  <c r="AT67" i="3" s="1"/>
  <c r="W67" i="3"/>
  <c r="AU67" i="3" s="1"/>
  <c r="Z67" i="3"/>
  <c r="AC67" i="3"/>
  <c r="AF67" i="3"/>
  <c r="AI67" i="3"/>
  <c r="AL67" i="3"/>
  <c r="AN67" i="3"/>
  <c r="AQ67" i="3"/>
  <c r="J68" i="3"/>
  <c r="L68" i="3"/>
  <c r="N68" i="3"/>
  <c r="O68" i="3"/>
  <c r="Q68" i="3"/>
  <c r="P68" i="3" s="1"/>
  <c r="R68" i="3"/>
  <c r="S68" i="3" s="1"/>
  <c r="T68" i="3"/>
  <c r="U68" i="3"/>
  <c r="V68" i="3"/>
  <c r="W68" i="3"/>
  <c r="X68" i="3"/>
  <c r="Z68" i="3"/>
  <c r="Y68" i="3" s="1"/>
  <c r="AA68" i="3"/>
  <c r="AA72" i="3" s="1"/>
  <c r="AC68" i="3"/>
  <c r="AD68" i="3"/>
  <c r="AF68" i="3"/>
  <c r="AG68" i="3"/>
  <c r="AI68" i="3"/>
  <c r="AH68" i="3" s="1"/>
  <c r="AJ68" i="3"/>
  <c r="AL68" i="3"/>
  <c r="AM68" i="3"/>
  <c r="AO68" i="3"/>
  <c r="AN68" i="3" s="1"/>
  <c r="AP68" i="3"/>
  <c r="AR68" i="3"/>
  <c r="AQ68" i="3" s="1"/>
  <c r="J69" i="3"/>
  <c r="L69" i="3"/>
  <c r="M69" i="3"/>
  <c r="N69" i="3"/>
  <c r="O69" i="3"/>
  <c r="Q69" i="3"/>
  <c r="R69" i="3"/>
  <c r="S69" i="3"/>
  <c r="T69" i="3"/>
  <c r="U69" i="3"/>
  <c r="V69" i="3" s="1"/>
  <c r="W69" i="3"/>
  <c r="X69" i="3"/>
  <c r="Y69" i="3"/>
  <c r="Z69" i="3"/>
  <c r="AA69" i="3"/>
  <c r="AC69" i="3"/>
  <c r="AD69" i="3"/>
  <c r="AF69" i="3"/>
  <c r="AG69" i="3"/>
  <c r="AH69" i="3" s="1"/>
  <c r="AI69" i="3"/>
  <c r="AJ69" i="3"/>
  <c r="AL69" i="3"/>
  <c r="AU69" i="3" s="1"/>
  <c r="AM69" i="3"/>
  <c r="AN69" i="3" s="1"/>
  <c r="AO69" i="3"/>
  <c r="AP69" i="3"/>
  <c r="AQ69" i="3"/>
  <c r="AR69" i="3"/>
  <c r="S70" i="3"/>
  <c r="AM70" i="3"/>
  <c r="AN70" i="3" s="1"/>
  <c r="AO70" i="3"/>
  <c r="AP70" i="3"/>
  <c r="AQ70" i="3"/>
  <c r="AR70" i="3"/>
  <c r="AU70" i="3"/>
  <c r="J71" i="3"/>
  <c r="M71" i="3"/>
  <c r="P71" i="3"/>
  <c r="S71" i="3"/>
  <c r="V71" i="3"/>
  <c r="Y71" i="3"/>
  <c r="AB71" i="3"/>
  <c r="AE71" i="3"/>
  <c r="AH71" i="3"/>
  <c r="AK71" i="3"/>
  <c r="AM71" i="3"/>
  <c r="AN71" i="3"/>
  <c r="AO71" i="3"/>
  <c r="AP71" i="3"/>
  <c r="AR71" i="3"/>
  <c r="AU71" i="3" s="1"/>
  <c r="E72" i="3"/>
  <c r="E74" i="3" s="1"/>
  <c r="I72" i="3"/>
  <c r="O72" i="3"/>
  <c r="AG72" i="3"/>
  <c r="AO72" i="3"/>
  <c r="AP72" i="3"/>
  <c r="AR72" i="3"/>
  <c r="O74" i="3"/>
  <c r="F78" i="3"/>
  <c r="J78" i="3"/>
  <c r="M78" i="3"/>
  <c r="P78" i="3"/>
  <c r="S78" i="3"/>
  <c r="V78" i="3"/>
  <c r="Y78" i="3"/>
  <c r="AB78" i="3"/>
  <c r="AE78" i="3"/>
  <c r="AH78" i="3"/>
  <c r="AK78" i="3"/>
  <c r="AN78" i="3"/>
  <c r="AQ78" i="3"/>
  <c r="F79" i="3"/>
  <c r="N79" i="3" s="1"/>
  <c r="AU79" i="3" s="1"/>
  <c r="J79" i="3"/>
  <c r="K79" i="3"/>
  <c r="M79" i="3"/>
  <c r="P79" i="3"/>
  <c r="S79" i="3"/>
  <c r="V79" i="3"/>
  <c r="Y79" i="3"/>
  <c r="AB79" i="3"/>
  <c r="AE79" i="3"/>
  <c r="AH79" i="3"/>
  <c r="AK79" i="3"/>
  <c r="AN79" i="3"/>
  <c r="AQ79" i="3"/>
  <c r="F80" i="3"/>
  <c r="J80" i="3"/>
  <c r="K80" i="3"/>
  <c r="M80" i="3"/>
  <c r="P80" i="3"/>
  <c r="S80" i="3"/>
  <c r="V80" i="3"/>
  <c r="W80" i="3"/>
  <c r="Y80" i="3"/>
  <c r="AB80" i="3"/>
  <c r="AE80" i="3"/>
  <c r="AH80" i="3"/>
  <c r="AI80" i="3"/>
  <c r="AK80" i="3"/>
  <c r="AN80" i="3"/>
  <c r="AO80" i="3"/>
  <c r="AQ80" i="3"/>
  <c r="AR80" i="3"/>
  <c r="F81" i="3"/>
  <c r="AC81" i="3" s="1"/>
  <c r="J81" i="3"/>
  <c r="M81" i="3"/>
  <c r="P81" i="3"/>
  <c r="S81" i="3"/>
  <c r="V81" i="3"/>
  <c r="Y81" i="3"/>
  <c r="Z81" i="3"/>
  <c r="AB81" i="3"/>
  <c r="AE81" i="3"/>
  <c r="AH81" i="3"/>
  <c r="AK81" i="3"/>
  <c r="AN81" i="3"/>
  <c r="AO81" i="3"/>
  <c r="AQ81" i="3"/>
  <c r="AR81" i="3"/>
  <c r="F82" i="3"/>
  <c r="J82" i="3"/>
  <c r="K82" i="3"/>
  <c r="M82" i="3"/>
  <c r="N82" i="3"/>
  <c r="P82" i="3"/>
  <c r="Q82" i="3"/>
  <c r="S82" i="3"/>
  <c r="T82" i="3"/>
  <c r="V82" i="3"/>
  <c r="W82" i="3"/>
  <c r="Y82" i="3"/>
  <c r="Z82" i="3"/>
  <c r="AB82" i="3"/>
  <c r="AC82" i="3"/>
  <c r="AE82" i="3"/>
  <c r="AF82" i="3"/>
  <c r="AH82" i="3"/>
  <c r="AI82" i="3"/>
  <c r="AK82" i="3"/>
  <c r="AL82" i="3"/>
  <c r="AN82" i="3"/>
  <c r="AO82" i="3"/>
  <c r="AQ82" i="3"/>
  <c r="AR82" i="3"/>
  <c r="F83" i="3"/>
  <c r="J83" i="3"/>
  <c r="K83" i="3"/>
  <c r="M83" i="3"/>
  <c r="N83" i="3"/>
  <c r="P83" i="3"/>
  <c r="S83" i="3"/>
  <c r="T83" i="3"/>
  <c r="V83" i="3"/>
  <c r="W83" i="3"/>
  <c r="Y83" i="3"/>
  <c r="Z83" i="3"/>
  <c r="AB83" i="3"/>
  <c r="AE83" i="3"/>
  <c r="AH83" i="3"/>
  <c r="AI83" i="3"/>
  <c r="AK83" i="3"/>
  <c r="AL83" i="3"/>
  <c r="AN83" i="3"/>
  <c r="AO83" i="3"/>
  <c r="AQ83" i="3"/>
  <c r="AR83" i="3"/>
  <c r="F84" i="3"/>
  <c r="J84" i="3"/>
  <c r="K84" i="3"/>
  <c r="M84" i="3"/>
  <c r="P84" i="3"/>
  <c r="Q84" i="3"/>
  <c r="S84" i="3"/>
  <c r="T84" i="3"/>
  <c r="V84" i="3"/>
  <c r="W84" i="3"/>
  <c r="Y84" i="3"/>
  <c r="AB84" i="3"/>
  <c r="AC84" i="3"/>
  <c r="AE84" i="3"/>
  <c r="AH84" i="3"/>
  <c r="AI84" i="3"/>
  <c r="AK84" i="3"/>
  <c r="AN84" i="3"/>
  <c r="AO84" i="3"/>
  <c r="AQ84" i="3"/>
  <c r="AR84" i="3"/>
  <c r="J85" i="3"/>
  <c r="M85" i="3"/>
  <c r="P85" i="3"/>
  <c r="S85" i="3"/>
  <c r="V85" i="3"/>
  <c r="Y85" i="3"/>
  <c r="AB85" i="3"/>
  <c r="AE85" i="3"/>
  <c r="AH85" i="3"/>
  <c r="AK85" i="3"/>
  <c r="AN85" i="3"/>
  <c r="AQ85" i="3"/>
  <c r="AU85" i="3"/>
  <c r="E86" i="3"/>
  <c r="I86" i="3"/>
  <c r="L86" i="3"/>
  <c r="F69" i="8" s="1"/>
  <c r="M86" i="3"/>
  <c r="G69" i="8" s="1"/>
  <c r="O86" i="3"/>
  <c r="I69" i="8" s="1"/>
  <c r="R86" i="3"/>
  <c r="U86" i="3"/>
  <c r="O69" i="8" s="1"/>
  <c r="X86" i="3"/>
  <c r="R69" i="8" s="1"/>
  <c r="Y86" i="3"/>
  <c r="S69" i="8" s="1"/>
  <c r="AA86" i="3"/>
  <c r="AD86" i="3"/>
  <c r="X69" i="8" s="1"/>
  <c r="X104" i="8" s="1"/>
  <c r="AE86" i="3"/>
  <c r="Y69" i="8" s="1"/>
  <c r="AG86" i="3"/>
  <c r="AA69" i="8" s="1"/>
  <c r="AH86" i="3"/>
  <c r="AB69" i="8" s="1"/>
  <c r="AJ86" i="3"/>
  <c r="AD69" i="8" s="1"/>
  <c r="AK86" i="3"/>
  <c r="AE69" i="8" s="1"/>
  <c r="AM86" i="3"/>
  <c r="AP86" i="3"/>
  <c r="AJ69" i="8" s="1"/>
  <c r="AQ86" i="3"/>
  <c r="AK69" i="8" s="1"/>
  <c r="J90" i="3"/>
  <c r="M90" i="3"/>
  <c r="P90" i="3"/>
  <c r="T90" i="3"/>
  <c r="T95" i="3" s="1"/>
  <c r="W90" i="3"/>
  <c r="Z90" i="3"/>
  <c r="Z95" i="3" s="1"/>
  <c r="AC90" i="3"/>
  <c r="AF90" i="3"/>
  <c r="AF95" i="3" s="1"/>
  <c r="Z68" i="8" s="1"/>
  <c r="AI90" i="3"/>
  <c r="AI95" i="3" s="1"/>
  <c r="AL90" i="3"/>
  <c r="AL95" i="3" s="1"/>
  <c r="AF68" i="8" s="1"/>
  <c r="AO90" i="3"/>
  <c r="AO95" i="3" s="1"/>
  <c r="AI68" i="8" s="1"/>
  <c r="AR90" i="3"/>
  <c r="J94" i="3"/>
  <c r="M94" i="3"/>
  <c r="P94" i="3"/>
  <c r="S94" i="3"/>
  <c r="V94" i="3"/>
  <c r="Y94" i="3"/>
  <c r="AB94" i="3"/>
  <c r="AE94" i="3"/>
  <c r="AH94" i="3"/>
  <c r="AK94" i="3"/>
  <c r="AN94" i="3"/>
  <c r="AQ94" i="3"/>
  <c r="AU94" i="3"/>
  <c r="E95" i="3"/>
  <c r="I95" i="3"/>
  <c r="K95" i="3"/>
  <c r="L95" i="3"/>
  <c r="M95" i="3"/>
  <c r="N95" i="3"/>
  <c r="H68" i="8" s="1"/>
  <c r="O95" i="3"/>
  <c r="I68" i="8" s="1"/>
  <c r="P95" i="3"/>
  <c r="Q95" i="3"/>
  <c r="R95" i="3"/>
  <c r="S95" i="3"/>
  <c r="U95" i="3"/>
  <c r="V95" i="3" s="1"/>
  <c r="W95" i="3"/>
  <c r="Q68" i="8" s="1"/>
  <c r="X95" i="3"/>
  <c r="AA95" i="3"/>
  <c r="AB95" i="3" s="1"/>
  <c r="AC95" i="3"/>
  <c r="W68" i="8" s="1"/>
  <c r="AD95" i="3"/>
  <c r="X68" i="8" s="1"/>
  <c r="AE95" i="3"/>
  <c r="AG95" i="3"/>
  <c r="AJ95" i="3"/>
  <c r="AK95" i="3"/>
  <c r="AM95" i="3"/>
  <c r="AP95" i="3"/>
  <c r="AQ95" i="3"/>
  <c r="J99" i="3"/>
  <c r="M99" i="3"/>
  <c r="P99" i="3"/>
  <c r="S99" i="3"/>
  <c r="V99" i="3"/>
  <c r="X99" i="3"/>
  <c r="Y99" i="3"/>
  <c r="Z99" i="3"/>
  <c r="AA99" i="3"/>
  <c r="AC99" i="3" s="1"/>
  <c r="AC104" i="3" s="1"/>
  <c r="W70" i="8" s="1"/>
  <c r="AB99" i="3"/>
  <c r="AD99" i="3"/>
  <c r="AE99" i="3"/>
  <c r="AG99" i="3"/>
  <c r="AH99" i="3"/>
  <c r="AI99" i="3"/>
  <c r="AI104" i="3" s="1"/>
  <c r="AJ99" i="3"/>
  <c r="AJ104" i="3" s="1"/>
  <c r="AK99" i="3"/>
  <c r="AM99" i="3"/>
  <c r="AN99" i="3"/>
  <c r="AO99" i="3" s="1"/>
  <c r="AP99" i="3"/>
  <c r="AQ99" i="3"/>
  <c r="AR99" i="3"/>
  <c r="AR104" i="3" s="1"/>
  <c r="J103" i="3"/>
  <c r="M103" i="3"/>
  <c r="P103" i="3"/>
  <c r="S103" i="3"/>
  <c r="V103" i="3"/>
  <c r="Y103" i="3"/>
  <c r="AB103" i="3"/>
  <c r="AE103" i="3"/>
  <c r="AH103" i="3"/>
  <c r="AK103" i="3"/>
  <c r="AN103" i="3"/>
  <c r="AQ103" i="3"/>
  <c r="AU103" i="3"/>
  <c r="E104" i="3"/>
  <c r="I104" i="3"/>
  <c r="C70" i="8" s="1"/>
  <c r="C105" i="8" s="1"/>
  <c r="E105" i="8" s="1"/>
  <c r="J104" i="3"/>
  <c r="D70" i="8" s="1"/>
  <c r="K104" i="3"/>
  <c r="E70" i="8" s="1"/>
  <c r="L104" i="3"/>
  <c r="M104" i="3"/>
  <c r="G70" i="8" s="1"/>
  <c r="N104" i="3"/>
  <c r="O104" i="3"/>
  <c r="P104" i="3"/>
  <c r="J70" i="8" s="1"/>
  <c r="Q104" i="3"/>
  <c r="K70" i="8" s="1"/>
  <c r="R104" i="3"/>
  <c r="L70" i="8" s="1"/>
  <c r="T104" i="3"/>
  <c r="U104" i="3"/>
  <c r="V104" i="3" s="1"/>
  <c r="P70" i="8" s="1"/>
  <c r="W104" i="3"/>
  <c r="X104" i="3"/>
  <c r="R70" i="8" s="1"/>
  <c r="Z104" i="3"/>
  <c r="T70" i="8" s="1"/>
  <c r="AA104" i="3"/>
  <c r="AG104" i="3"/>
  <c r="AA70" i="8" s="1"/>
  <c r="AM104" i="3"/>
  <c r="AG70" i="8" s="1"/>
  <c r="AO104" i="3"/>
  <c r="AI70" i="8" s="1"/>
  <c r="AP104" i="3"/>
  <c r="AJ70" i="8" s="1"/>
  <c r="AQ104" i="3"/>
  <c r="AK70" i="8" s="1"/>
  <c r="E2" i="32"/>
  <c r="J13" i="32"/>
  <c r="M13" i="32"/>
  <c r="P13" i="32"/>
  <c r="S13" i="32"/>
  <c r="V13" i="32"/>
  <c r="Y13" i="32"/>
  <c r="Z13" i="32"/>
  <c r="AB13" i="32"/>
  <c r="AC13" i="32"/>
  <c r="AC18" i="32" s="1"/>
  <c r="AE13" i="32"/>
  <c r="AF13" i="32"/>
  <c r="AH13" i="32"/>
  <c r="AI13" i="32"/>
  <c r="AU13" i="32" s="1"/>
  <c r="AK13" i="32"/>
  <c r="AN13" i="32"/>
  <c r="AQ13" i="32"/>
  <c r="P14" i="32"/>
  <c r="Q14" i="32"/>
  <c r="S14" i="32"/>
  <c r="T14" i="32"/>
  <c r="T18" i="32" s="1"/>
  <c r="V14" i="32"/>
  <c r="W14" i="32"/>
  <c r="Y14" i="32"/>
  <c r="Z14" i="32"/>
  <c r="AB14" i="32"/>
  <c r="AC14" i="32"/>
  <c r="AE14" i="32"/>
  <c r="AF14" i="32"/>
  <c r="AH14" i="32"/>
  <c r="AI14" i="32"/>
  <c r="AK14" i="32"/>
  <c r="AL14" i="32"/>
  <c r="AL18" i="32" s="1"/>
  <c r="AN14" i="32"/>
  <c r="AO14" i="32"/>
  <c r="AQ14" i="32"/>
  <c r="AR14" i="32"/>
  <c r="AU14" i="32" s="1"/>
  <c r="J15" i="32"/>
  <c r="M15" i="32"/>
  <c r="P15" i="32"/>
  <c r="S15" i="32"/>
  <c r="V15" i="32"/>
  <c r="Y15" i="32"/>
  <c r="AB15" i="32"/>
  <c r="AE15" i="32"/>
  <c r="AF15" i="32"/>
  <c r="AH15" i="32"/>
  <c r="AI15" i="32"/>
  <c r="AK15" i="32"/>
  <c r="AL15" i="32"/>
  <c r="AN15" i="32"/>
  <c r="AO15" i="32"/>
  <c r="AQ15" i="32"/>
  <c r="AR15" i="32"/>
  <c r="AU15" i="32" s="1"/>
  <c r="J16" i="32"/>
  <c r="M16" i="32"/>
  <c r="P16" i="32"/>
  <c r="S16" i="32"/>
  <c r="V16" i="32"/>
  <c r="Y16" i="32"/>
  <c r="Z16" i="32"/>
  <c r="AB16" i="32"/>
  <c r="AC16" i="32"/>
  <c r="AE16" i="32"/>
  <c r="AF16" i="32"/>
  <c r="AH16" i="32"/>
  <c r="AI16" i="32"/>
  <c r="AK16" i="32"/>
  <c r="AL16" i="32"/>
  <c r="AN16" i="32"/>
  <c r="AO16" i="32"/>
  <c r="AQ16" i="32"/>
  <c r="AR16" i="32"/>
  <c r="AU16" i="32" s="1"/>
  <c r="J17" i="32"/>
  <c r="M17" i="32"/>
  <c r="P17" i="32"/>
  <c r="S17" i="32"/>
  <c r="V17" i="32"/>
  <c r="Y17" i="32"/>
  <c r="AB17" i="32"/>
  <c r="AC17" i="32"/>
  <c r="AE17" i="32"/>
  <c r="AF17" i="32"/>
  <c r="AH17" i="32"/>
  <c r="AI17" i="32"/>
  <c r="AK17" i="32"/>
  <c r="AL17" i="32"/>
  <c r="AN17" i="32"/>
  <c r="AO17" i="32"/>
  <c r="AU17" i="32" s="1"/>
  <c r="AQ17" i="32"/>
  <c r="AR17" i="32"/>
  <c r="E18" i="32"/>
  <c r="I18" i="32"/>
  <c r="J18" i="32"/>
  <c r="K18" i="32"/>
  <c r="L18" i="32"/>
  <c r="M18" i="32" s="1"/>
  <c r="N18" i="32"/>
  <c r="O18" i="32"/>
  <c r="P18" i="32" s="1"/>
  <c r="Q18" i="32"/>
  <c r="R18" i="32"/>
  <c r="S18" i="32"/>
  <c r="U18" i="32"/>
  <c r="V18" i="32" s="1"/>
  <c r="W18" i="32"/>
  <c r="X18" i="32"/>
  <c r="Y18" i="32"/>
  <c r="Z18" i="32"/>
  <c r="AA18" i="32"/>
  <c r="AB18" i="32"/>
  <c r="AD18" i="32"/>
  <c r="AE18" i="32"/>
  <c r="AG18" i="32"/>
  <c r="AH18" i="32"/>
  <c r="AI18" i="32"/>
  <c r="AJ18" i="32"/>
  <c r="AK18" i="32" s="1"/>
  <c r="AM18" i="32"/>
  <c r="AN18" i="32" s="1"/>
  <c r="AP18" i="32"/>
  <c r="AQ18" i="32"/>
  <c r="AR18" i="32"/>
  <c r="AB22" i="32"/>
  <c r="AC22" i="32"/>
  <c r="AE22" i="32"/>
  <c r="AF22" i="32"/>
  <c r="AH22" i="32"/>
  <c r="AI22" i="32"/>
  <c r="AI24" i="32" s="1"/>
  <c r="AU22" i="32"/>
  <c r="I24" i="32"/>
  <c r="J24" i="32"/>
  <c r="K24" i="32"/>
  <c r="L24" i="32"/>
  <c r="M24" i="32" s="1"/>
  <c r="N24" i="32"/>
  <c r="O24" i="32"/>
  <c r="P24" i="32" s="1"/>
  <c r="Q24" i="32"/>
  <c r="R24" i="32"/>
  <c r="S24" i="32" s="1"/>
  <c r="T24" i="32"/>
  <c r="U24" i="32"/>
  <c r="V24" i="32"/>
  <c r="W24" i="32"/>
  <c r="X24" i="32"/>
  <c r="Y24" i="32" s="1"/>
  <c r="Z24" i="32"/>
  <c r="AA24" i="32"/>
  <c r="AB24" i="32"/>
  <c r="AC24" i="32"/>
  <c r="AD24" i="32"/>
  <c r="AE24" i="32" s="1"/>
  <c r="AF24" i="32"/>
  <c r="AG24" i="32"/>
  <c r="AH24" i="32"/>
  <c r="AJ24" i="32"/>
  <c r="AK24" i="32" s="1"/>
  <c r="AL24" i="32"/>
  <c r="AM24" i="32"/>
  <c r="AN24" i="32"/>
  <c r="AO24" i="32"/>
  <c r="AP24" i="32"/>
  <c r="AQ24" i="32" s="1"/>
  <c r="AR24" i="32"/>
  <c r="F28" i="32"/>
  <c r="P28" i="32" s="1"/>
  <c r="H28" i="32"/>
  <c r="J28" i="32"/>
  <c r="K28" i="32"/>
  <c r="M28" i="32"/>
  <c r="M30" i="32" s="1"/>
  <c r="N28" i="32"/>
  <c r="Q28" i="32"/>
  <c r="S28" i="32"/>
  <c r="T28" i="32"/>
  <c r="V28" i="32"/>
  <c r="V30" i="32" s="1"/>
  <c r="W28" i="32"/>
  <c r="Y28" i="32"/>
  <c r="Z28" i="32"/>
  <c r="AC28" i="32"/>
  <c r="AE28" i="32"/>
  <c r="AF28" i="32"/>
  <c r="AH28" i="32"/>
  <c r="AI28" i="32"/>
  <c r="AK28" i="32"/>
  <c r="AL28" i="32"/>
  <c r="AL30" i="32" s="1"/>
  <c r="AO28" i="32"/>
  <c r="AQ28" i="32"/>
  <c r="AR28" i="32"/>
  <c r="AU28" i="32" s="1"/>
  <c r="J29" i="32"/>
  <c r="K29" i="32" s="1"/>
  <c r="M29" i="32"/>
  <c r="N29" i="32" s="1"/>
  <c r="N30" i="32" s="1"/>
  <c r="P29" i="32"/>
  <c r="Q29" i="32" s="1"/>
  <c r="S29" i="32"/>
  <c r="V29" i="32"/>
  <c r="W29" i="32" s="1"/>
  <c r="Y29" i="32"/>
  <c r="Z29" i="32" s="1"/>
  <c r="AB29" i="32"/>
  <c r="AC29" i="32" s="1"/>
  <c r="AC30" i="32" s="1"/>
  <c r="AE29" i="32"/>
  <c r="AH29" i="32"/>
  <c r="AI29" i="32" s="1"/>
  <c r="AK29" i="32"/>
  <c r="AL29" i="32" s="1"/>
  <c r="AN29" i="32"/>
  <c r="AO29" i="32" s="1"/>
  <c r="AQ29" i="32"/>
  <c r="AQ30" i="32" s="1"/>
  <c r="AR29" i="32"/>
  <c r="I30" i="32"/>
  <c r="L30" i="32"/>
  <c r="O30" i="32"/>
  <c r="P30" i="32"/>
  <c r="Q30" i="32"/>
  <c r="R30" i="32"/>
  <c r="U30" i="32"/>
  <c r="X30" i="32"/>
  <c r="AA30" i="32"/>
  <c r="AD30" i="32"/>
  <c r="AG30" i="32"/>
  <c r="AJ30" i="32"/>
  <c r="AK30" i="32"/>
  <c r="AM30" i="32"/>
  <c r="AO30" i="32"/>
  <c r="AP30" i="32"/>
  <c r="AQ34" i="32"/>
  <c r="AU34" i="32"/>
  <c r="J35" i="32"/>
  <c r="M35" i="32"/>
  <c r="P35" i="32"/>
  <c r="S35" i="32"/>
  <c r="V35" i="32"/>
  <c r="Y35" i="32"/>
  <c r="AB35" i="32"/>
  <c r="AE35" i="32"/>
  <c r="AH35" i="32"/>
  <c r="AK35" i="32"/>
  <c r="AN35" i="32"/>
  <c r="AQ35" i="32"/>
  <c r="AU35" i="32"/>
  <c r="E36" i="32"/>
  <c r="I36" i="32"/>
  <c r="J36" i="32" s="1"/>
  <c r="K36" i="32"/>
  <c r="L36" i="32"/>
  <c r="M36" i="32" s="1"/>
  <c r="N36" i="32"/>
  <c r="O36" i="32"/>
  <c r="P36" i="32" s="1"/>
  <c r="Q36" i="32"/>
  <c r="R36" i="32"/>
  <c r="S36" i="32" s="1"/>
  <c r="T36" i="32"/>
  <c r="U36" i="32"/>
  <c r="V36" i="32" s="1"/>
  <c r="W36" i="32"/>
  <c r="X36" i="32"/>
  <c r="Y36" i="32"/>
  <c r="Z36" i="32"/>
  <c r="AA36" i="32"/>
  <c r="AB36" i="32" s="1"/>
  <c r="AC36" i="32"/>
  <c r="AD36" i="32"/>
  <c r="AE36" i="32"/>
  <c r="AF36" i="32"/>
  <c r="AG36" i="32"/>
  <c r="AH36" i="32" s="1"/>
  <c r="AI36" i="32"/>
  <c r="AJ36" i="32"/>
  <c r="AK36" i="32"/>
  <c r="AL36" i="32"/>
  <c r="AM36" i="32"/>
  <c r="AN36" i="32" s="1"/>
  <c r="AO36" i="32"/>
  <c r="AP36" i="32"/>
  <c r="AQ36" i="32" s="1"/>
  <c r="AR36" i="32"/>
  <c r="J41" i="32"/>
  <c r="M41" i="32"/>
  <c r="P41" i="32"/>
  <c r="S41" i="32"/>
  <c r="V41" i="32"/>
  <c r="Y41" i="32"/>
  <c r="Z41" i="32"/>
  <c r="Z43" i="32" s="1"/>
  <c r="AB41" i="32"/>
  <c r="AC41" i="32"/>
  <c r="AE41" i="32"/>
  <c r="AF41" i="32"/>
  <c r="AH41" i="32"/>
  <c r="AI41" i="32"/>
  <c r="AK41" i="32"/>
  <c r="AL41" i="32"/>
  <c r="AL43" i="32" s="1"/>
  <c r="AN41" i="32"/>
  <c r="AO41" i="32"/>
  <c r="AQ41" i="32"/>
  <c r="AR41" i="32"/>
  <c r="E43" i="32"/>
  <c r="I43" i="32"/>
  <c r="I53" i="32" s="1"/>
  <c r="J53" i="32" s="1"/>
  <c r="K43" i="32"/>
  <c r="L43" i="32"/>
  <c r="L53" i="32" s="1"/>
  <c r="M53" i="32" s="1"/>
  <c r="N43" i="32"/>
  <c r="O43" i="32"/>
  <c r="Q43" i="32"/>
  <c r="R43" i="32"/>
  <c r="R53" i="32" s="1"/>
  <c r="S53" i="32" s="1"/>
  <c r="T43" i="32"/>
  <c r="U43" i="32"/>
  <c r="W43" i="32"/>
  <c r="X43" i="32"/>
  <c r="X53" i="32" s="1"/>
  <c r="Y53" i="32" s="1"/>
  <c r="AA43" i="32"/>
  <c r="AC43" i="32"/>
  <c r="AD43" i="32"/>
  <c r="AD53" i="32" s="1"/>
  <c r="AE53" i="32" s="1"/>
  <c r="AF43" i="32"/>
  <c r="AG43" i="32"/>
  <c r="AG53" i="32" s="1"/>
  <c r="AH53" i="32" s="1"/>
  <c r="AJ43" i="32"/>
  <c r="AM43" i="32"/>
  <c r="AO43" i="32"/>
  <c r="AP43" i="32"/>
  <c r="AR43" i="32"/>
  <c r="J46" i="32"/>
  <c r="M46" i="32"/>
  <c r="N46" i="32"/>
  <c r="P46" i="32"/>
  <c r="Q46" i="32"/>
  <c r="S46" i="32"/>
  <c r="T46" i="32"/>
  <c r="V46" i="32"/>
  <c r="W46" i="32"/>
  <c r="Y46" i="32"/>
  <c r="Z46" i="32"/>
  <c r="AB46" i="32"/>
  <c r="AC46" i="32"/>
  <c r="AE46" i="32"/>
  <c r="AF46" i="32"/>
  <c r="AH46" i="32"/>
  <c r="AI46" i="32"/>
  <c r="AK46" i="32"/>
  <c r="AL46" i="32"/>
  <c r="AN46" i="32"/>
  <c r="AO46" i="32"/>
  <c r="AQ46" i="32"/>
  <c r="AR46" i="32"/>
  <c r="AR51" i="32" s="1"/>
  <c r="AR53" i="32" s="1"/>
  <c r="J47" i="32"/>
  <c r="M47" i="32"/>
  <c r="N47" i="32"/>
  <c r="P47" i="32"/>
  <c r="Q47" i="32"/>
  <c r="S47" i="32"/>
  <c r="T47" i="32"/>
  <c r="V47" i="32"/>
  <c r="W47" i="32"/>
  <c r="Y47" i="32"/>
  <c r="Z47" i="32"/>
  <c r="AB47" i="32"/>
  <c r="AC47" i="32"/>
  <c r="AE47" i="32"/>
  <c r="AF47" i="32"/>
  <c r="AH47" i="32"/>
  <c r="AI47" i="32"/>
  <c r="AU47" i="32" s="1"/>
  <c r="AK47" i="32"/>
  <c r="AL47" i="32"/>
  <c r="AN47" i="32"/>
  <c r="AO47" i="32"/>
  <c r="AQ47" i="32"/>
  <c r="AR47" i="32"/>
  <c r="T48" i="32"/>
  <c r="W48" i="32"/>
  <c r="AU48" i="32" s="1"/>
  <c r="Z48" i="32"/>
  <c r="AC48" i="32"/>
  <c r="AF48" i="32"/>
  <c r="AI48" i="32"/>
  <c r="AL48" i="32"/>
  <c r="AL51" i="32" s="1"/>
  <c r="AL53" i="32" s="1"/>
  <c r="AO49" i="32"/>
  <c r="AR49" i="32"/>
  <c r="AU49" i="32" s="1"/>
  <c r="J50" i="32"/>
  <c r="M50" i="32"/>
  <c r="P50" i="32"/>
  <c r="S50" i="32"/>
  <c r="V50" i="32"/>
  <c r="Y50" i="32"/>
  <c r="AB50" i="32"/>
  <c r="AE50" i="32"/>
  <c r="AH50" i="32"/>
  <c r="AK50" i="32"/>
  <c r="AN50" i="32"/>
  <c r="AO50" i="32"/>
  <c r="AQ50" i="32"/>
  <c r="AR50" i="32"/>
  <c r="AU50" i="32"/>
  <c r="E51" i="32"/>
  <c r="I51" i="32"/>
  <c r="K51" i="32"/>
  <c r="L51" i="32"/>
  <c r="N51" i="32"/>
  <c r="N53" i="32" s="1"/>
  <c r="O51" i="32"/>
  <c r="Q51" i="32"/>
  <c r="Q53" i="32" s="1"/>
  <c r="R51" i="32"/>
  <c r="U51" i="32"/>
  <c r="X51" i="32"/>
  <c r="Z51" i="32"/>
  <c r="Z53" i="32" s="1"/>
  <c r="AA51" i="32"/>
  <c r="AA53" i="32" s="1"/>
  <c r="AB53" i="32" s="1"/>
  <c r="AC51" i="32"/>
  <c r="AD51" i="32"/>
  <c r="AF51" i="32"/>
  <c r="AG51" i="32"/>
  <c r="AJ51" i="32"/>
  <c r="AM51" i="32"/>
  <c r="AM53" i="32" s="1"/>
  <c r="AN53" i="32" s="1"/>
  <c r="AO51" i="32"/>
  <c r="AO53" i="32" s="1"/>
  <c r="AP51" i="32"/>
  <c r="K53" i="32"/>
  <c r="O53" i="32"/>
  <c r="P53" i="32" s="1"/>
  <c r="U53" i="32"/>
  <c r="V53" i="32" s="1"/>
  <c r="AC53" i="32"/>
  <c r="AJ53" i="32"/>
  <c r="AK53" i="32" s="1"/>
  <c r="J58" i="32"/>
  <c r="M58" i="32"/>
  <c r="P58" i="32"/>
  <c r="S58" i="32"/>
  <c r="V58" i="32"/>
  <c r="Y58" i="32"/>
  <c r="AB58" i="32"/>
  <c r="AE58" i="32"/>
  <c r="AH58" i="32"/>
  <c r="AK58" i="32"/>
  <c r="AN58" i="32"/>
  <c r="AQ58" i="32"/>
  <c r="AU58" i="32"/>
  <c r="E59" i="32"/>
  <c r="I59" i="32"/>
  <c r="J59" i="32"/>
  <c r="K59" i="32"/>
  <c r="L59" i="32"/>
  <c r="M59" i="32" s="1"/>
  <c r="N59" i="32"/>
  <c r="O59" i="32"/>
  <c r="P59" i="32" s="1"/>
  <c r="Q59" i="32"/>
  <c r="R59" i="32"/>
  <c r="S59" i="32"/>
  <c r="T59" i="32"/>
  <c r="U59" i="32"/>
  <c r="V59" i="32" s="1"/>
  <c r="W59" i="32"/>
  <c r="X59" i="32"/>
  <c r="Y59" i="32"/>
  <c r="Z59" i="32"/>
  <c r="AA59" i="32"/>
  <c r="AB59" i="32"/>
  <c r="AC59" i="32"/>
  <c r="AD59" i="32"/>
  <c r="AE59" i="32"/>
  <c r="AF59" i="32"/>
  <c r="AG59" i="32"/>
  <c r="AH59" i="32" s="1"/>
  <c r="AI59" i="32"/>
  <c r="AJ59" i="32"/>
  <c r="AK59" i="32"/>
  <c r="AL59" i="32"/>
  <c r="AM59" i="32"/>
  <c r="AN59" i="32" s="1"/>
  <c r="AO59" i="32"/>
  <c r="AP59" i="32"/>
  <c r="AQ59" i="32" s="1"/>
  <c r="AR59" i="32"/>
  <c r="J63" i="32"/>
  <c r="M63" i="32"/>
  <c r="P63" i="32"/>
  <c r="AU63" i="32"/>
  <c r="J65" i="32"/>
  <c r="M65" i="32"/>
  <c r="P65" i="32"/>
  <c r="S65" i="32"/>
  <c r="V65" i="32"/>
  <c r="Y65" i="32"/>
  <c r="AB65" i="32"/>
  <c r="AE65" i="32"/>
  <c r="AH65" i="32"/>
  <c r="AK65" i="32"/>
  <c r="AN65" i="32"/>
  <c r="AQ65" i="32"/>
  <c r="AU65" i="32"/>
  <c r="E66" i="32"/>
  <c r="I66" i="32"/>
  <c r="J66" i="32" s="1"/>
  <c r="K66" i="32"/>
  <c r="L66" i="32"/>
  <c r="M66" i="32"/>
  <c r="N66" i="32"/>
  <c r="O66" i="32"/>
  <c r="P66" i="32" s="1"/>
  <c r="Q66" i="32"/>
  <c r="R66" i="32"/>
  <c r="T66" i="32"/>
  <c r="U66" i="32"/>
  <c r="V66" i="32" s="1"/>
  <c r="W66" i="32"/>
  <c r="X66" i="32"/>
  <c r="Y66" i="32"/>
  <c r="Z66" i="32"/>
  <c r="T68" i="8" s="1"/>
  <c r="AA66" i="32"/>
  <c r="AB66" i="32" s="1"/>
  <c r="AC66" i="32"/>
  <c r="AD66" i="32"/>
  <c r="AE66" i="32"/>
  <c r="AF66" i="32"/>
  <c r="AG66" i="32"/>
  <c r="AH66" i="32"/>
  <c r="AI66" i="32"/>
  <c r="AJ66" i="32"/>
  <c r="AK66" i="32"/>
  <c r="AL66" i="32"/>
  <c r="AM66" i="32"/>
  <c r="AN66" i="32" s="1"/>
  <c r="AO66" i="32"/>
  <c r="AP66" i="32"/>
  <c r="AQ66" i="32"/>
  <c r="AR66" i="32"/>
  <c r="J69" i="32"/>
  <c r="M69" i="32"/>
  <c r="P69" i="32"/>
  <c r="S69" i="32"/>
  <c r="V69" i="32"/>
  <c r="Y69" i="32"/>
  <c r="Z69" i="32"/>
  <c r="Z72" i="32" s="1"/>
  <c r="AB69" i="32"/>
  <c r="AC69" i="32"/>
  <c r="AE69" i="32"/>
  <c r="AF69" i="32"/>
  <c r="AF72" i="32" s="1"/>
  <c r="AH69" i="32"/>
  <c r="AI69" i="32"/>
  <c r="AK69" i="32"/>
  <c r="AL69" i="32"/>
  <c r="AL72" i="32" s="1"/>
  <c r="AN69" i="32"/>
  <c r="AO69" i="32"/>
  <c r="AO72" i="32" s="1"/>
  <c r="AQ69" i="32"/>
  <c r="AR69" i="32"/>
  <c r="J71" i="32"/>
  <c r="M71" i="32"/>
  <c r="P71" i="32"/>
  <c r="S71" i="32"/>
  <c r="V71" i="32"/>
  <c r="Y71" i="32"/>
  <c r="AB71" i="32"/>
  <c r="AE71" i="32"/>
  <c r="AH71" i="32"/>
  <c r="AK71" i="32"/>
  <c r="AN71" i="32"/>
  <c r="AQ71" i="32"/>
  <c r="AU71" i="32"/>
  <c r="E72" i="32"/>
  <c r="I72" i="32"/>
  <c r="J72" i="32" s="1"/>
  <c r="K72" i="32"/>
  <c r="L72" i="32"/>
  <c r="M72" i="32" s="1"/>
  <c r="N72" i="32"/>
  <c r="O72" i="32"/>
  <c r="P72" i="32" s="1"/>
  <c r="Q72" i="32"/>
  <c r="R72" i="32"/>
  <c r="S72" i="32"/>
  <c r="T72" i="32"/>
  <c r="U72" i="32"/>
  <c r="V72" i="32" s="1"/>
  <c r="W72" i="32"/>
  <c r="X72" i="32"/>
  <c r="Y72" i="32"/>
  <c r="AA72" i="32"/>
  <c r="AB72" i="32"/>
  <c r="AC72" i="32"/>
  <c r="AD72" i="32"/>
  <c r="AE72" i="32" s="1"/>
  <c r="AG72" i="32"/>
  <c r="AH72" i="32" s="1"/>
  <c r="AI72" i="32"/>
  <c r="AJ72" i="32"/>
  <c r="AK72" i="32" s="1"/>
  <c r="AM72" i="32"/>
  <c r="AN72" i="32" s="1"/>
  <c r="AP72" i="32"/>
  <c r="AQ72" i="32"/>
  <c r="AR72" i="32"/>
  <c r="J78" i="32"/>
  <c r="K78" i="32" s="1"/>
  <c r="E112" i="8" s="1"/>
  <c r="M78" i="32"/>
  <c r="N78" i="32"/>
  <c r="P78" i="32"/>
  <c r="Q78" i="32"/>
  <c r="S78" i="32"/>
  <c r="T78" i="32"/>
  <c r="V78" i="32"/>
  <c r="W78" i="32" s="1"/>
  <c r="Y78" i="32"/>
  <c r="Z78" i="32"/>
  <c r="T112" i="8" s="1"/>
  <c r="AB78" i="32"/>
  <c r="AC78" i="32"/>
  <c r="AE78" i="32"/>
  <c r="AF78" i="32"/>
  <c r="AH78" i="32"/>
  <c r="AI78" i="32" s="1"/>
  <c r="AK78" i="32"/>
  <c r="AL78" i="32"/>
  <c r="AN78" i="32"/>
  <c r="AO78" i="32"/>
  <c r="AQ78" i="32"/>
  <c r="AR78" i="32"/>
  <c r="AR83" i="32" s="1"/>
  <c r="J79" i="32"/>
  <c r="K79" i="32" s="1"/>
  <c r="E113" i="8" s="1"/>
  <c r="M79" i="32"/>
  <c r="N79" i="32" s="1"/>
  <c r="H113" i="8" s="1"/>
  <c r="P79" i="32"/>
  <c r="Q79" i="32"/>
  <c r="K113" i="8" s="1"/>
  <c r="D243" i="97" s="1"/>
  <c r="D162" i="97" s="1"/>
  <c r="S79" i="32"/>
  <c r="T79" i="32"/>
  <c r="N113" i="8" s="1"/>
  <c r="E243" i="97" s="1"/>
  <c r="E162" i="97" s="1"/>
  <c r="V79" i="32"/>
  <c r="W79" i="32" s="1"/>
  <c r="Q113" i="8" s="1"/>
  <c r="F243" i="97" s="1"/>
  <c r="F162" i="97" s="1"/>
  <c r="Y79" i="32"/>
  <c r="Z79" i="32" s="1"/>
  <c r="T113" i="8" s="1"/>
  <c r="G243" i="97" s="1"/>
  <c r="G162" i="97" s="1"/>
  <c r="AB79" i="32"/>
  <c r="AC79" i="32"/>
  <c r="W113" i="8" s="1"/>
  <c r="AE79" i="32"/>
  <c r="AF79" i="32"/>
  <c r="Z113" i="8" s="1"/>
  <c r="AH79" i="32"/>
  <c r="AI79" i="32" s="1"/>
  <c r="AC113" i="8" s="1"/>
  <c r="J243" i="97" s="1"/>
  <c r="J162" i="97" s="1"/>
  <c r="AK79" i="32"/>
  <c r="AL79" i="32" s="1"/>
  <c r="AF113" i="8" s="1"/>
  <c r="K243" i="97" s="1"/>
  <c r="K162" i="97" s="1"/>
  <c r="AN79" i="32"/>
  <c r="AO79" i="32"/>
  <c r="AI113" i="8" s="1"/>
  <c r="L243" i="97" s="1"/>
  <c r="L162" i="97" s="1"/>
  <c r="AQ79" i="32"/>
  <c r="AR79" i="32"/>
  <c r="AL113" i="8" s="1"/>
  <c r="J80" i="32"/>
  <c r="K80" i="32"/>
  <c r="E114" i="8" s="1"/>
  <c r="M80" i="32"/>
  <c r="N80" i="32"/>
  <c r="H114" i="8" s="1"/>
  <c r="P80" i="32"/>
  <c r="Q80" i="32" s="1"/>
  <c r="K114" i="8" s="1"/>
  <c r="S80" i="32"/>
  <c r="T80" i="32" s="1"/>
  <c r="N114" i="8" s="1"/>
  <c r="E250" i="97" s="1"/>
  <c r="E168" i="97" s="1"/>
  <c r="V80" i="32"/>
  <c r="W80" i="32"/>
  <c r="Q114" i="8" s="1"/>
  <c r="P114" i="8" s="1"/>
  <c r="Y80" i="32"/>
  <c r="Z80" i="32"/>
  <c r="AB80" i="32"/>
  <c r="AC80" i="32" s="1"/>
  <c r="W114" i="8" s="1"/>
  <c r="AE80" i="32"/>
  <c r="AF80" i="32" s="1"/>
  <c r="Z114" i="8" s="1"/>
  <c r="AH80" i="32"/>
  <c r="AI80" i="32"/>
  <c r="AC114" i="8" s="1"/>
  <c r="AK80" i="32"/>
  <c r="AL80" i="32"/>
  <c r="AF114" i="8" s="1"/>
  <c r="AE114" i="8" s="1"/>
  <c r="AN80" i="32"/>
  <c r="AO80" i="32" s="1"/>
  <c r="AI114" i="8" s="1"/>
  <c r="AH114" i="8" s="1"/>
  <c r="AQ80" i="32"/>
  <c r="AR80" i="32" s="1"/>
  <c r="J81" i="32"/>
  <c r="K81" i="32" s="1"/>
  <c r="E115" i="8" s="1"/>
  <c r="M81" i="32"/>
  <c r="N81" i="32"/>
  <c r="H115" i="8" s="1"/>
  <c r="P81" i="32"/>
  <c r="Q81" i="32"/>
  <c r="K115" i="8" s="1"/>
  <c r="D228" i="97" s="1"/>
  <c r="D150" i="97" s="1"/>
  <c r="S81" i="32"/>
  <c r="T81" i="32" s="1"/>
  <c r="N115" i="8" s="1"/>
  <c r="V81" i="32"/>
  <c r="W81" i="32" s="1"/>
  <c r="Q115" i="8" s="1"/>
  <c r="Y81" i="32"/>
  <c r="Z81" i="32"/>
  <c r="T115" i="8" s="1"/>
  <c r="AB81" i="32"/>
  <c r="AC81" i="32"/>
  <c r="AE81" i="32"/>
  <c r="AF81" i="32" s="1"/>
  <c r="Z115" i="8" s="1"/>
  <c r="I228" i="97" s="1"/>
  <c r="I150" i="97" s="1"/>
  <c r="AH81" i="32"/>
  <c r="AI81" i="32" s="1"/>
  <c r="AC115" i="8" s="1"/>
  <c r="AK81" i="32"/>
  <c r="AL81" i="32"/>
  <c r="AF115" i="8" s="1"/>
  <c r="AN81" i="32"/>
  <c r="AO81" i="32"/>
  <c r="AI115" i="8" s="1"/>
  <c r="AQ81" i="32"/>
  <c r="AR81" i="32" s="1"/>
  <c r="J82" i="32"/>
  <c r="K82" i="32"/>
  <c r="E116" i="8" s="1"/>
  <c r="E117" i="8" s="1"/>
  <c r="M82" i="32"/>
  <c r="N82" i="32" s="1"/>
  <c r="H116" i="8" s="1"/>
  <c r="P82" i="32"/>
  <c r="Q82" i="32" s="1"/>
  <c r="K116" i="8" s="1"/>
  <c r="S82" i="32"/>
  <c r="T82" i="32"/>
  <c r="N116" i="8" s="1"/>
  <c r="V82" i="32"/>
  <c r="W82" i="32"/>
  <c r="Q116" i="8" s="1"/>
  <c r="F228" i="97" s="1"/>
  <c r="F150" i="97" s="1"/>
  <c r="Y82" i="32"/>
  <c r="Z82" i="32" s="1"/>
  <c r="T116" i="8" s="1"/>
  <c r="AB82" i="32"/>
  <c r="AC82" i="32" s="1"/>
  <c r="W116" i="8" s="1"/>
  <c r="AE82" i="32"/>
  <c r="AF82" i="32"/>
  <c r="Z116" i="8" s="1"/>
  <c r="AH82" i="32"/>
  <c r="AI82" i="32"/>
  <c r="AC116" i="8" s="1"/>
  <c r="AK82" i="32"/>
  <c r="AL82" i="32" s="1"/>
  <c r="AN82" i="32"/>
  <c r="AO82" i="32" s="1"/>
  <c r="AI116" i="8" s="1"/>
  <c r="AQ82" i="32"/>
  <c r="AR82" i="32"/>
  <c r="AL116" i="8" s="1"/>
  <c r="J83" i="32"/>
  <c r="M83" i="32"/>
  <c r="P83" i="32"/>
  <c r="S83" i="32"/>
  <c r="V83" i="32"/>
  <c r="Y83" i="32"/>
  <c r="Z83" i="32"/>
  <c r="AB83" i="32"/>
  <c r="AE83" i="32"/>
  <c r="AH83" i="32"/>
  <c r="AK83" i="32"/>
  <c r="AL83" i="32"/>
  <c r="AN83" i="32"/>
  <c r="AQ83" i="32"/>
  <c r="J84" i="32"/>
  <c r="K84" i="32" s="1"/>
  <c r="K85" i="32" s="1"/>
  <c r="M84" i="32"/>
  <c r="N84" i="32" s="1"/>
  <c r="N85" i="32" s="1"/>
  <c r="P84" i="32"/>
  <c r="Q84" i="32" s="1"/>
  <c r="T84" i="32"/>
  <c r="N118" i="8" s="1"/>
  <c r="N119" i="8" s="1"/>
  <c r="W84" i="32"/>
  <c r="Q118" i="8" s="1"/>
  <c r="Q119" i="8" s="1"/>
  <c r="Z84" i="32"/>
  <c r="AC84" i="32"/>
  <c r="AF84" i="32"/>
  <c r="Z118" i="8" s="1"/>
  <c r="Z119" i="8" s="1"/>
  <c r="AI84" i="32"/>
  <c r="AC118" i="8" s="1"/>
  <c r="AL84" i="32"/>
  <c r="AN84" i="32"/>
  <c r="AO84" i="32"/>
  <c r="AI118" i="8" s="1"/>
  <c r="AQ84" i="32"/>
  <c r="AR84" i="32"/>
  <c r="AR85" i="32" s="1"/>
  <c r="J85" i="32"/>
  <c r="M85" i="32"/>
  <c r="P85" i="32"/>
  <c r="S85" i="32"/>
  <c r="T85" i="32"/>
  <c r="V85" i="32"/>
  <c r="W85" i="32"/>
  <c r="Y85" i="32"/>
  <c r="AB85" i="32"/>
  <c r="AE85" i="32"/>
  <c r="AF85" i="32"/>
  <c r="AH85" i="32"/>
  <c r="AI85" i="32"/>
  <c r="AK85" i="32"/>
  <c r="AN85" i="32"/>
  <c r="AQ85" i="32"/>
  <c r="J86" i="32"/>
  <c r="K86" i="32"/>
  <c r="M86" i="32"/>
  <c r="N86" i="32" s="1"/>
  <c r="N87" i="32" s="1"/>
  <c r="P86" i="32"/>
  <c r="Q86" i="32" s="1"/>
  <c r="Q87" i="32" s="1"/>
  <c r="S86" i="32"/>
  <c r="T86" i="32"/>
  <c r="N120" i="8" s="1"/>
  <c r="V86" i="32"/>
  <c r="W86" i="32"/>
  <c r="Q120" i="8" s="1"/>
  <c r="Y86" i="32"/>
  <c r="Z86" i="32" s="1"/>
  <c r="AB86" i="32"/>
  <c r="AC86" i="32" s="1"/>
  <c r="AC87" i="32" s="1"/>
  <c r="AE86" i="32"/>
  <c r="AF86" i="32"/>
  <c r="AH86" i="32"/>
  <c r="AI86" i="32"/>
  <c r="AC120" i="8" s="1"/>
  <c r="AC121" i="8" s="1"/>
  <c r="AK86" i="32"/>
  <c r="AL86" i="32" s="1"/>
  <c r="AL87" i="32" s="1"/>
  <c r="AN86" i="32"/>
  <c r="AO86" i="32" s="1"/>
  <c r="AI120" i="8" s="1"/>
  <c r="AH120" i="8" s="1"/>
  <c r="AQ86" i="32"/>
  <c r="AR86" i="32"/>
  <c r="J87" i="32"/>
  <c r="M87" i="32"/>
  <c r="P87" i="32"/>
  <c r="S87" i="32"/>
  <c r="T87" i="32"/>
  <c r="V87" i="32"/>
  <c r="W87" i="32"/>
  <c r="Y87" i="32"/>
  <c r="AB87" i="32"/>
  <c r="AE87" i="32"/>
  <c r="AH87" i="32"/>
  <c r="AI87" i="32"/>
  <c r="AK87" i="32"/>
  <c r="AN87" i="32"/>
  <c r="AO87" i="32"/>
  <c r="AQ87" i="32"/>
  <c r="J88" i="32"/>
  <c r="K88" i="32"/>
  <c r="M88" i="32"/>
  <c r="N88" i="32"/>
  <c r="H122" i="8" s="1"/>
  <c r="P88" i="32"/>
  <c r="Q88" i="32"/>
  <c r="S88" i="32"/>
  <c r="T88" i="32"/>
  <c r="N122" i="8" s="1"/>
  <c r="V88" i="32"/>
  <c r="W88" i="32"/>
  <c r="Y88" i="32"/>
  <c r="Z88" i="32"/>
  <c r="T122" i="8" s="1"/>
  <c r="AB88" i="32"/>
  <c r="AC88" i="32"/>
  <c r="AE88" i="32"/>
  <c r="AF88" i="32"/>
  <c r="Z122" i="8" s="1"/>
  <c r="AH88" i="32"/>
  <c r="AI88" i="32"/>
  <c r="AC122" i="8" s="1"/>
  <c r="AC124" i="8" s="1"/>
  <c r="J279" i="97" s="1"/>
  <c r="J186" i="97" s="1"/>
  <c r="AK88" i="32"/>
  <c r="AL88" i="32"/>
  <c r="AF122" i="8" s="1"/>
  <c r="AN88" i="32"/>
  <c r="AO88" i="32"/>
  <c r="AQ88" i="32"/>
  <c r="AR88" i="32"/>
  <c r="AL122" i="8" s="1"/>
  <c r="J89" i="32"/>
  <c r="K89" i="32" s="1"/>
  <c r="E123" i="8" s="1"/>
  <c r="M89" i="32"/>
  <c r="N89" i="32" s="1"/>
  <c r="P89" i="32"/>
  <c r="Q89" i="32"/>
  <c r="K123" i="8" s="1"/>
  <c r="S89" i="32"/>
  <c r="T89" i="32" s="1"/>
  <c r="N123" i="8" s="1"/>
  <c r="V89" i="32"/>
  <c r="W89" i="32" s="1"/>
  <c r="Q123" i="8" s="1"/>
  <c r="Y89" i="32"/>
  <c r="Z89" i="32" s="1"/>
  <c r="T123" i="8" s="1"/>
  <c r="AB89" i="32"/>
  <c r="AC89" i="32"/>
  <c r="W123" i="8" s="1"/>
  <c r="AE89" i="32"/>
  <c r="AF89" i="32"/>
  <c r="AH89" i="32"/>
  <c r="AI89" i="32" s="1"/>
  <c r="AC123" i="8" s="1"/>
  <c r="AK89" i="32"/>
  <c r="AL89" i="32" s="1"/>
  <c r="AF123" i="8" s="1"/>
  <c r="AF124" i="8" s="1"/>
  <c r="AN89" i="32"/>
  <c r="AO89" i="32" s="1"/>
  <c r="AQ89" i="32"/>
  <c r="AR89" i="32"/>
  <c r="AL123" i="8" s="1"/>
  <c r="J90" i="32"/>
  <c r="M90" i="32"/>
  <c r="P90" i="32"/>
  <c r="S90" i="32"/>
  <c r="T90" i="32"/>
  <c r="V90" i="32"/>
  <c r="Y90" i="32"/>
  <c r="Z90" i="32"/>
  <c r="AB90" i="32"/>
  <c r="AE90" i="32"/>
  <c r="AF90" i="32"/>
  <c r="AH90" i="32"/>
  <c r="AK90" i="32"/>
  <c r="AL90" i="32"/>
  <c r="AN90" i="32"/>
  <c r="AQ90" i="32"/>
  <c r="J91" i="32"/>
  <c r="K91" i="32"/>
  <c r="M91" i="32"/>
  <c r="N91" i="32"/>
  <c r="P91" i="32"/>
  <c r="Q91" i="32" s="1"/>
  <c r="S91" i="32"/>
  <c r="T91" i="32" s="1"/>
  <c r="V91" i="32"/>
  <c r="W91" i="32"/>
  <c r="Q125" i="8" s="1"/>
  <c r="Y91" i="32"/>
  <c r="Z91" i="32"/>
  <c r="AB91" i="32"/>
  <c r="AC91" i="32" s="1"/>
  <c r="W125" i="8" s="1"/>
  <c r="AE91" i="32"/>
  <c r="AF91" i="32" s="1"/>
  <c r="AH91" i="32"/>
  <c r="AI91" i="32"/>
  <c r="AK91" i="32"/>
  <c r="AL91" i="32"/>
  <c r="AN91" i="32"/>
  <c r="AO91" i="32" s="1"/>
  <c r="AQ91" i="32"/>
  <c r="AR91" i="32" s="1"/>
  <c r="J92" i="32"/>
  <c r="K92" i="32" s="1"/>
  <c r="E126" i="8" s="1"/>
  <c r="B209" i="97" s="1"/>
  <c r="M92" i="32"/>
  <c r="N92" i="32" s="1"/>
  <c r="H126" i="8" s="1"/>
  <c r="C209" i="97" s="1"/>
  <c r="C138" i="97" s="1"/>
  <c r="P92" i="32"/>
  <c r="Q92" i="32"/>
  <c r="S92" i="32"/>
  <c r="T92" i="32" s="1"/>
  <c r="N126" i="8" s="1"/>
  <c r="V92" i="32"/>
  <c r="W92" i="32" s="1"/>
  <c r="Q126" i="8" s="1"/>
  <c r="Y92" i="32"/>
  <c r="Z92" i="32"/>
  <c r="T126" i="8" s="1"/>
  <c r="G209" i="97" s="1"/>
  <c r="G138" i="97" s="1"/>
  <c r="AB92" i="32"/>
  <c r="AC92" i="32" s="1"/>
  <c r="AE92" i="32"/>
  <c r="AF92" i="32" s="1"/>
  <c r="Z126" i="8" s="1"/>
  <c r="I209" i="97" s="1"/>
  <c r="AH92" i="32"/>
  <c r="AI92" i="32" s="1"/>
  <c r="AK92" i="32"/>
  <c r="AL92" i="32"/>
  <c r="AF126" i="8" s="1"/>
  <c r="K209" i="97" s="1"/>
  <c r="AN92" i="32"/>
  <c r="AO92" i="32"/>
  <c r="AI126" i="8" s="1"/>
  <c r="AQ92" i="32"/>
  <c r="AR92" i="32" s="1"/>
  <c r="J93" i="32"/>
  <c r="K93" i="32"/>
  <c r="E127" i="8" s="1"/>
  <c r="B217" i="97" s="1"/>
  <c r="M93" i="32"/>
  <c r="N93" i="32" s="1"/>
  <c r="P93" i="32"/>
  <c r="Q93" i="32" s="1"/>
  <c r="K127" i="8" s="1"/>
  <c r="D217" i="97" s="1"/>
  <c r="S93" i="32"/>
  <c r="T93" i="32"/>
  <c r="V93" i="32"/>
  <c r="W93" i="32"/>
  <c r="Q127" i="8" s="1"/>
  <c r="F217" i="97" s="1"/>
  <c r="Y93" i="32"/>
  <c r="Z93" i="32" s="1"/>
  <c r="T127" i="8" s="1"/>
  <c r="G217" i="97" s="1"/>
  <c r="AB93" i="32"/>
  <c r="AC93" i="32" s="1"/>
  <c r="W127" i="8" s="1"/>
  <c r="AE93" i="32"/>
  <c r="AF93" i="32"/>
  <c r="Z127" i="8" s="1"/>
  <c r="AH93" i="32"/>
  <c r="AI93" i="32"/>
  <c r="AC127" i="8" s="1"/>
  <c r="AK93" i="32"/>
  <c r="AL93" i="32" s="1"/>
  <c r="AF127" i="8" s="1"/>
  <c r="K217" i="97" s="1"/>
  <c r="AN93" i="32"/>
  <c r="AO93" i="32" s="1"/>
  <c r="AI127" i="8" s="1"/>
  <c r="L217" i="97" s="1"/>
  <c r="AQ93" i="32"/>
  <c r="AR93" i="32"/>
  <c r="J94" i="32"/>
  <c r="M94" i="32"/>
  <c r="P94" i="32"/>
  <c r="S94" i="32"/>
  <c r="V94" i="32"/>
  <c r="Y94" i="32"/>
  <c r="AB94" i="32"/>
  <c r="AE94" i="32"/>
  <c r="AH94" i="32"/>
  <c r="AK94" i="32"/>
  <c r="AN94" i="32"/>
  <c r="AQ94" i="32"/>
  <c r="AU94" i="32"/>
  <c r="J95" i="32"/>
  <c r="K95" i="32"/>
  <c r="E129" i="8" s="1"/>
  <c r="M95" i="32"/>
  <c r="N95" i="32"/>
  <c r="H129" i="8" s="1"/>
  <c r="P95" i="32"/>
  <c r="Q95" i="32"/>
  <c r="K129" i="8" s="1"/>
  <c r="D194" i="97" s="1"/>
  <c r="D126" i="97" s="1"/>
  <c r="S95" i="32"/>
  <c r="T95" i="32"/>
  <c r="V95" i="32"/>
  <c r="W95" i="32"/>
  <c r="Q129" i="8" s="1"/>
  <c r="Y95" i="32"/>
  <c r="Z95" i="32"/>
  <c r="T129" i="8" s="1"/>
  <c r="AB95" i="32"/>
  <c r="AC95" i="32"/>
  <c r="W129" i="8" s="1"/>
  <c r="H194" i="97" s="1"/>
  <c r="H126" i="97" s="1"/>
  <c r="AE95" i="32"/>
  <c r="AF95" i="32"/>
  <c r="AH95" i="32"/>
  <c r="AI95" i="32"/>
  <c r="AC129" i="8" s="1"/>
  <c r="AK95" i="32"/>
  <c r="AL95" i="32"/>
  <c r="AF129" i="8" s="1"/>
  <c r="AN95" i="32"/>
  <c r="AO95" i="32"/>
  <c r="AI129" i="8" s="1"/>
  <c r="AQ95" i="32"/>
  <c r="AR95" i="32"/>
  <c r="J96" i="32"/>
  <c r="M96" i="32"/>
  <c r="P96" i="32"/>
  <c r="S96" i="32"/>
  <c r="V96" i="32"/>
  <c r="Y96" i="32"/>
  <c r="AB96" i="32"/>
  <c r="AE96" i="32"/>
  <c r="AH96" i="32"/>
  <c r="AK96" i="32"/>
  <c r="AN96" i="32"/>
  <c r="AQ96" i="32"/>
  <c r="A8" i="97"/>
  <c r="N16" i="97"/>
  <c r="C17" i="97"/>
  <c r="D17" i="97"/>
  <c r="F17" i="97"/>
  <c r="H17" i="97"/>
  <c r="I17" i="97"/>
  <c r="K17" i="97"/>
  <c r="L17" i="97"/>
  <c r="N23" i="97"/>
  <c r="N24" i="97"/>
  <c r="B25" i="97"/>
  <c r="C25" i="97"/>
  <c r="C110" i="97" s="1"/>
  <c r="D25" i="97"/>
  <c r="E25" i="97"/>
  <c r="F25" i="97"/>
  <c r="G25" i="97"/>
  <c r="H25" i="97"/>
  <c r="I25" i="97"/>
  <c r="J25" i="97"/>
  <c r="K25" i="97"/>
  <c r="L25" i="97"/>
  <c r="B29" i="97"/>
  <c r="D29" i="97"/>
  <c r="F29" i="97"/>
  <c r="G29" i="97"/>
  <c r="H29" i="97"/>
  <c r="I29" i="97"/>
  <c r="J29" i="97"/>
  <c r="L29" i="97"/>
  <c r="C30" i="97"/>
  <c r="D30" i="97"/>
  <c r="D33" i="97" s="1"/>
  <c r="F30" i="97"/>
  <c r="G30" i="97"/>
  <c r="L30" i="97"/>
  <c r="N31" i="97"/>
  <c r="B32" i="97"/>
  <c r="C32" i="97"/>
  <c r="D32" i="97"/>
  <c r="E32" i="97"/>
  <c r="F32" i="97"/>
  <c r="G32" i="97"/>
  <c r="H32" i="97"/>
  <c r="I32" i="97"/>
  <c r="J32" i="97"/>
  <c r="K32" i="97"/>
  <c r="L32" i="97"/>
  <c r="M32" i="97"/>
  <c r="F33" i="97"/>
  <c r="G33" i="97"/>
  <c r="N38" i="97"/>
  <c r="N39" i="97"/>
  <c r="B40" i="97"/>
  <c r="C40" i="97"/>
  <c r="D40" i="97"/>
  <c r="E40" i="97"/>
  <c r="F40" i="97"/>
  <c r="G40" i="97"/>
  <c r="H40" i="97"/>
  <c r="I40" i="97"/>
  <c r="J40" i="97"/>
  <c r="K40" i="97"/>
  <c r="L40" i="97"/>
  <c r="M40" i="97"/>
  <c r="D47" i="97"/>
  <c r="E47" i="97"/>
  <c r="F47" i="97"/>
  <c r="G47" i="97"/>
  <c r="H47" i="97"/>
  <c r="K47" i="97"/>
  <c r="M47" i="97"/>
  <c r="B48" i="97"/>
  <c r="C48" i="97"/>
  <c r="E48" i="97"/>
  <c r="F48" i="97"/>
  <c r="I48" i="97"/>
  <c r="K48" i="97"/>
  <c r="L48" i="97"/>
  <c r="N49" i="97"/>
  <c r="B50" i="97"/>
  <c r="C50" i="97"/>
  <c r="D50" i="97"/>
  <c r="E50" i="97"/>
  <c r="E51" i="97" s="1"/>
  <c r="F50" i="97"/>
  <c r="H50" i="97"/>
  <c r="I50" i="97"/>
  <c r="K50" i="97"/>
  <c r="L50" i="97"/>
  <c r="L51" i="97" s="1"/>
  <c r="F51" i="97"/>
  <c r="N56" i="97"/>
  <c r="N57" i="97"/>
  <c r="B58" i="97"/>
  <c r="C58" i="97"/>
  <c r="D58" i="97"/>
  <c r="E58" i="97"/>
  <c r="F58" i="97"/>
  <c r="G58" i="97"/>
  <c r="J58" i="97"/>
  <c r="K58" i="97"/>
  <c r="L58" i="97"/>
  <c r="M58" i="97"/>
  <c r="B62" i="97"/>
  <c r="C62" i="97"/>
  <c r="D62" i="97"/>
  <c r="E62" i="97"/>
  <c r="G62" i="97"/>
  <c r="H62" i="97"/>
  <c r="I62" i="97"/>
  <c r="J62" i="97"/>
  <c r="K62" i="97"/>
  <c r="L62" i="97"/>
  <c r="C63" i="97"/>
  <c r="F63" i="97"/>
  <c r="F66" i="97" s="1"/>
  <c r="J63" i="97"/>
  <c r="K63" i="97"/>
  <c r="N64" i="97"/>
  <c r="C65" i="97"/>
  <c r="D65" i="97"/>
  <c r="E65" i="97"/>
  <c r="F65" i="97"/>
  <c r="G65" i="97"/>
  <c r="H65" i="97"/>
  <c r="I65" i="97"/>
  <c r="J65" i="97"/>
  <c r="J66" i="97" s="1"/>
  <c r="K65" i="97"/>
  <c r="L65" i="97"/>
  <c r="C66" i="97"/>
  <c r="K66" i="97"/>
  <c r="B69" i="97"/>
  <c r="C69" i="97"/>
  <c r="D69" i="97"/>
  <c r="E69" i="97"/>
  <c r="F69" i="97"/>
  <c r="G69" i="97"/>
  <c r="H69" i="97"/>
  <c r="I69" i="97"/>
  <c r="J69" i="97"/>
  <c r="L69" i="97"/>
  <c r="M69" i="97"/>
  <c r="B70" i="97"/>
  <c r="F70" i="97"/>
  <c r="H70" i="97"/>
  <c r="K70" i="97"/>
  <c r="K73" i="97" s="1"/>
  <c r="L70" i="97"/>
  <c r="M70" i="97"/>
  <c r="N71" i="97"/>
  <c r="B72" i="97"/>
  <c r="C72" i="97"/>
  <c r="D72" i="97"/>
  <c r="E72" i="97"/>
  <c r="F72" i="97"/>
  <c r="G72" i="97"/>
  <c r="H72" i="97"/>
  <c r="I72" i="97"/>
  <c r="J72" i="97"/>
  <c r="K72" i="97"/>
  <c r="L72" i="97"/>
  <c r="L73" i="97" s="1"/>
  <c r="M72" i="97"/>
  <c r="M73" i="97" s="1"/>
  <c r="F73" i="97"/>
  <c r="H73" i="97"/>
  <c r="N81" i="97"/>
  <c r="B82" i="97"/>
  <c r="C82" i="97"/>
  <c r="D82" i="97"/>
  <c r="E82" i="97"/>
  <c r="F82" i="97"/>
  <c r="G82" i="97"/>
  <c r="H82" i="97"/>
  <c r="I82" i="97"/>
  <c r="J82" i="97"/>
  <c r="K82" i="97"/>
  <c r="L82" i="97"/>
  <c r="M82" i="97"/>
  <c r="N88" i="97"/>
  <c r="C89" i="97"/>
  <c r="D89" i="97"/>
  <c r="E89" i="97"/>
  <c r="F89" i="97"/>
  <c r="F180" i="97" s="1"/>
  <c r="G89" i="97"/>
  <c r="H89" i="97"/>
  <c r="I89" i="97"/>
  <c r="J89" i="97"/>
  <c r="K89" i="97"/>
  <c r="L89" i="97"/>
  <c r="M89" i="97"/>
  <c r="N98" i="97"/>
  <c r="B99" i="97"/>
  <c r="C99" i="97"/>
  <c r="D99" i="97"/>
  <c r="E99" i="97"/>
  <c r="F99" i="97"/>
  <c r="F110" i="97" s="1"/>
  <c r="G99" i="97"/>
  <c r="H99" i="97"/>
  <c r="I99" i="97"/>
  <c r="J99" i="97"/>
  <c r="K99" i="97"/>
  <c r="L99" i="97"/>
  <c r="M99" i="97"/>
  <c r="N99" i="97"/>
  <c r="B107" i="97"/>
  <c r="C107" i="97"/>
  <c r="D107" i="97"/>
  <c r="E107" i="97"/>
  <c r="F107" i="97"/>
  <c r="G107" i="97"/>
  <c r="H107" i="97"/>
  <c r="I107" i="97"/>
  <c r="J107" i="97"/>
  <c r="K107" i="97"/>
  <c r="L107" i="97"/>
  <c r="M107" i="97"/>
  <c r="B108" i="97"/>
  <c r="C108" i="97"/>
  <c r="D108" i="97"/>
  <c r="E108" i="97"/>
  <c r="F108" i="97"/>
  <c r="G108" i="97"/>
  <c r="H108" i="97"/>
  <c r="I108" i="97"/>
  <c r="J108" i="97"/>
  <c r="K108" i="97"/>
  <c r="L108" i="97"/>
  <c r="M108" i="97"/>
  <c r="B109" i="97"/>
  <c r="C109" i="97"/>
  <c r="D109" i="97"/>
  <c r="E109" i="97"/>
  <c r="F109" i="97"/>
  <c r="G109" i="97"/>
  <c r="N109" i="97" s="1"/>
  <c r="H109" i="97"/>
  <c r="I109" i="97"/>
  <c r="J109" i="97"/>
  <c r="K109" i="97"/>
  <c r="L109" i="97"/>
  <c r="M109" i="97"/>
  <c r="B118" i="97"/>
  <c r="C118" i="97"/>
  <c r="D118" i="97"/>
  <c r="E118" i="97"/>
  <c r="F118" i="97"/>
  <c r="G118" i="97"/>
  <c r="N118" i="97" s="1"/>
  <c r="H118" i="97"/>
  <c r="I118" i="97"/>
  <c r="J118" i="97"/>
  <c r="K118" i="97"/>
  <c r="L118" i="97"/>
  <c r="M118" i="97"/>
  <c r="B125" i="97"/>
  <c r="C125" i="97"/>
  <c r="D125" i="97"/>
  <c r="E125" i="97"/>
  <c r="F125" i="97"/>
  <c r="G125" i="97"/>
  <c r="H125" i="97"/>
  <c r="I125" i="97"/>
  <c r="J125" i="97"/>
  <c r="K125" i="97"/>
  <c r="L125" i="97"/>
  <c r="M125" i="97"/>
  <c r="N125" i="97"/>
  <c r="K126" i="97"/>
  <c r="B131" i="97"/>
  <c r="N131" i="97" s="1"/>
  <c r="C131" i="97"/>
  <c r="D131" i="97"/>
  <c r="E131" i="97"/>
  <c r="F131" i="97"/>
  <c r="G131" i="97"/>
  <c r="H131" i="97"/>
  <c r="I131" i="97"/>
  <c r="J131" i="97"/>
  <c r="K131" i="97"/>
  <c r="L131" i="97"/>
  <c r="M131" i="97"/>
  <c r="B132" i="97"/>
  <c r="C132" i="97"/>
  <c r="D132" i="97"/>
  <c r="E132" i="97"/>
  <c r="F132" i="97"/>
  <c r="G132" i="97"/>
  <c r="H132" i="97"/>
  <c r="I132" i="97"/>
  <c r="J132" i="97"/>
  <c r="K132" i="97"/>
  <c r="L132" i="97"/>
  <c r="M132" i="97"/>
  <c r="N132" i="97"/>
  <c r="G136" i="97"/>
  <c r="B137" i="97"/>
  <c r="C137" i="97"/>
  <c r="D137" i="97"/>
  <c r="E137" i="97"/>
  <c r="F137" i="97"/>
  <c r="G137" i="97"/>
  <c r="H137" i="97"/>
  <c r="I137" i="97"/>
  <c r="J137" i="97"/>
  <c r="K137" i="97"/>
  <c r="L137" i="97"/>
  <c r="M137" i="97"/>
  <c r="N137" i="97"/>
  <c r="I138" i="97"/>
  <c r="K138" i="97"/>
  <c r="B143" i="97"/>
  <c r="N143" i="97" s="1"/>
  <c r="C143" i="97"/>
  <c r="D143" i="97"/>
  <c r="E143" i="97"/>
  <c r="F143" i="97"/>
  <c r="G143" i="97"/>
  <c r="H143" i="97"/>
  <c r="I143" i="97"/>
  <c r="J143" i="97"/>
  <c r="K143" i="97"/>
  <c r="L143" i="97"/>
  <c r="M143" i="97"/>
  <c r="B144" i="97"/>
  <c r="C144" i="97"/>
  <c r="D144" i="97"/>
  <c r="E144" i="97"/>
  <c r="F144" i="97"/>
  <c r="G144" i="97"/>
  <c r="H144" i="97"/>
  <c r="I144" i="97"/>
  <c r="J144" i="97"/>
  <c r="K144" i="97"/>
  <c r="L144" i="97"/>
  <c r="M144" i="97"/>
  <c r="N144" i="97"/>
  <c r="E148" i="97"/>
  <c r="I148" i="97"/>
  <c r="K148" i="97"/>
  <c r="B149" i="97"/>
  <c r="C149" i="97"/>
  <c r="D149" i="97"/>
  <c r="E149" i="97"/>
  <c r="F149" i="97"/>
  <c r="G149" i="97"/>
  <c r="H149" i="97"/>
  <c r="I149" i="97"/>
  <c r="J149" i="97"/>
  <c r="K149" i="97"/>
  <c r="L149" i="97"/>
  <c r="M149" i="97"/>
  <c r="N149" i="97"/>
  <c r="B155" i="97"/>
  <c r="N155" i="97" s="1"/>
  <c r="C155" i="97"/>
  <c r="D155" i="97"/>
  <c r="E155" i="97"/>
  <c r="F155" i="97"/>
  <c r="G155" i="97"/>
  <c r="H155" i="97"/>
  <c r="I155" i="97"/>
  <c r="J155" i="97"/>
  <c r="K155" i="97"/>
  <c r="L155" i="97"/>
  <c r="M155" i="97"/>
  <c r="B156" i="97"/>
  <c r="C156" i="97"/>
  <c r="D156" i="97"/>
  <c r="E156" i="97"/>
  <c r="F156" i="97"/>
  <c r="G156" i="97"/>
  <c r="H156" i="97"/>
  <c r="I156" i="97"/>
  <c r="J156" i="97"/>
  <c r="K156" i="97"/>
  <c r="L156" i="97"/>
  <c r="M156" i="97"/>
  <c r="N156" i="97"/>
  <c r="I159" i="97"/>
  <c r="C160" i="97"/>
  <c r="J160" i="97"/>
  <c r="K160" i="97"/>
  <c r="B161" i="97"/>
  <c r="C161" i="97"/>
  <c r="D161" i="97"/>
  <c r="E161" i="97"/>
  <c r="F161" i="97"/>
  <c r="G161" i="97"/>
  <c r="H161" i="97"/>
  <c r="I161" i="97"/>
  <c r="J161" i="97"/>
  <c r="K161" i="97"/>
  <c r="L161" i="97"/>
  <c r="M161" i="97"/>
  <c r="N161" i="97"/>
  <c r="B165" i="97"/>
  <c r="H166" i="97"/>
  <c r="K166" i="97"/>
  <c r="M166" i="97"/>
  <c r="B167" i="97"/>
  <c r="C167" i="97"/>
  <c r="D167" i="97"/>
  <c r="E167" i="97"/>
  <c r="F167" i="97"/>
  <c r="G167" i="97"/>
  <c r="H167" i="97"/>
  <c r="I167" i="97"/>
  <c r="J167" i="97"/>
  <c r="K167" i="97"/>
  <c r="L167" i="97"/>
  <c r="M167" i="97"/>
  <c r="N167" i="97"/>
  <c r="L168" i="97"/>
  <c r="B173" i="97"/>
  <c r="N173" i="97" s="1"/>
  <c r="C173" i="97"/>
  <c r="D173" i="97"/>
  <c r="E173" i="97"/>
  <c r="F173" i="97"/>
  <c r="G173" i="97"/>
  <c r="H173" i="97"/>
  <c r="I173" i="97"/>
  <c r="J173" i="97"/>
  <c r="K173" i="97"/>
  <c r="L173" i="97"/>
  <c r="M173" i="97"/>
  <c r="I174" i="97"/>
  <c r="B179" i="97"/>
  <c r="N179" i="97" s="1"/>
  <c r="C179" i="97"/>
  <c r="D179" i="97"/>
  <c r="E179" i="97"/>
  <c r="F179" i="97"/>
  <c r="G179" i="97"/>
  <c r="H179" i="97"/>
  <c r="I179" i="97"/>
  <c r="J179" i="97"/>
  <c r="K179" i="97"/>
  <c r="L179" i="97"/>
  <c r="M179" i="97"/>
  <c r="B185" i="97"/>
  <c r="C185" i="97"/>
  <c r="D185" i="97"/>
  <c r="E185" i="97"/>
  <c r="F185" i="97"/>
  <c r="G185" i="97"/>
  <c r="H185" i="97"/>
  <c r="I185" i="97"/>
  <c r="J185" i="97"/>
  <c r="K185" i="97"/>
  <c r="L185" i="97"/>
  <c r="M185" i="97"/>
  <c r="N185" i="97"/>
  <c r="K186" i="97"/>
  <c r="N193" i="97"/>
  <c r="B194" i="97"/>
  <c r="C194" i="97"/>
  <c r="C126" i="97" s="1"/>
  <c r="F194" i="97"/>
  <c r="F126" i="97" s="1"/>
  <c r="G194" i="97"/>
  <c r="J194" i="97"/>
  <c r="K194" i="97"/>
  <c r="N200" i="97"/>
  <c r="N201" i="97"/>
  <c r="F202" i="97"/>
  <c r="J202" i="97"/>
  <c r="C207" i="97"/>
  <c r="C136" i="97" s="1"/>
  <c r="D207" i="97"/>
  <c r="D136" i="97" s="1"/>
  <c r="F207" i="97"/>
  <c r="F136" i="97" s="1"/>
  <c r="G207" i="97"/>
  <c r="L207" i="97"/>
  <c r="L136" i="97" s="1"/>
  <c r="N208" i="97"/>
  <c r="E209" i="97"/>
  <c r="E138" i="97" s="1"/>
  <c r="F209" i="97"/>
  <c r="F138" i="97" s="1"/>
  <c r="L209" i="97"/>
  <c r="L138" i="97" s="1"/>
  <c r="N215" i="97"/>
  <c r="N216" i="97"/>
  <c r="H217" i="97"/>
  <c r="I217" i="97"/>
  <c r="J217" i="97"/>
  <c r="E225" i="97"/>
  <c r="B226" i="97"/>
  <c r="C226" i="97"/>
  <c r="E226" i="97"/>
  <c r="F226" i="97"/>
  <c r="I226" i="97"/>
  <c r="K226" i="97"/>
  <c r="L226" i="97"/>
  <c r="N227" i="97"/>
  <c r="E228" i="97"/>
  <c r="E150" i="97" s="1"/>
  <c r="J228" i="97"/>
  <c r="K228" i="97"/>
  <c r="K150" i="97" s="1"/>
  <c r="E229" i="97"/>
  <c r="N234" i="97"/>
  <c r="N235" i="97"/>
  <c r="B236" i="97"/>
  <c r="G236" i="97"/>
  <c r="K236" i="97"/>
  <c r="C240" i="97"/>
  <c r="D240" i="97"/>
  <c r="D159" i="97" s="1"/>
  <c r="H240" i="97"/>
  <c r="I240" i="97"/>
  <c r="J240" i="97"/>
  <c r="K240" i="97"/>
  <c r="L240" i="97"/>
  <c r="C241" i="97"/>
  <c r="F241" i="97"/>
  <c r="F160" i="97" s="1"/>
  <c r="K241" i="97"/>
  <c r="N242" i="97"/>
  <c r="B243" i="97"/>
  <c r="C243" i="97"/>
  <c r="C162" i="97" s="1"/>
  <c r="H243" i="97"/>
  <c r="I243" i="97"/>
  <c r="I162" i="97" s="1"/>
  <c r="M243" i="97"/>
  <c r="B247" i="97"/>
  <c r="D247" i="97"/>
  <c r="E247" i="97"/>
  <c r="F247" i="97"/>
  <c r="L247" i="97"/>
  <c r="M247" i="97"/>
  <c r="B248" i="97"/>
  <c r="B251" i="97" s="1"/>
  <c r="H248" i="97"/>
  <c r="K248" i="97"/>
  <c r="L248" i="97"/>
  <c r="L166" i="97" s="1"/>
  <c r="M248" i="97"/>
  <c r="N249" i="97"/>
  <c r="B250" i="97"/>
  <c r="F250" i="97"/>
  <c r="F168" i="97" s="1"/>
  <c r="H250" i="97"/>
  <c r="H168" i="97" s="1"/>
  <c r="I250" i="97"/>
  <c r="I168" i="97" s="1"/>
  <c r="J250" i="97"/>
  <c r="J168" i="97" s="1"/>
  <c r="K250" i="97"/>
  <c r="K168" i="97" s="1"/>
  <c r="L250" i="97"/>
  <c r="F251" i="97"/>
  <c r="L251" i="97"/>
  <c r="N260" i="97"/>
  <c r="E261" i="97"/>
  <c r="E174" i="97" s="1"/>
  <c r="F261" i="97"/>
  <c r="F174" i="97" s="1"/>
  <c r="I261" i="97"/>
  <c r="L261" i="97"/>
  <c r="L174" i="97" s="1"/>
  <c r="N267" i="97"/>
  <c r="F268" i="97"/>
  <c r="J268" i="97"/>
  <c r="J180" i="97" s="1"/>
  <c r="K268" i="97"/>
  <c r="K180" i="97" s="1"/>
  <c r="L268" i="97"/>
  <c r="L180" i="97" s="1"/>
  <c r="N278" i="97"/>
  <c r="K279" i="97"/>
  <c r="B288" i="97"/>
  <c r="C288" i="97"/>
  <c r="D288" i="97"/>
  <c r="E288" i="97"/>
  <c r="F288" i="97"/>
  <c r="G288" i="97"/>
  <c r="H288" i="97"/>
  <c r="I288" i="97"/>
  <c r="J288" i="97"/>
  <c r="K288" i="97"/>
  <c r="L288" i="97"/>
  <c r="M288" i="97"/>
  <c r="B289" i="97"/>
  <c r="C289" i="97"/>
  <c r="D289" i="97"/>
  <c r="E289" i="97"/>
  <c r="F289" i="97"/>
  <c r="G289" i="97"/>
  <c r="H289" i="97"/>
  <c r="I289" i="97"/>
  <c r="J289" i="97"/>
  <c r="K289" i="97"/>
  <c r="L289" i="97"/>
  <c r="M289" i="97"/>
  <c r="B290" i="97"/>
  <c r="C290" i="97"/>
  <c r="D290" i="97"/>
  <c r="E290" i="97"/>
  <c r="F290" i="97"/>
  <c r="G290" i="97"/>
  <c r="H290" i="97"/>
  <c r="I290" i="97"/>
  <c r="J290" i="97"/>
  <c r="K290" i="97"/>
  <c r="L290" i="97"/>
  <c r="M290" i="97"/>
  <c r="N299" i="97"/>
  <c r="N305" i="97"/>
  <c r="N306" i="97"/>
  <c r="N307" i="97"/>
  <c r="N308" i="97"/>
  <c r="N309" i="97"/>
  <c r="O310" i="97"/>
  <c r="O317" i="97"/>
  <c r="N322" i="97"/>
  <c r="O322" i="97"/>
  <c r="N323" i="97"/>
  <c r="N324" i="97" s="1"/>
  <c r="O323" i="97"/>
  <c r="O324" i="97" s="1"/>
  <c r="B324" i="97"/>
  <c r="C324" i="97"/>
  <c r="D324" i="97"/>
  <c r="E324" i="97"/>
  <c r="F324" i="97"/>
  <c r="G324" i="97"/>
  <c r="H324" i="97"/>
  <c r="I324" i="97"/>
  <c r="J324" i="97"/>
  <c r="K324" i="97"/>
  <c r="L324" i="97"/>
  <c r="M324" i="97"/>
  <c r="B329" i="97"/>
  <c r="C329" i="97"/>
  <c r="D329" i="97"/>
  <c r="E329" i="97"/>
  <c r="F329" i="97"/>
  <c r="F337" i="97" s="1"/>
  <c r="F343" i="97" s="1"/>
  <c r="G329" i="97"/>
  <c r="H329" i="97"/>
  <c r="I329" i="97"/>
  <c r="J329" i="97"/>
  <c r="K329" i="97"/>
  <c r="L329" i="97"/>
  <c r="M329" i="97"/>
  <c r="N329" i="97"/>
  <c r="B330" i="97"/>
  <c r="C330" i="97"/>
  <c r="D330" i="97"/>
  <c r="E330" i="97"/>
  <c r="F330" i="97"/>
  <c r="G330" i="97"/>
  <c r="H330" i="97"/>
  <c r="I330" i="97"/>
  <c r="J330" i="97"/>
  <c r="K330" i="97"/>
  <c r="L330" i="97"/>
  <c r="M330" i="97"/>
  <c r="B331" i="97"/>
  <c r="C331" i="97"/>
  <c r="D331" i="97"/>
  <c r="E331" i="97"/>
  <c r="F331" i="97"/>
  <c r="G331" i="97"/>
  <c r="H331" i="97"/>
  <c r="I331" i="97"/>
  <c r="J331" i="97"/>
  <c r="K331" i="97"/>
  <c r="L331" i="97"/>
  <c r="M331" i="97"/>
  <c r="N332" i="97"/>
  <c r="N333" i="97"/>
  <c r="B334" i="97"/>
  <c r="C334" i="97"/>
  <c r="D334" i="97"/>
  <c r="E334" i="97"/>
  <c r="F334" i="97"/>
  <c r="G334" i="97"/>
  <c r="H334" i="97"/>
  <c r="I334" i="97"/>
  <c r="I337" i="97" s="1"/>
  <c r="J334" i="97"/>
  <c r="K334" i="97"/>
  <c r="L334" i="97"/>
  <c r="M334" i="97"/>
  <c r="N335" i="97"/>
  <c r="B336" i="97"/>
  <c r="C336" i="97"/>
  <c r="D336" i="97"/>
  <c r="E336" i="97"/>
  <c r="F336" i="97"/>
  <c r="G336" i="97"/>
  <c r="H336" i="97"/>
  <c r="I336" i="97"/>
  <c r="J336" i="97"/>
  <c r="K336" i="97"/>
  <c r="L336" i="97"/>
  <c r="M336" i="97"/>
  <c r="B337" i="97"/>
  <c r="G337" i="97"/>
  <c r="G343" i="97" s="1"/>
  <c r="H337" i="97"/>
  <c r="H343" i="97" s="1"/>
  <c r="J337" i="97"/>
  <c r="B342" i="97"/>
  <c r="C342" i="97"/>
  <c r="D342" i="97"/>
  <c r="E342" i="97"/>
  <c r="F342" i="97"/>
  <c r="G342" i="97"/>
  <c r="H342" i="97"/>
  <c r="I342" i="97"/>
  <c r="J342" i="97"/>
  <c r="K342" i="97"/>
  <c r="L342" i="97"/>
  <c r="M342" i="97"/>
  <c r="N342" i="97"/>
  <c r="N361" i="97"/>
  <c r="A5" i="32"/>
  <c r="B6" i="32"/>
  <c r="G14" i="32"/>
  <c r="H14" i="32"/>
  <c r="T14" i="32" s="1"/>
  <c r="I14" i="32"/>
  <c r="J14" i="32"/>
  <c r="K14" i="32"/>
  <c r="L14" i="32"/>
  <c r="M14" i="32"/>
  <c r="N14" i="32"/>
  <c r="O14" i="32"/>
  <c r="P14" i="32"/>
  <c r="P38" i="32" s="1"/>
  <c r="Q14" i="32"/>
  <c r="Q38" i="32" s="1"/>
  <c r="R14" i="32"/>
  <c r="G15" i="32"/>
  <c r="H15" i="32"/>
  <c r="I15" i="32"/>
  <c r="J15" i="32"/>
  <c r="K15" i="32"/>
  <c r="T15" i="32" s="1"/>
  <c r="L15" i="32"/>
  <c r="M15" i="32"/>
  <c r="N15" i="32"/>
  <c r="O15" i="32"/>
  <c r="P15" i="32"/>
  <c r="Q15" i="32"/>
  <c r="R15" i="32"/>
  <c r="G16" i="32"/>
  <c r="T16" i="32" s="1"/>
  <c r="J17" i="32"/>
  <c r="T17" i="32" s="1"/>
  <c r="K17" i="32"/>
  <c r="L17" i="32"/>
  <c r="M17" i="32"/>
  <c r="N17" i="32"/>
  <c r="O17" i="32"/>
  <c r="P17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G21" i="32"/>
  <c r="H21" i="32"/>
  <c r="T21" i="32" s="1"/>
  <c r="G22" i="32"/>
  <c r="H22" i="32"/>
  <c r="G23" i="32"/>
  <c r="H23" i="32"/>
  <c r="I23" i="32"/>
  <c r="J23" i="32"/>
  <c r="K23" i="32"/>
  <c r="T23" i="32" s="1"/>
  <c r="L23" i="32"/>
  <c r="M23" i="32"/>
  <c r="N23" i="32"/>
  <c r="O23" i="32"/>
  <c r="P23" i="32"/>
  <c r="Q23" i="32"/>
  <c r="R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G25" i="32"/>
  <c r="H25" i="32"/>
  <c r="I25" i="32"/>
  <c r="J25" i="32"/>
  <c r="T25" i="32" s="1"/>
  <c r="K25" i="32"/>
  <c r="L25" i="32"/>
  <c r="M25" i="32"/>
  <c r="N25" i="32"/>
  <c r="O25" i="32"/>
  <c r="P25" i="32"/>
  <c r="Q25" i="32"/>
  <c r="R25" i="32"/>
  <c r="R38" i="32" s="1"/>
  <c r="G26" i="32"/>
  <c r="H26" i="32"/>
  <c r="I26" i="32"/>
  <c r="J26" i="32"/>
  <c r="K26" i="32"/>
  <c r="L26" i="32"/>
  <c r="M26" i="32"/>
  <c r="N26" i="32"/>
  <c r="O26" i="32"/>
  <c r="P26" i="32"/>
  <c r="Q26" i="32"/>
  <c r="R26" i="32"/>
  <c r="G29" i="32"/>
  <c r="H29" i="32"/>
  <c r="I29" i="32"/>
  <c r="I38" i="32" s="1"/>
  <c r="J29" i="32"/>
  <c r="K29" i="32"/>
  <c r="L29" i="32"/>
  <c r="M29" i="32"/>
  <c r="N29" i="32"/>
  <c r="O29" i="32"/>
  <c r="P29" i="32"/>
  <c r="Q29" i="32"/>
  <c r="R29" i="32"/>
  <c r="Q30" i="32"/>
  <c r="R30" i="32"/>
  <c r="T30" i="32"/>
  <c r="I31" i="32"/>
  <c r="J31" i="32"/>
  <c r="K31" i="32"/>
  <c r="L31" i="32"/>
  <c r="M31" i="32"/>
  <c r="N31" i="32"/>
  <c r="O31" i="32"/>
  <c r="P31" i="32"/>
  <c r="Q31" i="32"/>
  <c r="R31" i="32"/>
  <c r="T31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H38" i="32"/>
  <c r="G41" i="32"/>
  <c r="H41" i="32"/>
  <c r="H43" i="32" s="1"/>
  <c r="I41" i="32"/>
  <c r="J41" i="32"/>
  <c r="J45" i="32" s="1"/>
  <c r="K41" i="32"/>
  <c r="L41" i="32"/>
  <c r="M41" i="32"/>
  <c r="N41" i="32"/>
  <c r="O41" i="32"/>
  <c r="P41" i="32"/>
  <c r="P43" i="32" s="1"/>
  <c r="Q41" i="32"/>
  <c r="R41" i="32"/>
  <c r="G42" i="32"/>
  <c r="H42" i="32"/>
  <c r="I42" i="32"/>
  <c r="J42" i="32"/>
  <c r="O42" i="32"/>
  <c r="P42" i="32"/>
  <c r="Q42" i="32"/>
  <c r="R42" i="32"/>
  <c r="G43" i="32"/>
  <c r="I43" i="32"/>
  <c r="J43" i="32"/>
  <c r="O43" i="32"/>
  <c r="Q43" i="32"/>
  <c r="R43" i="32"/>
  <c r="G44" i="32"/>
  <c r="T44" i="32" s="1"/>
  <c r="O45" i="32"/>
  <c r="P45" i="32"/>
  <c r="G47" i="32"/>
  <c r="H47" i="32"/>
  <c r="H51" i="32" s="1"/>
  <c r="I47" i="32"/>
  <c r="J47" i="32"/>
  <c r="K47" i="32"/>
  <c r="L47" i="32"/>
  <c r="M47" i="32"/>
  <c r="N47" i="32"/>
  <c r="O47" i="32"/>
  <c r="P47" i="32"/>
  <c r="P51" i="32" s="1"/>
  <c r="Q47" i="32"/>
  <c r="R47" i="32"/>
  <c r="G48" i="32"/>
  <c r="H48" i="32"/>
  <c r="I48" i="32"/>
  <c r="J48" i="32"/>
  <c r="N48" i="32"/>
  <c r="O48" i="32"/>
  <c r="P48" i="32"/>
  <c r="Q48" i="32"/>
  <c r="R48" i="32"/>
  <c r="G49" i="32"/>
  <c r="G50" i="32"/>
  <c r="H50" i="32"/>
  <c r="T50" i="32"/>
  <c r="G51" i="32"/>
  <c r="I51" i="32"/>
  <c r="K51" i="32"/>
  <c r="L51" i="32"/>
  <c r="M51" i="32"/>
  <c r="N51" i="32"/>
  <c r="O51" i="32"/>
  <c r="Q51" i="32"/>
  <c r="G52" i="32"/>
  <c r="H52" i="32"/>
  <c r="I52" i="32"/>
  <c r="J52" i="32"/>
  <c r="N52" i="32"/>
  <c r="O52" i="32"/>
  <c r="P52" i="32"/>
  <c r="Q52" i="32"/>
  <c r="R52" i="32"/>
  <c r="G53" i="32"/>
  <c r="H53" i="32"/>
  <c r="I53" i="32"/>
  <c r="J53" i="32"/>
  <c r="K53" i="32"/>
  <c r="L53" i="32"/>
  <c r="O53" i="32"/>
  <c r="Q53" i="32"/>
  <c r="R53" i="32"/>
  <c r="G54" i="32"/>
  <c r="H54" i="32"/>
  <c r="I54" i="32"/>
  <c r="O54" i="32"/>
  <c r="P54" i="32"/>
  <c r="Q54" i="32"/>
  <c r="G56" i="32"/>
  <c r="G57" i="32" s="1"/>
  <c r="H56" i="32"/>
  <c r="H57" i="32" s="1"/>
  <c r="I56" i="32"/>
  <c r="I57" i="32" s="1"/>
  <c r="J56" i="32"/>
  <c r="K56" i="32"/>
  <c r="K59" i="32" s="1"/>
  <c r="L56" i="32"/>
  <c r="L59" i="32" s="1"/>
  <c r="M56" i="32"/>
  <c r="N56" i="32"/>
  <c r="O56" i="32"/>
  <c r="O59" i="32" s="1"/>
  <c r="P56" i="32"/>
  <c r="Q56" i="32"/>
  <c r="Q57" i="32" s="1"/>
  <c r="R56" i="32"/>
  <c r="K57" i="32"/>
  <c r="L57" i="32"/>
  <c r="M57" i="32"/>
  <c r="N57" i="32"/>
  <c r="O57" i="32"/>
  <c r="Q58" i="32"/>
  <c r="R58" i="32"/>
  <c r="T58" i="32"/>
  <c r="I59" i="32"/>
  <c r="M59" i="32"/>
  <c r="N59" i="32"/>
  <c r="Q59" i="32"/>
  <c r="G61" i="32"/>
  <c r="H61" i="32"/>
  <c r="I61" i="32"/>
  <c r="I62" i="32" s="1"/>
  <c r="J61" i="32"/>
  <c r="K61" i="32"/>
  <c r="L61" i="32"/>
  <c r="M61" i="32"/>
  <c r="N61" i="32"/>
  <c r="N63" i="32" s="1"/>
  <c r="O61" i="32"/>
  <c r="P61" i="32"/>
  <c r="Q61" i="32"/>
  <c r="Q62" i="32" s="1"/>
  <c r="R61" i="32"/>
  <c r="R62" i="32" s="1"/>
  <c r="G62" i="32"/>
  <c r="H62" i="32"/>
  <c r="M62" i="32"/>
  <c r="N62" i="32"/>
  <c r="O62" i="32"/>
  <c r="P62" i="32"/>
  <c r="G63" i="32"/>
  <c r="H63" i="32"/>
  <c r="I63" i="32"/>
  <c r="M63" i="32"/>
  <c r="O63" i="32"/>
  <c r="P63" i="32"/>
  <c r="Q63" i="32"/>
  <c r="S68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T82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T87" i="32"/>
  <c r="F2" i="52"/>
  <c r="I13" i="52"/>
  <c r="J13" i="52"/>
  <c r="M13" i="52"/>
  <c r="O13" i="52"/>
  <c r="R13" i="52"/>
  <c r="U13" i="52"/>
  <c r="X13" i="52"/>
  <c r="AA13" i="52"/>
  <c r="AD13" i="52"/>
  <c r="AG13" i="52"/>
  <c r="AJ13" i="52"/>
  <c r="AL13" i="52"/>
  <c r="AM13" i="52"/>
  <c r="AO13" i="52"/>
  <c r="AP13" i="52"/>
  <c r="AR13" i="52"/>
  <c r="AS13" i="52"/>
  <c r="I14" i="52"/>
  <c r="K14" i="52"/>
  <c r="L14" i="52"/>
  <c r="N14" i="52"/>
  <c r="O14" i="52"/>
  <c r="Q14" i="52"/>
  <c r="R14" i="52"/>
  <c r="T14" i="52"/>
  <c r="U14" i="52"/>
  <c r="W14" i="52"/>
  <c r="X14" i="52"/>
  <c r="Z14" i="52"/>
  <c r="AA14" i="52"/>
  <c r="AC14" i="52"/>
  <c r="AD14" i="52"/>
  <c r="AF14" i="52"/>
  <c r="AG14" i="52"/>
  <c r="AI14" i="52"/>
  <c r="AJ14" i="52"/>
  <c r="AL14" i="52"/>
  <c r="AM14" i="52"/>
  <c r="AN14" i="52"/>
  <c r="AO14" i="52"/>
  <c r="AP14" i="52" s="1"/>
  <c r="AQ14" i="52"/>
  <c r="AR14" i="52"/>
  <c r="AS14" i="52"/>
  <c r="I15" i="52"/>
  <c r="J15" i="52"/>
  <c r="K15" i="52"/>
  <c r="L15" i="52"/>
  <c r="M15" i="52"/>
  <c r="N15" i="52"/>
  <c r="O15" i="52"/>
  <c r="Q15" i="52"/>
  <c r="R15" i="52"/>
  <c r="T15" i="52"/>
  <c r="U15" i="52"/>
  <c r="W15" i="52"/>
  <c r="X15" i="52" s="1"/>
  <c r="Z15" i="52"/>
  <c r="AA15" i="52"/>
  <c r="AC15" i="52"/>
  <c r="AD15" i="52"/>
  <c r="AF15" i="52"/>
  <c r="AG15" i="52"/>
  <c r="AI15" i="52"/>
  <c r="AJ15" i="52" s="1"/>
  <c r="AL15" i="52"/>
  <c r="AM15" i="52"/>
  <c r="AN15" i="52"/>
  <c r="AP15" i="52" s="1"/>
  <c r="AO15" i="52"/>
  <c r="AQ15" i="52"/>
  <c r="AS15" i="52" s="1"/>
  <c r="AV15" i="52" s="1"/>
  <c r="AR15" i="52"/>
  <c r="I17" i="52"/>
  <c r="J17" i="52"/>
  <c r="L17" i="52"/>
  <c r="M17" i="52"/>
  <c r="O17" i="52"/>
  <c r="P17" i="52"/>
  <c r="R17" i="52" s="1"/>
  <c r="S17" i="52"/>
  <c r="U17" i="52"/>
  <c r="V17" i="52"/>
  <c r="X17" i="52"/>
  <c r="Y17" i="52"/>
  <c r="Z17" i="52"/>
  <c r="AA17" i="52" s="1"/>
  <c r="AB17" i="52"/>
  <c r="AD17" i="52" s="1"/>
  <c r="AC17" i="52"/>
  <c r="AE17" i="52"/>
  <c r="AG17" i="52" s="1"/>
  <c r="AF17" i="52"/>
  <c r="AH17" i="52"/>
  <c r="AI17" i="52"/>
  <c r="AJ17" i="52"/>
  <c r="AK17" i="52"/>
  <c r="AM17" i="52" s="1"/>
  <c r="AL17" i="52"/>
  <c r="AN17" i="52"/>
  <c r="AO17" i="52"/>
  <c r="AP17" i="52"/>
  <c r="AQ17" i="52"/>
  <c r="AR17" i="52"/>
  <c r="AS17" i="52"/>
  <c r="I18" i="52"/>
  <c r="J18" i="52"/>
  <c r="K18" i="52"/>
  <c r="L18" i="52"/>
  <c r="M18" i="52"/>
  <c r="N18" i="52"/>
  <c r="O18" i="52"/>
  <c r="P18" i="52"/>
  <c r="R18" i="52" s="1"/>
  <c r="Q18" i="52"/>
  <c r="S18" i="52"/>
  <c r="T18" i="52"/>
  <c r="U18" i="52"/>
  <c r="V18" i="52"/>
  <c r="W18" i="52"/>
  <c r="X18" i="52"/>
  <c r="Z18" i="52"/>
  <c r="AA18" i="52"/>
  <c r="AC18" i="52"/>
  <c r="AD18" i="52"/>
  <c r="AF18" i="52"/>
  <c r="AG18" i="52"/>
  <c r="AI18" i="52"/>
  <c r="AJ18" i="52"/>
  <c r="AV18" i="52" s="1"/>
  <c r="AL18" i="52"/>
  <c r="AM18" i="52"/>
  <c r="AO18" i="52"/>
  <c r="AP18" i="52"/>
  <c r="AR18" i="52"/>
  <c r="AS18" i="52"/>
  <c r="I19" i="52"/>
  <c r="K19" i="52"/>
  <c r="N19" i="52"/>
  <c r="Q19" i="52"/>
  <c r="T19" i="52"/>
  <c r="W19" i="52"/>
  <c r="Y19" i="52"/>
  <c r="Z19" i="52"/>
  <c r="AA19" i="52"/>
  <c r="AB19" i="52"/>
  <c r="AD19" i="52" s="1"/>
  <c r="AC19" i="52"/>
  <c r="AE19" i="52"/>
  <c r="AF19" i="52"/>
  <c r="AG19" i="52"/>
  <c r="AH19" i="52"/>
  <c r="AI19" i="52"/>
  <c r="AK19" i="52"/>
  <c r="AL19" i="52"/>
  <c r="AM19" i="52"/>
  <c r="AN19" i="52"/>
  <c r="AO19" i="52"/>
  <c r="AP19" i="52"/>
  <c r="AQ19" i="52"/>
  <c r="AS19" i="52" s="1"/>
  <c r="AR19" i="52"/>
  <c r="I21" i="52"/>
  <c r="J21" i="52"/>
  <c r="L21" i="52" s="1"/>
  <c r="K21" i="52"/>
  <c r="M21" i="52"/>
  <c r="O21" i="52" s="1"/>
  <c r="N21" i="52"/>
  <c r="P21" i="52"/>
  <c r="Q21" i="52"/>
  <c r="R21" i="52"/>
  <c r="T21" i="52"/>
  <c r="U21" i="52" s="1"/>
  <c r="W21" i="52"/>
  <c r="X21" i="52" s="1"/>
  <c r="Z21" i="52"/>
  <c r="AA21" i="52" s="1"/>
  <c r="AC21" i="52"/>
  <c r="AD21" i="52"/>
  <c r="AF21" i="52"/>
  <c r="AG21" i="52"/>
  <c r="AI21" i="52"/>
  <c r="AJ21" i="52" s="1"/>
  <c r="AV21" i="52" s="1"/>
  <c r="AL21" i="52"/>
  <c r="AM21" i="52" s="1"/>
  <c r="AO21" i="52"/>
  <c r="AP21" i="52"/>
  <c r="AR21" i="52"/>
  <c r="AS21" i="52"/>
  <c r="I23" i="52"/>
  <c r="J23" i="52"/>
  <c r="K23" i="52"/>
  <c r="L23" i="52"/>
  <c r="M23" i="52"/>
  <c r="N23" i="52"/>
  <c r="O23" i="52"/>
  <c r="P23" i="52"/>
  <c r="R23" i="52" s="1"/>
  <c r="Q23" i="52"/>
  <c r="S23" i="52"/>
  <c r="T23" i="52"/>
  <c r="U23" i="52"/>
  <c r="V23" i="52"/>
  <c r="W23" i="52"/>
  <c r="X23" i="52"/>
  <c r="Y23" i="52"/>
  <c r="AA23" i="52" s="1"/>
  <c r="Z23" i="52"/>
  <c r="AB23" i="52"/>
  <c r="AD23" i="52" s="1"/>
  <c r="AC23" i="52"/>
  <c r="AE23" i="52"/>
  <c r="AF23" i="52"/>
  <c r="AH23" i="52"/>
  <c r="AI23" i="52"/>
  <c r="AJ23" i="52"/>
  <c r="AK23" i="52"/>
  <c r="AM23" i="52" s="1"/>
  <c r="AL23" i="52"/>
  <c r="AN23" i="52"/>
  <c r="AP23" i="52" s="1"/>
  <c r="AQ23" i="52"/>
  <c r="AS23" i="52" s="1"/>
  <c r="I24" i="52"/>
  <c r="J24" i="52"/>
  <c r="K24" i="52"/>
  <c r="M24" i="52"/>
  <c r="O24" i="52" s="1"/>
  <c r="N24" i="52"/>
  <c r="P24" i="52"/>
  <c r="Q24" i="52"/>
  <c r="R24" i="52" s="1"/>
  <c r="S24" i="52"/>
  <c r="T24" i="52"/>
  <c r="V24" i="52"/>
  <c r="W24" i="52"/>
  <c r="X24" i="52"/>
  <c r="Y24" i="52"/>
  <c r="Z24" i="52"/>
  <c r="AA24" i="52" s="1"/>
  <c r="AB24" i="52"/>
  <c r="AD24" i="52" s="1"/>
  <c r="AC24" i="52"/>
  <c r="AE24" i="52"/>
  <c r="AF24" i="52"/>
  <c r="AG24" i="52"/>
  <c r="AH24" i="52"/>
  <c r="AI24" i="52"/>
  <c r="AJ24" i="52" s="1"/>
  <c r="AK24" i="52"/>
  <c r="AM24" i="52" s="1"/>
  <c r="AL24" i="52"/>
  <c r="AN24" i="52"/>
  <c r="AO24" i="52"/>
  <c r="AP24" i="52"/>
  <c r="AQ24" i="52"/>
  <c r="AR24" i="52"/>
  <c r="I26" i="52"/>
  <c r="J26" i="52"/>
  <c r="L26" i="52" s="1"/>
  <c r="K26" i="52"/>
  <c r="N26" i="52"/>
  <c r="O26" i="52"/>
  <c r="Q26" i="52"/>
  <c r="R26" i="52"/>
  <c r="T26" i="52"/>
  <c r="U26" i="52"/>
  <c r="W26" i="52"/>
  <c r="X26" i="52" s="1"/>
  <c r="Z26" i="52"/>
  <c r="AA26" i="52"/>
  <c r="AC26" i="52"/>
  <c r="AD26" i="52"/>
  <c r="AF26" i="52"/>
  <c r="AG26" i="52"/>
  <c r="AI26" i="52"/>
  <c r="AJ26" i="52" s="1"/>
  <c r="AL26" i="52"/>
  <c r="AM26" i="52"/>
  <c r="AO26" i="52"/>
  <c r="AP26" i="52"/>
  <c r="AR26" i="52"/>
  <c r="AS26" i="52"/>
  <c r="AV26" i="52" s="1"/>
  <c r="I28" i="52"/>
  <c r="J28" i="52"/>
  <c r="K28" i="52"/>
  <c r="M28" i="52"/>
  <c r="N28" i="52"/>
  <c r="O28" i="52"/>
  <c r="Q28" i="52"/>
  <c r="R28" i="52" s="1"/>
  <c r="T28" i="52"/>
  <c r="U28" i="52"/>
  <c r="W28" i="52"/>
  <c r="X28" i="52"/>
  <c r="Z28" i="52"/>
  <c r="AA28" i="52"/>
  <c r="AC28" i="52"/>
  <c r="AD28" i="52" s="1"/>
  <c r="AF28" i="52"/>
  <c r="AG28" i="52"/>
  <c r="AI28" i="52"/>
  <c r="AJ28" i="52"/>
  <c r="AL28" i="52"/>
  <c r="AM28" i="52"/>
  <c r="AO28" i="52"/>
  <c r="AP28" i="52" s="1"/>
  <c r="AR28" i="52"/>
  <c r="AS28" i="52"/>
  <c r="I30" i="52"/>
  <c r="J30" i="52"/>
  <c r="K30" i="52"/>
  <c r="L30" i="52"/>
  <c r="M30" i="52"/>
  <c r="O30" i="52" s="1"/>
  <c r="N30" i="52"/>
  <c r="P30" i="52"/>
  <c r="R30" i="52" s="1"/>
  <c r="Q30" i="52"/>
  <c r="S30" i="52"/>
  <c r="T30" i="52"/>
  <c r="U30" i="52"/>
  <c r="V30" i="52"/>
  <c r="W30" i="52"/>
  <c r="Y30" i="52"/>
  <c r="Z30" i="52"/>
  <c r="AA30" i="52"/>
  <c r="AB30" i="52"/>
  <c r="AC30" i="52"/>
  <c r="AD30" i="52"/>
  <c r="AE30" i="52"/>
  <c r="AG30" i="52" s="1"/>
  <c r="AF30" i="52"/>
  <c r="AH30" i="52"/>
  <c r="AI30" i="52"/>
  <c r="AJ30" i="52"/>
  <c r="AK30" i="52"/>
  <c r="AL30" i="52"/>
  <c r="AM30" i="52"/>
  <c r="AN30" i="52"/>
  <c r="AP30" i="52" s="1"/>
  <c r="AO30" i="52"/>
  <c r="AQ30" i="52"/>
  <c r="AR30" i="52"/>
  <c r="AS30" i="52"/>
  <c r="I31" i="52"/>
  <c r="J31" i="52"/>
  <c r="L31" i="52" s="1"/>
  <c r="K31" i="52"/>
  <c r="M31" i="52"/>
  <c r="O31" i="52" s="1"/>
  <c r="N31" i="52"/>
  <c r="P31" i="52"/>
  <c r="Q31" i="52"/>
  <c r="S31" i="52"/>
  <c r="T31" i="52"/>
  <c r="U31" i="52"/>
  <c r="V31" i="52"/>
  <c r="X31" i="52" s="1"/>
  <c r="W31" i="52"/>
  <c r="Y31" i="52"/>
  <c r="AA31" i="52" s="1"/>
  <c r="Z31" i="52"/>
  <c r="AB31" i="52"/>
  <c r="AC31" i="52"/>
  <c r="AD31" i="52" s="1"/>
  <c r="AE31" i="52"/>
  <c r="AG31" i="52" s="1"/>
  <c r="AF31" i="52"/>
  <c r="AH31" i="52"/>
  <c r="AJ31" i="52" s="1"/>
  <c r="AI31" i="52"/>
  <c r="AK31" i="52"/>
  <c r="AM31" i="52" s="1"/>
  <c r="AL31" i="52"/>
  <c r="AN31" i="52"/>
  <c r="AP31" i="52" s="1"/>
  <c r="AO31" i="52"/>
  <c r="AQ31" i="52"/>
  <c r="AR31" i="52"/>
  <c r="AS31" i="52"/>
  <c r="I33" i="52"/>
  <c r="J33" i="52"/>
  <c r="L33" i="52" s="1"/>
  <c r="K33" i="52"/>
  <c r="N33" i="52"/>
  <c r="O33" i="52" s="1"/>
  <c r="Q33" i="52"/>
  <c r="R33" i="52"/>
  <c r="T33" i="52"/>
  <c r="U33" i="52"/>
  <c r="W33" i="52"/>
  <c r="X33" i="52" s="1"/>
  <c r="Z33" i="52"/>
  <c r="AA33" i="52" s="1"/>
  <c r="AC33" i="52"/>
  <c r="AD33" i="52" s="1"/>
  <c r="AF33" i="52"/>
  <c r="AG33" i="52"/>
  <c r="AI33" i="52"/>
  <c r="AJ33" i="52" s="1"/>
  <c r="AL33" i="52"/>
  <c r="AM33" i="52" s="1"/>
  <c r="AO33" i="52"/>
  <c r="AP33" i="52" s="1"/>
  <c r="AR33" i="52"/>
  <c r="AS33" i="52" s="1"/>
  <c r="I35" i="52"/>
  <c r="K35" i="52"/>
  <c r="L35" i="52" s="1"/>
  <c r="N35" i="52"/>
  <c r="O35" i="52"/>
  <c r="P35" i="52"/>
  <c r="R35" i="52" s="1"/>
  <c r="Q35" i="52"/>
  <c r="S35" i="52"/>
  <c r="U35" i="52" s="1"/>
  <c r="T35" i="52"/>
  <c r="V35" i="52"/>
  <c r="W35" i="52"/>
  <c r="X35" i="52"/>
  <c r="Y35" i="52"/>
  <c r="Z35" i="52"/>
  <c r="AB35" i="52"/>
  <c r="AC35" i="52"/>
  <c r="AD35" i="52"/>
  <c r="AE35" i="52"/>
  <c r="AF35" i="52"/>
  <c r="AG35" i="52"/>
  <c r="AH35" i="52"/>
  <c r="AJ35" i="52" s="1"/>
  <c r="AI35" i="52"/>
  <c r="AK35" i="52"/>
  <c r="AL35" i="52"/>
  <c r="AM35" i="52"/>
  <c r="AN35" i="52"/>
  <c r="AO35" i="52"/>
  <c r="AP35" i="52"/>
  <c r="AQ35" i="52"/>
  <c r="AS35" i="52" s="1"/>
  <c r="AR35" i="52"/>
  <c r="I36" i="52"/>
  <c r="J36" i="52"/>
  <c r="K36" i="52"/>
  <c r="L36" i="52"/>
  <c r="M36" i="52"/>
  <c r="O36" i="52" s="1"/>
  <c r="N36" i="52"/>
  <c r="Q36" i="52"/>
  <c r="R36" i="52" s="1"/>
  <c r="T36" i="52"/>
  <c r="U36" i="52"/>
  <c r="W36" i="52"/>
  <c r="X36" i="52" s="1"/>
  <c r="Z36" i="52"/>
  <c r="AA36" i="52" s="1"/>
  <c r="AC36" i="52"/>
  <c r="AD36" i="52"/>
  <c r="AF36" i="52"/>
  <c r="AG36" i="52" s="1"/>
  <c r="AI36" i="52"/>
  <c r="AJ36" i="52" s="1"/>
  <c r="AL36" i="52"/>
  <c r="AM36" i="52" s="1"/>
  <c r="AO36" i="52"/>
  <c r="AP36" i="52"/>
  <c r="AR36" i="52"/>
  <c r="AS36" i="52" s="1"/>
  <c r="AV36" i="52" s="1"/>
  <c r="I37" i="52"/>
  <c r="J37" i="52"/>
  <c r="K37" i="52"/>
  <c r="L37" i="52"/>
  <c r="M37" i="52"/>
  <c r="N37" i="52"/>
  <c r="O37" i="52" s="1"/>
  <c r="P37" i="52"/>
  <c r="R37" i="52" s="1"/>
  <c r="Q37" i="52"/>
  <c r="S37" i="52"/>
  <c r="T37" i="52"/>
  <c r="U37" i="52"/>
  <c r="V37" i="52"/>
  <c r="W37" i="52"/>
  <c r="X37" i="52" s="1"/>
  <c r="Y37" i="52"/>
  <c r="AA37" i="52" s="1"/>
  <c r="Z37" i="52"/>
  <c r="AB37" i="52"/>
  <c r="AC37" i="52"/>
  <c r="AD37" i="52"/>
  <c r="AE37" i="52"/>
  <c r="AF37" i="52"/>
  <c r="AH37" i="52"/>
  <c r="AI37" i="52"/>
  <c r="AJ37" i="52"/>
  <c r="AK37" i="52"/>
  <c r="AL37" i="52"/>
  <c r="AM37" i="52"/>
  <c r="AN37" i="52"/>
  <c r="AP37" i="52" s="1"/>
  <c r="AO37" i="52"/>
  <c r="AQ37" i="52"/>
  <c r="AR37" i="52"/>
  <c r="AS37" i="52" s="1"/>
  <c r="I38" i="52"/>
  <c r="K38" i="52"/>
  <c r="L38" i="52" s="1"/>
  <c r="N38" i="52"/>
  <c r="O38" i="52" s="1"/>
  <c r="Q38" i="52"/>
  <c r="R38" i="52" s="1"/>
  <c r="AV38" i="52" s="1"/>
  <c r="T38" i="52"/>
  <c r="U38" i="52" s="1"/>
  <c r="V38" i="52"/>
  <c r="X38" i="52" s="1"/>
  <c r="W38" i="52"/>
  <c r="Y38" i="52"/>
  <c r="Z38" i="52"/>
  <c r="AA38" i="52"/>
  <c r="AB38" i="52"/>
  <c r="AD38" i="52" s="1"/>
  <c r="AC38" i="52"/>
  <c r="AE38" i="52"/>
  <c r="AG38" i="52" s="1"/>
  <c r="AF38" i="52"/>
  <c r="AH38" i="52"/>
  <c r="AI38" i="52"/>
  <c r="AJ38" i="52"/>
  <c r="AK38" i="52"/>
  <c r="AM38" i="52" s="1"/>
  <c r="AL38" i="52"/>
  <c r="AN38" i="52"/>
  <c r="AO38" i="52"/>
  <c r="AP38" i="52"/>
  <c r="AQ38" i="52"/>
  <c r="AR38" i="52"/>
  <c r="AS38" i="52"/>
  <c r="I39" i="52"/>
  <c r="J39" i="52"/>
  <c r="K39" i="52"/>
  <c r="L39" i="52"/>
  <c r="M39" i="52"/>
  <c r="N39" i="52"/>
  <c r="O39" i="52"/>
  <c r="P39" i="52"/>
  <c r="R39" i="52" s="1"/>
  <c r="Q39" i="52"/>
  <c r="S39" i="52"/>
  <c r="T39" i="52"/>
  <c r="U39" i="52"/>
  <c r="V39" i="52"/>
  <c r="W39" i="52"/>
  <c r="X39" i="52"/>
  <c r="Z39" i="52"/>
  <c r="AA39" i="52"/>
  <c r="AC39" i="52"/>
  <c r="AD39" i="52"/>
  <c r="AF39" i="52"/>
  <c r="AG39" i="52"/>
  <c r="AI39" i="52"/>
  <c r="AJ39" i="52"/>
  <c r="AV39" i="52" s="1"/>
  <c r="AL39" i="52"/>
  <c r="AM39" i="52"/>
  <c r="AO39" i="52"/>
  <c r="AP39" i="52"/>
  <c r="AR39" i="52"/>
  <c r="AS39" i="52"/>
  <c r="I40" i="52"/>
  <c r="K40" i="52"/>
  <c r="N40" i="52"/>
  <c r="Q40" i="52"/>
  <c r="T40" i="52"/>
  <c r="Z40" i="52"/>
  <c r="AA40" i="52"/>
  <c r="AD40" i="52"/>
  <c r="AC40" i="52" s="1"/>
  <c r="AG40" i="52"/>
  <c r="AF40" i="52" s="1"/>
  <c r="AI40" i="52"/>
  <c r="AJ40" i="52"/>
  <c r="AL40" i="52"/>
  <c r="AM40" i="52"/>
  <c r="AO40" i="52"/>
  <c r="AP40" i="52"/>
  <c r="AR40" i="52"/>
  <c r="AS40" i="52"/>
  <c r="AV40" i="52" s="1"/>
  <c r="I41" i="52"/>
  <c r="J41" i="52"/>
  <c r="K41" i="52"/>
  <c r="L41" i="52"/>
  <c r="M41" i="52"/>
  <c r="O41" i="52" s="1"/>
  <c r="N41" i="52"/>
  <c r="P41" i="52"/>
  <c r="Q41" i="52"/>
  <c r="R41" i="52" s="1"/>
  <c r="S41" i="52"/>
  <c r="T41" i="52"/>
  <c r="U41" i="52"/>
  <c r="V41" i="52"/>
  <c r="X41" i="52" s="1"/>
  <c r="W41" i="52"/>
  <c r="Y41" i="52"/>
  <c r="AA41" i="52" s="1"/>
  <c r="Z41" i="52"/>
  <c r="AB41" i="52"/>
  <c r="AC41" i="52"/>
  <c r="AE41" i="52"/>
  <c r="AF41" i="52"/>
  <c r="AG41" i="52"/>
  <c r="AH41" i="52"/>
  <c r="AJ41" i="52" s="1"/>
  <c r="AI41" i="52"/>
  <c r="AK41" i="52"/>
  <c r="AM41" i="52" s="1"/>
  <c r="AL41" i="52"/>
  <c r="AN41" i="52"/>
  <c r="AO41" i="52"/>
  <c r="AP41" i="52"/>
  <c r="AQ41" i="52"/>
  <c r="AS41" i="52" s="1"/>
  <c r="AR41" i="52"/>
  <c r="I42" i="52"/>
  <c r="J42" i="52"/>
  <c r="K42" i="52"/>
  <c r="L42" i="52"/>
  <c r="M42" i="52"/>
  <c r="N42" i="52"/>
  <c r="O42" i="52"/>
  <c r="P42" i="52"/>
  <c r="R42" i="52" s="1"/>
  <c r="Q42" i="52"/>
  <c r="S42" i="52"/>
  <c r="T42" i="52"/>
  <c r="U42" i="52"/>
  <c r="V42" i="52"/>
  <c r="W42" i="52"/>
  <c r="Y42" i="52"/>
  <c r="Z42" i="52"/>
  <c r="AA42" i="52"/>
  <c r="AB42" i="52"/>
  <c r="AC42" i="52"/>
  <c r="AD42" i="52"/>
  <c r="AE42" i="52"/>
  <c r="AG42" i="52" s="1"/>
  <c r="AF42" i="52"/>
  <c r="AH42" i="52"/>
  <c r="AI42" i="52"/>
  <c r="AJ42" i="52" s="1"/>
  <c r="AK42" i="52"/>
  <c r="AL42" i="52"/>
  <c r="AM42" i="52"/>
  <c r="AN42" i="52"/>
  <c r="AP42" i="52" s="1"/>
  <c r="AO42" i="52"/>
  <c r="AQ42" i="52"/>
  <c r="AR42" i="52"/>
  <c r="AV43" i="52"/>
  <c r="I44" i="52"/>
  <c r="J44" i="52"/>
  <c r="K44" i="52"/>
  <c r="L44" i="52"/>
  <c r="M44" i="52"/>
  <c r="O44" i="52" s="1"/>
  <c r="N44" i="52"/>
  <c r="P44" i="52"/>
  <c r="R44" i="52" s="1"/>
  <c r="Q44" i="52"/>
  <c r="S44" i="52"/>
  <c r="T44" i="52"/>
  <c r="U44" i="52" s="1"/>
  <c r="V44" i="52"/>
  <c r="X44" i="52" s="1"/>
  <c r="W44" i="52"/>
  <c r="Y44" i="52"/>
  <c r="AA44" i="52" s="1"/>
  <c r="Z44" i="52"/>
  <c r="AB44" i="52"/>
  <c r="AD44" i="52" s="1"/>
  <c r="AC44" i="52"/>
  <c r="AE44" i="52"/>
  <c r="AG44" i="52" s="1"/>
  <c r="AF44" i="52"/>
  <c r="AH44" i="52"/>
  <c r="AI44" i="52"/>
  <c r="AJ44" i="52"/>
  <c r="AK44" i="52"/>
  <c r="AM44" i="52" s="1"/>
  <c r="AL44" i="52"/>
  <c r="AN44" i="52"/>
  <c r="AP44" i="52" s="1"/>
  <c r="AO44" i="52"/>
  <c r="AQ44" i="52"/>
  <c r="AR44" i="52"/>
  <c r="AS44" i="52"/>
  <c r="I45" i="52"/>
  <c r="J45" i="52"/>
  <c r="L45" i="52" s="1"/>
  <c r="K45" i="52"/>
  <c r="M45" i="52"/>
  <c r="N45" i="52"/>
  <c r="O45" i="52"/>
  <c r="P45" i="52"/>
  <c r="R45" i="52" s="1"/>
  <c r="Q45" i="52"/>
  <c r="S45" i="52"/>
  <c r="T45" i="52"/>
  <c r="U45" i="52"/>
  <c r="V45" i="52"/>
  <c r="W45" i="52"/>
  <c r="X45" i="52"/>
  <c r="Y45" i="52"/>
  <c r="AA45" i="52" s="1"/>
  <c r="Z45" i="52"/>
  <c r="AB45" i="52"/>
  <c r="AC45" i="52"/>
  <c r="AD45" i="52" s="1"/>
  <c r="AE45" i="52"/>
  <c r="AF45" i="52"/>
  <c r="AG45" i="52"/>
  <c r="AH45" i="52"/>
  <c r="AJ45" i="52" s="1"/>
  <c r="AI45" i="52"/>
  <c r="AK45" i="52"/>
  <c r="AL45" i="52"/>
  <c r="AN45" i="52"/>
  <c r="AO45" i="52"/>
  <c r="AQ45" i="52"/>
  <c r="AR45" i="52"/>
  <c r="AS45" i="52"/>
  <c r="I46" i="52"/>
  <c r="J46" i="52"/>
  <c r="K46" i="52"/>
  <c r="M46" i="52"/>
  <c r="N46" i="52"/>
  <c r="O46" i="52"/>
  <c r="P46" i="52"/>
  <c r="R46" i="52" s="1"/>
  <c r="Q46" i="52"/>
  <c r="S46" i="52"/>
  <c r="U46" i="52" s="1"/>
  <c r="T46" i="52"/>
  <c r="V46" i="52"/>
  <c r="W46" i="52"/>
  <c r="X46" i="52"/>
  <c r="Y46" i="52"/>
  <c r="AA46" i="52" s="1"/>
  <c r="Z46" i="52"/>
  <c r="AB46" i="52"/>
  <c r="AD46" i="52" s="1"/>
  <c r="AC46" i="52"/>
  <c r="AE46" i="52"/>
  <c r="AF46" i="52"/>
  <c r="AG46" i="52"/>
  <c r="AH46" i="52"/>
  <c r="AJ46" i="52" s="1"/>
  <c r="AI46" i="52"/>
  <c r="AK46" i="52"/>
  <c r="AL46" i="52"/>
  <c r="AM46" i="52"/>
  <c r="AN46" i="52"/>
  <c r="AO46" i="52"/>
  <c r="AP46" i="52"/>
  <c r="AQ46" i="52"/>
  <c r="AS46" i="52" s="1"/>
  <c r="AR46" i="52"/>
  <c r="I47" i="52"/>
  <c r="J47" i="52"/>
  <c r="K47" i="52"/>
  <c r="L47" i="52"/>
  <c r="M47" i="52"/>
  <c r="O47" i="52" s="1"/>
  <c r="N47" i="52"/>
  <c r="P47" i="52"/>
  <c r="Q47" i="52"/>
  <c r="R47" i="52" s="1"/>
  <c r="S47" i="52"/>
  <c r="T47" i="52"/>
  <c r="U47" i="52"/>
  <c r="V47" i="52"/>
  <c r="X47" i="52" s="1"/>
  <c r="W47" i="52"/>
  <c r="Y47" i="52"/>
  <c r="AA47" i="52" s="1"/>
  <c r="Z47" i="52"/>
  <c r="AB47" i="52"/>
  <c r="AC47" i="52"/>
  <c r="AE47" i="52"/>
  <c r="AF47" i="52"/>
  <c r="AG47" i="52"/>
  <c r="AH47" i="52"/>
  <c r="AJ47" i="52" s="1"/>
  <c r="AI47" i="52"/>
  <c r="AK47" i="52"/>
  <c r="AM47" i="52" s="1"/>
  <c r="AL47" i="52"/>
  <c r="AN47" i="52"/>
  <c r="AO47" i="52"/>
  <c r="AP47" i="52"/>
  <c r="AQ47" i="52"/>
  <c r="AS47" i="52" s="1"/>
  <c r="AR47" i="52"/>
  <c r="K49" i="52"/>
  <c r="N49" i="52"/>
  <c r="Q49" i="52"/>
  <c r="T49" i="52"/>
  <c r="W49" i="52"/>
  <c r="Z49" i="52"/>
  <c r="AC49" i="52"/>
  <c r="AD49" i="52"/>
  <c r="AF49" i="52"/>
  <c r="AG49" i="52"/>
  <c r="AI49" i="52"/>
  <c r="AJ49" i="52"/>
  <c r="AL49" i="52"/>
  <c r="AM49" i="52"/>
  <c r="AO49" i="52"/>
  <c r="AP49" i="52"/>
  <c r="AR49" i="52"/>
  <c r="AS49" i="52"/>
  <c r="AQ50" i="52"/>
  <c r="AR50" i="52" s="1"/>
  <c r="I55" i="52"/>
  <c r="K55" i="52"/>
  <c r="L55" i="52" s="1"/>
  <c r="N55" i="52"/>
  <c r="O55" i="52" s="1"/>
  <c r="P55" i="52"/>
  <c r="R55" i="52" s="1"/>
  <c r="Q55" i="52"/>
  <c r="S55" i="52"/>
  <c r="U55" i="52" s="1"/>
  <c r="T55" i="52"/>
  <c r="W55" i="52"/>
  <c r="X55" i="52" s="1"/>
  <c r="Z55" i="52"/>
  <c r="AA55" i="52" s="1"/>
  <c r="AC55" i="52"/>
  <c r="AD55" i="52" s="1"/>
  <c r="AF55" i="52"/>
  <c r="AG55" i="52" s="1"/>
  <c r="AI55" i="52"/>
  <c r="AJ55" i="52"/>
  <c r="AL55" i="52"/>
  <c r="AM55" i="52" s="1"/>
  <c r="AO55" i="52"/>
  <c r="AP55" i="52" s="1"/>
  <c r="AR55" i="52"/>
  <c r="AS55" i="52" s="1"/>
  <c r="I56" i="52"/>
  <c r="J56" i="52"/>
  <c r="K56" i="52"/>
  <c r="L56" i="52"/>
  <c r="M56" i="52"/>
  <c r="O56" i="52" s="1"/>
  <c r="N56" i="52"/>
  <c r="P56" i="52"/>
  <c r="R56" i="52" s="1"/>
  <c r="Q56" i="52"/>
  <c r="S56" i="52"/>
  <c r="T56" i="52"/>
  <c r="V56" i="52"/>
  <c r="W56" i="52"/>
  <c r="X56" i="52"/>
  <c r="Y56" i="52"/>
  <c r="AA56" i="52" s="1"/>
  <c r="Z56" i="52"/>
  <c r="AB56" i="52"/>
  <c r="AD56" i="52" s="1"/>
  <c r="AC56" i="52"/>
  <c r="AE56" i="52"/>
  <c r="AG56" i="52"/>
  <c r="AH56" i="52"/>
  <c r="AJ56" i="52" s="1"/>
  <c r="AK56" i="52"/>
  <c r="AM56" i="52"/>
  <c r="AN56" i="52"/>
  <c r="AP56" i="52"/>
  <c r="AQ56" i="52"/>
  <c r="AS56" i="52"/>
  <c r="I57" i="52"/>
  <c r="J57" i="52"/>
  <c r="K57" i="52"/>
  <c r="M57" i="52"/>
  <c r="N57" i="52"/>
  <c r="O57" i="52"/>
  <c r="P57" i="52"/>
  <c r="R57" i="52" s="1"/>
  <c r="Q57" i="52"/>
  <c r="S57" i="52"/>
  <c r="U57" i="52" s="1"/>
  <c r="T57" i="52"/>
  <c r="V57" i="52"/>
  <c r="W57" i="52"/>
  <c r="X57" i="52"/>
  <c r="Y57" i="52"/>
  <c r="AA57" i="52" s="1"/>
  <c r="Z57" i="52"/>
  <c r="AC57" i="52"/>
  <c r="AD57" i="52"/>
  <c r="AF57" i="52"/>
  <c r="AG57" i="52"/>
  <c r="AI57" i="52"/>
  <c r="AJ57" i="52"/>
  <c r="AK57" i="52"/>
  <c r="AM57" i="52" s="1"/>
  <c r="AL57" i="52"/>
  <c r="AN57" i="52"/>
  <c r="AO57" i="52"/>
  <c r="AP57" i="52"/>
  <c r="AQ57" i="52"/>
  <c r="AR57" i="52"/>
  <c r="AS57" i="52"/>
  <c r="I58" i="52"/>
  <c r="J58" i="52"/>
  <c r="K58" i="52"/>
  <c r="L58" i="52"/>
  <c r="M58" i="52"/>
  <c r="N58" i="52"/>
  <c r="O58" i="52"/>
  <c r="P58" i="52"/>
  <c r="R58" i="52" s="1"/>
  <c r="Q58" i="52"/>
  <c r="T58" i="52"/>
  <c r="U58" i="52"/>
  <c r="W58" i="52"/>
  <c r="X58" i="52"/>
  <c r="Z58" i="52"/>
  <c r="AA58" i="52"/>
  <c r="AC58" i="52"/>
  <c r="AD58" i="52"/>
  <c r="AF58" i="52"/>
  <c r="AG58" i="52"/>
  <c r="AI58" i="52"/>
  <c r="AJ58" i="52"/>
  <c r="AL58" i="52"/>
  <c r="AM58" i="52"/>
  <c r="AO58" i="52"/>
  <c r="AP58" i="52"/>
  <c r="AR58" i="52"/>
  <c r="AS58" i="52"/>
  <c r="I59" i="52"/>
  <c r="J59" i="52"/>
  <c r="K59" i="52"/>
  <c r="M59" i="52"/>
  <c r="N59" i="52"/>
  <c r="O59" i="52"/>
  <c r="P59" i="52"/>
  <c r="Q59" i="52"/>
  <c r="R59" i="52"/>
  <c r="S59" i="52"/>
  <c r="U59" i="52" s="1"/>
  <c r="T59" i="52"/>
  <c r="V59" i="52"/>
  <c r="W59" i="52"/>
  <c r="X59" i="52" s="1"/>
  <c r="Y59" i="52"/>
  <c r="Z59" i="52"/>
  <c r="AA59" i="52"/>
  <c r="AB59" i="52"/>
  <c r="AD59" i="52" s="1"/>
  <c r="AC59" i="52"/>
  <c r="AE59" i="52"/>
  <c r="AF59" i="52"/>
  <c r="AH59" i="52"/>
  <c r="AI59" i="52"/>
  <c r="AK59" i="52"/>
  <c r="AL59" i="52"/>
  <c r="AM59" i="52"/>
  <c r="AN59" i="52"/>
  <c r="AO59" i="52"/>
  <c r="AQ59" i="52"/>
  <c r="AS59" i="52" s="1"/>
  <c r="AR59" i="52"/>
  <c r="I60" i="52"/>
  <c r="J60" i="52"/>
  <c r="K60" i="52"/>
  <c r="L60" i="52" s="1"/>
  <c r="M60" i="52"/>
  <c r="O60" i="52" s="1"/>
  <c r="N60" i="52"/>
  <c r="P60" i="52"/>
  <c r="Q60" i="52"/>
  <c r="R60" i="52"/>
  <c r="S60" i="52"/>
  <c r="T60" i="52"/>
  <c r="U60" i="52" s="1"/>
  <c r="W60" i="52"/>
  <c r="X60" i="52"/>
  <c r="Z60" i="52"/>
  <c r="AA60" i="52"/>
  <c r="AC60" i="52"/>
  <c r="AD60" i="52"/>
  <c r="AF60" i="52"/>
  <c r="AG60" i="52" s="1"/>
  <c r="AI60" i="52"/>
  <c r="AJ60" i="52"/>
  <c r="AL60" i="52"/>
  <c r="AM60" i="52"/>
  <c r="AO60" i="52"/>
  <c r="AP60" i="52"/>
  <c r="AR60" i="52"/>
  <c r="AS60" i="52" s="1"/>
  <c r="I61" i="52"/>
  <c r="J61" i="52"/>
  <c r="K61" i="52"/>
  <c r="L61" i="52"/>
  <c r="M61" i="52"/>
  <c r="N61" i="52"/>
  <c r="O61" i="52"/>
  <c r="P61" i="52"/>
  <c r="R61" i="52" s="1"/>
  <c r="Q61" i="52"/>
  <c r="S61" i="52"/>
  <c r="T61" i="52"/>
  <c r="U61" i="52"/>
  <c r="V61" i="52"/>
  <c r="W61" i="52"/>
  <c r="Y61" i="52"/>
  <c r="Z61" i="52"/>
  <c r="AA61" i="52"/>
  <c r="AB61" i="52"/>
  <c r="AC61" i="52"/>
  <c r="AD61" i="52"/>
  <c r="AE61" i="52"/>
  <c r="AG61" i="52" s="1"/>
  <c r="AF61" i="52"/>
  <c r="AH61" i="52"/>
  <c r="AI61" i="52"/>
  <c r="AJ61" i="52"/>
  <c r="AK61" i="52"/>
  <c r="AL61" i="52"/>
  <c r="AM61" i="52"/>
  <c r="AN61" i="52"/>
  <c r="AP61" i="52" s="1"/>
  <c r="AO61" i="52"/>
  <c r="AQ61" i="52"/>
  <c r="AR61" i="52"/>
  <c r="AS61" i="52"/>
  <c r="I62" i="52"/>
  <c r="J62" i="52"/>
  <c r="L62" i="52" s="1"/>
  <c r="K62" i="52"/>
  <c r="M62" i="52"/>
  <c r="O62" i="52" s="1"/>
  <c r="N62" i="52"/>
  <c r="Q62" i="52"/>
  <c r="R62" i="52" s="1"/>
  <c r="T62" i="52"/>
  <c r="U62" i="52"/>
  <c r="W62" i="52"/>
  <c r="X62" i="52"/>
  <c r="Z62" i="52"/>
  <c r="AA62" i="52" s="1"/>
  <c r="AC62" i="52"/>
  <c r="AD62" i="52" s="1"/>
  <c r="AF62" i="52"/>
  <c r="AG62" i="52"/>
  <c r="AI62" i="52"/>
  <c r="AJ62" i="52"/>
  <c r="AL62" i="52"/>
  <c r="AM62" i="52" s="1"/>
  <c r="AO62" i="52"/>
  <c r="AP62" i="52" s="1"/>
  <c r="AR62" i="52"/>
  <c r="AS62" i="52"/>
  <c r="I63" i="52"/>
  <c r="J63" i="52"/>
  <c r="K63" i="52"/>
  <c r="L63" i="52"/>
  <c r="M63" i="52"/>
  <c r="O63" i="52" s="1"/>
  <c r="N63" i="52"/>
  <c r="P63" i="52"/>
  <c r="Q63" i="52"/>
  <c r="R63" i="52"/>
  <c r="S63" i="52"/>
  <c r="T63" i="52"/>
  <c r="U63" i="52"/>
  <c r="V63" i="52"/>
  <c r="X63" i="52" s="1"/>
  <c r="W63" i="52"/>
  <c r="Y63" i="52"/>
  <c r="Z63" i="52"/>
  <c r="AA63" i="52"/>
  <c r="AB63" i="52"/>
  <c r="AC63" i="52"/>
  <c r="AE63" i="52"/>
  <c r="AF63" i="52"/>
  <c r="AG63" i="52"/>
  <c r="AH63" i="52"/>
  <c r="AI63" i="52"/>
  <c r="AJ63" i="52"/>
  <c r="AK63" i="52"/>
  <c r="AM63" i="52" s="1"/>
  <c r="AL63" i="52"/>
  <c r="AO63" i="52"/>
  <c r="AP63" i="52"/>
  <c r="AR63" i="52"/>
  <c r="AS63" i="52"/>
  <c r="I64" i="52"/>
  <c r="J64" i="52"/>
  <c r="L64" i="52" s="1"/>
  <c r="K64" i="52"/>
  <c r="M64" i="52"/>
  <c r="N64" i="52"/>
  <c r="P64" i="52"/>
  <c r="Q64" i="52"/>
  <c r="S64" i="52"/>
  <c r="T64" i="52"/>
  <c r="U64" i="52"/>
  <c r="V64" i="52"/>
  <c r="W64" i="52"/>
  <c r="Y64" i="52"/>
  <c r="AA64" i="52" s="1"/>
  <c r="Z64" i="52"/>
  <c r="AB64" i="52"/>
  <c r="AC64" i="52"/>
  <c r="AD64" i="52" s="1"/>
  <c r="AE64" i="52"/>
  <c r="AF64" i="52"/>
  <c r="AH64" i="52"/>
  <c r="AJ64" i="52" s="1"/>
  <c r="AI64" i="52"/>
  <c r="AK64" i="52"/>
  <c r="AL64" i="52"/>
  <c r="AM64" i="52"/>
  <c r="AO64" i="52"/>
  <c r="AP64" i="52"/>
  <c r="AR64" i="52"/>
  <c r="AS64" i="52"/>
  <c r="I65" i="52"/>
  <c r="J65" i="52"/>
  <c r="K65" i="52"/>
  <c r="L65" i="52"/>
  <c r="M65" i="52"/>
  <c r="O65" i="52" s="1"/>
  <c r="N65" i="52"/>
  <c r="P65" i="52"/>
  <c r="Q65" i="52"/>
  <c r="R65" i="52"/>
  <c r="S65" i="52"/>
  <c r="T65" i="52"/>
  <c r="U65" i="52"/>
  <c r="V65" i="52"/>
  <c r="X65" i="52" s="1"/>
  <c r="W65" i="52"/>
  <c r="Y65" i="52"/>
  <c r="Z65" i="52"/>
  <c r="AA65" i="52"/>
  <c r="AB65" i="52"/>
  <c r="AC65" i="52"/>
  <c r="AE65" i="52"/>
  <c r="AF65" i="52"/>
  <c r="AG65" i="52"/>
  <c r="AH65" i="52"/>
  <c r="AI65" i="52"/>
  <c r="AJ65" i="52"/>
  <c r="AK65" i="52"/>
  <c r="AM65" i="52" s="1"/>
  <c r="AL65" i="52"/>
  <c r="AN65" i="52"/>
  <c r="AO65" i="52"/>
  <c r="AP65" i="52"/>
  <c r="AQ65" i="52"/>
  <c r="AR65" i="52"/>
  <c r="AS65" i="52"/>
  <c r="I66" i="52"/>
  <c r="K66" i="52"/>
  <c r="L66" i="52"/>
  <c r="N66" i="52"/>
  <c r="O66" i="52"/>
  <c r="Q66" i="52"/>
  <c r="R66" i="52"/>
  <c r="T66" i="52"/>
  <c r="U66" i="52"/>
  <c r="W66" i="52"/>
  <c r="X66" i="52"/>
  <c r="Z66" i="52"/>
  <c r="AA66" i="52"/>
  <c r="AC66" i="52"/>
  <c r="AD66" i="52"/>
  <c r="AF66" i="52"/>
  <c r="AG66" i="52"/>
  <c r="AI66" i="52"/>
  <c r="AJ66" i="52"/>
  <c r="AL66" i="52"/>
  <c r="AM66" i="52"/>
  <c r="AO66" i="52"/>
  <c r="AP66" i="52"/>
  <c r="AR66" i="52"/>
  <c r="AS66" i="52"/>
  <c r="I67" i="52"/>
  <c r="K67" i="52"/>
  <c r="L67" i="52" s="1"/>
  <c r="N67" i="52"/>
  <c r="O67" i="52" s="1"/>
  <c r="Q67" i="52"/>
  <c r="R67" i="52"/>
  <c r="T67" i="52"/>
  <c r="U67" i="52"/>
  <c r="V67" i="52"/>
  <c r="W67" i="52"/>
  <c r="X67" i="52" s="1"/>
  <c r="Y67" i="52"/>
  <c r="AA67" i="52" s="1"/>
  <c r="Z67" i="52"/>
  <c r="AB67" i="52"/>
  <c r="AC67" i="52"/>
  <c r="AD67" i="52"/>
  <c r="AE67" i="52"/>
  <c r="AF67" i="52"/>
  <c r="AG67" i="52" s="1"/>
  <c r="AH67" i="52"/>
  <c r="AJ67" i="52" s="1"/>
  <c r="AI67" i="52"/>
  <c r="AK67" i="52"/>
  <c r="AL67" i="52"/>
  <c r="AM67" i="52"/>
  <c r="AN67" i="52"/>
  <c r="AO67" i="52"/>
  <c r="AQ67" i="52"/>
  <c r="AR67" i="52"/>
  <c r="AS67" i="52"/>
  <c r="I68" i="52"/>
  <c r="K68" i="52"/>
  <c r="L68" i="52" s="1"/>
  <c r="N68" i="52"/>
  <c r="O68" i="52"/>
  <c r="P68" i="52"/>
  <c r="Q68" i="52"/>
  <c r="R68" i="52"/>
  <c r="S68" i="52"/>
  <c r="T68" i="52"/>
  <c r="U68" i="52" s="1"/>
  <c r="V68" i="52"/>
  <c r="X68" i="52" s="1"/>
  <c r="W68" i="52"/>
  <c r="Y68" i="52"/>
  <c r="Z68" i="52"/>
  <c r="AA68" i="52"/>
  <c r="AB68" i="52"/>
  <c r="AC68" i="52"/>
  <c r="AE68" i="52"/>
  <c r="AF68" i="52"/>
  <c r="AG68" i="52"/>
  <c r="AH68" i="52"/>
  <c r="AI68" i="52"/>
  <c r="AJ68" i="52"/>
  <c r="AK68" i="52"/>
  <c r="AM68" i="52" s="1"/>
  <c r="AL68" i="52"/>
  <c r="AN68" i="52"/>
  <c r="AO68" i="52"/>
  <c r="AP68" i="52"/>
  <c r="AQ68" i="52"/>
  <c r="AR68" i="52"/>
  <c r="AS68" i="52"/>
  <c r="I69" i="52"/>
  <c r="K69" i="52"/>
  <c r="L69" i="52"/>
  <c r="N69" i="52"/>
  <c r="O69" i="52"/>
  <c r="Q69" i="52"/>
  <c r="R69" i="52"/>
  <c r="T69" i="52"/>
  <c r="U69" i="52"/>
  <c r="W69" i="52"/>
  <c r="X69" i="52"/>
  <c r="Z69" i="52"/>
  <c r="AA69" i="52"/>
  <c r="AC69" i="52"/>
  <c r="AD69" i="52"/>
  <c r="AF69" i="52"/>
  <c r="AG69" i="52"/>
  <c r="AI69" i="52"/>
  <c r="AJ69" i="52"/>
  <c r="AL69" i="52"/>
  <c r="AM69" i="52"/>
  <c r="AN69" i="52"/>
  <c r="AO69" i="52"/>
  <c r="AQ69" i="52"/>
  <c r="AR69" i="52"/>
  <c r="AS69" i="52"/>
  <c r="I70" i="52"/>
  <c r="K70" i="52"/>
  <c r="L70" i="52" s="1"/>
  <c r="N70" i="52"/>
  <c r="O70" i="52"/>
  <c r="Q70" i="52"/>
  <c r="R70" i="52"/>
  <c r="T70" i="52"/>
  <c r="U70" i="52" s="1"/>
  <c r="W70" i="52"/>
  <c r="X70" i="52" s="1"/>
  <c r="Z70" i="52"/>
  <c r="AA70" i="52"/>
  <c r="AC70" i="52"/>
  <c r="AD70" i="52"/>
  <c r="AF70" i="52"/>
  <c r="AG70" i="52"/>
  <c r="AI70" i="52"/>
  <c r="AJ70" i="52" s="1"/>
  <c r="AL70" i="52"/>
  <c r="AM70" i="52"/>
  <c r="AN70" i="52"/>
  <c r="AO70" i="52"/>
  <c r="AP70" i="52"/>
  <c r="AQ70" i="52"/>
  <c r="AR70" i="52"/>
  <c r="I71" i="52"/>
  <c r="J71" i="52"/>
  <c r="K71" i="52"/>
  <c r="L71" i="52"/>
  <c r="M71" i="52"/>
  <c r="N71" i="52"/>
  <c r="O71" i="52"/>
  <c r="P71" i="52"/>
  <c r="R71" i="52" s="1"/>
  <c r="Q71" i="52"/>
  <c r="S71" i="52"/>
  <c r="T71" i="52"/>
  <c r="U71" i="52"/>
  <c r="V71" i="52"/>
  <c r="W71" i="52"/>
  <c r="Y71" i="52"/>
  <c r="Z71" i="52"/>
  <c r="AA71" i="52"/>
  <c r="AB71" i="52"/>
  <c r="AC71" i="52"/>
  <c r="AD71" i="52"/>
  <c r="AE71" i="52"/>
  <c r="AG71" i="52" s="1"/>
  <c r="AF71" i="52"/>
  <c r="AH71" i="52"/>
  <c r="AI71" i="52"/>
  <c r="AJ71" i="52"/>
  <c r="AK71" i="52"/>
  <c r="AL71" i="52"/>
  <c r="AM71" i="52"/>
  <c r="AN71" i="52"/>
  <c r="AP71" i="52" s="1"/>
  <c r="AO71" i="52"/>
  <c r="AQ71" i="52"/>
  <c r="AS71" i="52" s="1"/>
  <c r="AR71" i="52"/>
  <c r="I72" i="52"/>
  <c r="J72" i="52"/>
  <c r="L72" i="52" s="1"/>
  <c r="K72" i="52"/>
  <c r="M72" i="52"/>
  <c r="N72" i="52"/>
  <c r="P72" i="52"/>
  <c r="Q72" i="52"/>
  <c r="S72" i="52"/>
  <c r="T72" i="52"/>
  <c r="U72" i="52"/>
  <c r="V72" i="52"/>
  <c r="X72" i="52" s="1"/>
  <c r="W72" i="52"/>
  <c r="Y72" i="52"/>
  <c r="AA72" i="52" s="1"/>
  <c r="Z72" i="52"/>
  <c r="AB72" i="52"/>
  <c r="AC72" i="52"/>
  <c r="AD72" i="52" s="1"/>
  <c r="AE72" i="52"/>
  <c r="AF72" i="52"/>
  <c r="AH72" i="52"/>
  <c r="AJ72" i="52" s="1"/>
  <c r="AI72" i="52"/>
  <c r="AK72" i="52"/>
  <c r="AL72" i="52"/>
  <c r="AM72" i="52"/>
  <c r="AN72" i="52"/>
  <c r="AP72" i="52" s="1"/>
  <c r="AO72" i="52"/>
  <c r="AQ72" i="52"/>
  <c r="AR72" i="52"/>
  <c r="AS72" i="52"/>
  <c r="I73" i="52"/>
  <c r="J73" i="52"/>
  <c r="K73" i="52"/>
  <c r="M73" i="52"/>
  <c r="N73" i="52"/>
  <c r="O73" i="52"/>
  <c r="P73" i="52"/>
  <c r="Q73" i="52"/>
  <c r="R73" i="52"/>
  <c r="S73" i="52"/>
  <c r="U73" i="52" s="1"/>
  <c r="T73" i="52"/>
  <c r="V73" i="52"/>
  <c r="W73" i="52"/>
  <c r="X73" i="52"/>
  <c r="Y73" i="52"/>
  <c r="Z73" i="52"/>
  <c r="AA73" i="52"/>
  <c r="AB73" i="52"/>
  <c r="AD73" i="52" s="1"/>
  <c r="AC73" i="52"/>
  <c r="AE73" i="52"/>
  <c r="AG73" i="52" s="1"/>
  <c r="AF73" i="52"/>
  <c r="AH73" i="52"/>
  <c r="AI73" i="52"/>
  <c r="AK73" i="52"/>
  <c r="AL73" i="52"/>
  <c r="AM73" i="52"/>
  <c r="AN73" i="52"/>
  <c r="AP73" i="52" s="1"/>
  <c r="AO73" i="52"/>
  <c r="AR73" i="52"/>
  <c r="AS73" i="52" s="1"/>
  <c r="I74" i="52"/>
  <c r="J74" i="52"/>
  <c r="K74" i="52"/>
  <c r="L74" i="52"/>
  <c r="M74" i="52"/>
  <c r="O74" i="52" s="1"/>
  <c r="N74" i="52"/>
  <c r="P74" i="52"/>
  <c r="Q74" i="52"/>
  <c r="R74" i="52"/>
  <c r="S74" i="52"/>
  <c r="T74" i="52"/>
  <c r="U74" i="52"/>
  <c r="V74" i="52"/>
  <c r="X74" i="52" s="1"/>
  <c r="W74" i="52"/>
  <c r="Y74" i="52"/>
  <c r="Z74" i="52"/>
  <c r="AA74" i="52"/>
  <c r="AB74" i="52"/>
  <c r="AC74" i="52"/>
  <c r="AD74" i="52"/>
  <c r="AE74" i="52"/>
  <c r="AG74" i="52" s="1"/>
  <c r="AF74" i="52"/>
  <c r="AH74" i="52"/>
  <c r="AI74" i="52"/>
  <c r="AJ74" i="52"/>
  <c r="AK74" i="52"/>
  <c r="AL74" i="52"/>
  <c r="AN74" i="52"/>
  <c r="AO74" i="52"/>
  <c r="AP74" i="52"/>
  <c r="AQ74" i="52"/>
  <c r="AR74" i="52"/>
  <c r="AS74" i="52"/>
  <c r="I79" i="52"/>
  <c r="J79" i="52"/>
  <c r="K79" i="52"/>
  <c r="M79" i="52"/>
  <c r="N79" i="52"/>
  <c r="Q79" i="52"/>
  <c r="R79" i="52" s="1"/>
  <c r="T79" i="52"/>
  <c r="U79" i="52" s="1"/>
  <c r="W79" i="52"/>
  <c r="X79" i="52"/>
  <c r="Z79" i="52"/>
  <c r="AA79" i="52" s="1"/>
  <c r="AC79" i="52"/>
  <c r="AD79" i="52" s="1"/>
  <c r="AF79" i="52"/>
  <c r="AG79" i="52"/>
  <c r="AI79" i="52"/>
  <c r="AJ79" i="52" s="1"/>
  <c r="AL79" i="52"/>
  <c r="AM79" i="52" s="1"/>
  <c r="AN79" i="52"/>
  <c r="AO79" i="52"/>
  <c r="AP79" i="52"/>
  <c r="AQ79" i="52"/>
  <c r="AR79" i="52"/>
  <c r="AS79" i="52"/>
  <c r="I80" i="52"/>
  <c r="J80" i="52"/>
  <c r="K80" i="52"/>
  <c r="L80" i="52"/>
  <c r="M80" i="52"/>
  <c r="N80" i="52"/>
  <c r="O80" i="52"/>
  <c r="P80" i="52"/>
  <c r="R80" i="52" s="1"/>
  <c r="Q80" i="52"/>
  <c r="S80" i="52"/>
  <c r="T80" i="52"/>
  <c r="U80" i="52"/>
  <c r="V80" i="52"/>
  <c r="W80" i="52"/>
  <c r="X80" i="52"/>
  <c r="Y80" i="52"/>
  <c r="AA80" i="52" s="1"/>
  <c r="Z80" i="52"/>
  <c r="AB80" i="52"/>
  <c r="AC80" i="52"/>
  <c r="AE80" i="52"/>
  <c r="AF80" i="52"/>
  <c r="AH80" i="52"/>
  <c r="AI80" i="52"/>
  <c r="AJ80" i="52"/>
  <c r="AK80" i="52"/>
  <c r="AL80" i="52"/>
  <c r="AN80" i="52"/>
  <c r="AP80" i="52" s="1"/>
  <c r="AO80" i="52"/>
  <c r="AQ80" i="52"/>
  <c r="AR80" i="52"/>
  <c r="AS80" i="52"/>
  <c r="I81" i="52"/>
  <c r="J81" i="52"/>
  <c r="L81" i="52" s="1"/>
  <c r="K81" i="52"/>
  <c r="M81" i="52"/>
  <c r="N81" i="52"/>
  <c r="O81" i="52" s="1"/>
  <c r="Q81" i="52"/>
  <c r="R81" i="52" s="1"/>
  <c r="T81" i="52"/>
  <c r="U81" i="52" s="1"/>
  <c r="W81" i="52"/>
  <c r="X81" i="52" s="1"/>
  <c r="Z81" i="52"/>
  <c r="AA81" i="52"/>
  <c r="AC81" i="52"/>
  <c r="AD81" i="52" s="1"/>
  <c r="AF81" i="52"/>
  <c r="AG81" i="52" s="1"/>
  <c r="AI81" i="52"/>
  <c r="AJ81" i="52" s="1"/>
  <c r="AL81" i="52"/>
  <c r="AM81" i="52"/>
  <c r="AO81" i="52"/>
  <c r="AP81" i="52"/>
  <c r="AR81" i="52"/>
  <c r="AS81" i="52" s="1"/>
  <c r="I82" i="52"/>
  <c r="J82" i="52"/>
  <c r="L82" i="52" s="1"/>
  <c r="K82" i="52"/>
  <c r="M82" i="52"/>
  <c r="N82" i="52"/>
  <c r="P82" i="52"/>
  <c r="Q82" i="52"/>
  <c r="R82" i="52"/>
  <c r="S82" i="52"/>
  <c r="T82" i="52"/>
  <c r="V82" i="52"/>
  <c r="X82" i="52" s="1"/>
  <c r="W82" i="52"/>
  <c r="Y82" i="52"/>
  <c r="Z82" i="52"/>
  <c r="AA82" i="52"/>
  <c r="AB82" i="52"/>
  <c r="AD82" i="52" s="1"/>
  <c r="AC82" i="52"/>
  <c r="AE82" i="52"/>
  <c r="AG82" i="52" s="1"/>
  <c r="AF82" i="52"/>
  <c r="AH82" i="52"/>
  <c r="AI82" i="52"/>
  <c r="AJ82" i="52"/>
  <c r="AK82" i="52"/>
  <c r="AM82" i="52" s="1"/>
  <c r="AL82" i="52"/>
  <c r="AN82" i="52"/>
  <c r="AO82" i="52"/>
  <c r="AP82" i="52"/>
  <c r="AQ82" i="52"/>
  <c r="AR82" i="52"/>
  <c r="AS82" i="52"/>
  <c r="I83" i="52"/>
  <c r="J83" i="52"/>
  <c r="K83" i="52"/>
  <c r="L83" i="52"/>
  <c r="M83" i="52"/>
  <c r="N83" i="52"/>
  <c r="O83" i="52"/>
  <c r="P83" i="52"/>
  <c r="R83" i="52" s="1"/>
  <c r="Q83" i="52"/>
  <c r="S83" i="52"/>
  <c r="T83" i="52"/>
  <c r="U83" i="52"/>
  <c r="V83" i="52"/>
  <c r="W83" i="52"/>
  <c r="X83" i="52"/>
  <c r="Y83" i="52"/>
  <c r="AA83" i="52" s="1"/>
  <c r="Z83" i="52"/>
  <c r="AB83" i="52"/>
  <c r="AC83" i="52"/>
  <c r="AD83" i="52"/>
  <c r="AE83" i="52"/>
  <c r="AF83" i="52"/>
  <c r="AH83" i="52"/>
  <c r="AI83" i="52"/>
  <c r="AJ83" i="52"/>
  <c r="AK83" i="52"/>
  <c r="AL83" i="52"/>
  <c r="AM83" i="52"/>
  <c r="AN83" i="52"/>
  <c r="AP83" i="52" s="1"/>
  <c r="AO83" i="52"/>
  <c r="AQ83" i="52"/>
  <c r="AR83" i="52"/>
  <c r="AS83" i="52" s="1"/>
  <c r="I84" i="52"/>
  <c r="J84" i="52"/>
  <c r="L84" i="52" s="1"/>
  <c r="K84" i="52"/>
  <c r="M84" i="52"/>
  <c r="N84" i="52"/>
  <c r="O84" i="52"/>
  <c r="P84" i="52"/>
  <c r="R84" i="52" s="1"/>
  <c r="Q84" i="52"/>
  <c r="S84" i="52"/>
  <c r="U84" i="52" s="1"/>
  <c r="T84" i="52"/>
  <c r="V84" i="52"/>
  <c r="W84" i="52"/>
  <c r="X84" i="52"/>
  <c r="Y84" i="52"/>
  <c r="AA84" i="52" s="1"/>
  <c r="Z84" i="52"/>
  <c r="AB84" i="52"/>
  <c r="AC84" i="52"/>
  <c r="AD84" i="52"/>
  <c r="AE84" i="52"/>
  <c r="AF84" i="52"/>
  <c r="AG84" i="52"/>
  <c r="AH84" i="52"/>
  <c r="AJ84" i="52" s="1"/>
  <c r="AI84" i="52"/>
  <c r="AK84" i="52"/>
  <c r="AL84" i="52"/>
  <c r="AM84" i="52"/>
  <c r="AN84" i="52"/>
  <c r="AO84" i="52"/>
  <c r="AP84" i="52"/>
  <c r="AQ84" i="52"/>
  <c r="AS84" i="52" s="1"/>
  <c r="AR84" i="52"/>
  <c r="I85" i="52"/>
  <c r="J85" i="52"/>
  <c r="K85" i="52"/>
  <c r="L85" i="52" s="1"/>
  <c r="M85" i="52"/>
  <c r="O85" i="52" s="1"/>
  <c r="N85" i="52"/>
  <c r="P85" i="52"/>
  <c r="Q85" i="52"/>
  <c r="R85" i="52"/>
  <c r="S85" i="52"/>
  <c r="T85" i="52"/>
  <c r="V85" i="52"/>
  <c r="W85" i="52"/>
  <c r="X85" i="52"/>
  <c r="Y85" i="52"/>
  <c r="Z85" i="52"/>
  <c r="AA85" i="52"/>
  <c r="AB85" i="52"/>
  <c r="AD85" i="52" s="1"/>
  <c r="AC85" i="52"/>
  <c r="AE85" i="52"/>
  <c r="AF85" i="52"/>
  <c r="AG85" i="52"/>
  <c r="AH85" i="52"/>
  <c r="AI85" i="52"/>
  <c r="AJ85" i="52"/>
  <c r="AK85" i="52"/>
  <c r="AM85" i="52" s="1"/>
  <c r="AL85" i="52"/>
  <c r="AN85" i="52"/>
  <c r="AO85" i="52"/>
  <c r="AP85" i="52"/>
  <c r="AQ85" i="52"/>
  <c r="AR85" i="52"/>
  <c r="I86" i="52"/>
  <c r="J86" i="52"/>
  <c r="K86" i="52"/>
  <c r="L86" i="52" s="1"/>
  <c r="M86" i="52"/>
  <c r="N86" i="52"/>
  <c r="P86" i="52"/>
  <c r="Q86" i="52"/>
  <c r="R86" i="52"/>
  <c r="S86" i="52"/>
  <c r="T86" i="52"/>
  <c r="U86" i="52" s="1"/>
  <c r="V86" i="52"/>
  <c r="X86" i="52" s="1"/>
  <c r="W86" i="52"/>
  <c r="Y86" i="52"/>
  <c r="Z86" i="52"/>
  <c r="AA86" i="52"/>
  <c r="AB86" i="52"/>
  <c r="AC86" i="52"/>
  <c r="AD86" i="52" s="1"/>
  <c r="AE86" i="52"/>
  <c r="AG86" i="52" s="1"/>
  <c r="AF86" i="52"/>
  <c r="AH86" i="52"/>
  <c r="AI86" i="52"/>
  <c r="AJ86" i="52"/>
  <c r="AK86" i="52"/>
  <c r="AL86" i="52"/>
  <c r="AN86" i="52"/>
  <c r="AO86" i="52"/>
  <c r="AP86" i="52"/>
  <c r="AQ86" i="52"/>
  <c r="AR86" i="52"/>
  <c r="AS86" i="52"/>
  <c r="I87" i="52"/>
  <c r="J87" i="52"/>
  <c r="K87" i="52"/>
  <c r="L87" i="52"/>
  <c r="M87" i="52"/>
  <c r="N87" i="52"/>
  <c r="O87" i="52"/>
  <c r="P87" i="52"/>
  <c r="R87" i="52" s="1"/>
  <c r="Q87" i="52"/>
  <c r="S87" i="52"/>
  <c r="T87" i="52"/>
  <c r="U87" i="52"/>
  <c r="V87" i="52"/>
  <c r="W87" i="52"/>
  <c r="X87" i="52"/>
  <c r="Y87" i="52"/>
  <c r="AA87" i="52" s="1"/>
  <c r="Z87" i="52"/>
  <c r="AB87" i="52"/>
  <c r="AC87" i="52"/>
  <c r="AD87" i="52"/>
  <c r="AE87" i="52"/>
  <c r="AF87" i="52"/>
  <c r="AH87" i="52"/>
  <c r="AI87" i="52"/>
  <c r="AJ87" i="52"/>
  <c r="AK87" i="52"/>
  <c r="AL87" i="52"/>
  <c r="AM87" i="52"/>
  <c r="AN87" i="52"/>
  <c r="AP87" i="52" s="1"/>
  <c r="AO87" i="52"/>
  <c r="AQ87" i="52"/>
  <c r="AR87" i="52"/>
  <c r="AS87" i="52"/>
  <c r="I88" i="52"/>
  <c r="J88" i="52"/>
  <c r="L88" i="52" s="1"/>
  <c r="K88" i="52"/>
  <c r="M88" i="52"/>
  <c r="N88" i="52"/>
  <c r="O88" i="52"/>
  <c r="P88" i="52"/>
  <c r="Q88" i="52"/>
  <c r="R88" i="52" s="1"/>
  <c r="S88" i="52"/>
  <c r="U88" i="52" s="1"/>
  <c r="T88" i="52"/>
  <c r="V88" i="52"/>
  <c r="W88" i="52"/>
  <c r="X88" i="52"/>
  <c r="Y88" i="52"/>
  <c r="Z88" i="52"/>
  <c r="AB88" i="52"/>
  <c r="AC88" i="52"/>
  <c r="AD88" i="52"/>
  <c r="AE88" i="52"/>
  <c r="AF88" i="52"/>
  <c r="AG88" i="52"/>
  <c r="AH88" i="52"/>
  <c r="AJ88" i="52" s="1"/>
  <c r="AI88" i="52"/>
  <c r="AK88" i="52"/>
  <c r="AL88" i="52"/>
  <c r="AM88" i="52" s="1"/>
  <c r="AN88" i="52"/>
  <c r="AO88" i="52"/>
  <c r="AP88" i="52"/>
  <c r="AQ88" i="52"/>
  <c r="AS88" i="52" s="1"/>
  <c r="AR88" i="52"/>
  <c r="F89" i="52"/>
  <c r="I89" i="52"/>
  <c r="K89" i="52"/>
  <c r="L89" i="52"/>
  <c r="N89" i="52"/>
  <c r="O89" i="52"/>
  <c r="Q89" i="52"/>
  <c r="R89" i="52"/>
  <c r="T89" i="52"/>
  <c r="U89" i="52" s="1"/>
  <c r="W89" i="52"/>
  <c r="X89" i="52"/>
  <c r="Z89" i="52"/>
  <c r="AA89" i="52"/>
  <c r="AC89" i="52"/>
  <c r="AD89" i="52"/>
  <c r="AF89" i="52"/>
  <c r="AG89" i="52" s="1"/>
  <c r="AI89" i="52"/>
  <c r="AJ89" i="52"/>
  <c r="AL89" i="52"/>
  <c r="AM89" i="52"/>
  <c r="AO89" i="52"/>
  <c r="AP89" i="52"/>
  <c r="AR89" i="52"/>
  <c r="AS89" i="52" s="1"/>
  <c r="I90" i="52"/>
  <c r="J90" i="52"/>
  <c r="L90" i="52" s="1"/>
  <c r="K90" i="52"/>
  <c r="M90" i="52"/>
  <c r="N90" i="52"/>
  <c r="O90" i="52"/>
  <c r="P90" i="52"/>
  <c r="Q90" i="52"/>
  <c r="S90" i="52"/>
  <c r="T90" i="52"/>
  <c r="U90" i="52"/>
  <c r="V90" i="52"/>
  <c r="W90" i="52"/>
  <c r="X90" i="52"/>
  <c r="Y90" i="52"/>
  <c r="AA90" i="52" s="1"/>
  <c r="Z90" i="52"/>
  <c r="AB90" i="52"/>
  <c r="AC90" i="52"/>
  <c r="AD90" i="52"/>
  <c r="AE90" i="52"/>
  <c r="AE98" i="52" s="1"/>
  <c r="AF90" i="52"/>
  <c r="AG90" i="52"/>
  <c r="AH90" i="52"/>
  <c r="AJ90" i="52" s="1"/>
  <c r="AI90" i="52"/>
  <c r="AK90" i="52"/>
  <c r="AL90" i="52"/>
  <c r="AM90" i="52"/>
  <c r="AN90" i="52"/>
  <c r="AN98" i="52" s="1"/>
  <c r="AO90" i="52"/>
  <c r="AQ90" i="52"/>
  <c r="AR90" i="52"/>
  <c r="AS90" i="52"/>
  <c r="I91" i="52"/>
  <c r="J91" i="52"/>
  <c r="K91" i="52"/>
  <c r="M91" i="52"/>
  <c r="N91" i="52"/>
  <c r="O91" i="52"/>
  <c r="P91" i="52"/>
  <c r="Q91" i="52"/>
  <c r="R91" i="52"/>
  <c r="S91" i="52"/>
  <c r="U91" i="52" s="1"/>
  <c r="T91" i="52"/>
  <c r="V91" i="52"/>
  <c r="W91" i="52"/>
  <c r="X91" i="52" s="1"/>
  <c r="Y91" i="52"/>
  <c r="Z91" i="52"/>
  <c r="AA91" i="52"/>
  <c r="AB91" i="52"/>
  <c r="AD91" i="52" s="1"/>
  <c r="AC91" i="52"/>
  <c r="AE91" i="52"/>
  <c r="AF91" i="52"/>
  <c r="AH91" i="52"/>
  <c r="AI91" i="52"/>
  <c r="AK91" i="52"/>
  <c r="AL91" i="52"/>
  <c r="AM91" i="52"/>
  <c r="AN91" i="52"/>
  <c r="AO91" i="52"/>
  <c r="AQ91" i="52"/>
  <c r="AS91" i="52" s="1"/>
  <c r="AR91" i="52"/>
  <c r="I92" i="52"/>
  <c r="J92" i="52"/>
  <c r="L92" i="52" s="1"/>
  <c r="K92" i="52"/>
  <c r="M92" i="52"/>
  <c r="O92" i="52" s="1"/>
  <c r="N92" i="52"/>
  <c r="P92" i="52"/>
  <c r="Q92" i="52"/>
  <c r="R92" i="52"/>
  <c r="S92" i="52"/>
  <c r="U92" i="52" s="1"/>
  <c r="T92" i="52"/>
  <c r="V92" i="52"/>
  <c r="X92" i="52" s="1"/>
  <c r="W92" i="52"/>
  <c r="Y92" i="52"/>
  <c r="Z92" i="52"/>
  <c r="AA92" i="52"/>
  <c r="AB92" i="52"/>
  <c r="AD92" i="52" s="1"/>
  <c r="AC92" i="52"/>
  <c r="AE92" i="52"/>
  <c r="AF92" i="52"/>
  <c r="AG92" i="52"/>
  <c r="AH92" i="52"/>
  <c r="AI92" i="52"/>
  <c r="AJ92" i="52"/>
  <c r="AK92" i="52"/>
  <c r="AM92" i="52" s="1"/>
  <c r="AL92" i="52"/>
  <c r="AN92" i="52"/>
  <c r="AO92" i="52"/>
  <c r="AP92" i="52" s="1"/>
  <c r="AQ92" i="52"/>
  <c r="AR92" i="52"/>
  <c r="AS92" i="52"/>
  <c r="I93" i="52"/>
  <c r="J93" i="52"/>
  <c r="K93" i="52"/>
  <c r="L93" i="52"/>
  <c r="M93" i="52"/>
  <c r="N93" i="52"/>
  <c r="O93" i="52"/>
  <c r="P93" i="52"/>
  <c r="R93" i="52" s="1"/>
  <c r="Q93" i="52"/>
  <c r="S93" i="52"/>
  <c r="U93" i="52" s="1"/>
  <c r="T93" i="52"/>
  <c r="V93" i="52"/>
  <c r="W93" i="52"/>
  <c r="Y93" i="52"/>
  <c r="Z93" i="52"/>
  <c r="AA93" i="52"/>
  <c r="AB93" i="52"/>
  <c r="AD93" i="52" s="1"/>
  <c r="AC93" i="52"/>
  <c r="AE93" i="52"/>
  <c r="AG93" i="52" s="1"/>
  <c r="AF93" i="52"/>
  <c r="AH93" i="52"/>
  <c r="AI93" i="52"/>
  <c r="AJ93" i="52"/>
  <c r="AK93" i="52"/>
  <c r="AM93" i="52" s="1"/>
  <c r="AL93" i="52"/>
  <c r="AN93" i="52"/>
  <c r="AP93" i="52" s="1"/>
  <c r="AO93" i="52"/>
  <c r="AQ93" i="52"/>
  <c r="AR93" i="52"/>
  <c r="AS93" i="52"/>
  <c r="I94" i="52"/>
  <c r="J94" i="52"/>
  <c r="L94" i="52" s="1"/>
  <c r="K94" i="52"/>
  <c r="M94" i="52"/>
  <c r="N94" i="52"/>
  <c r="O94" i="52"/>
  <c r="P94" i="52"/>
  <c r="R94" i="52" s="1"/>
  <c r="Q94" i="52"/>
  <c r="S94" i="52"/>
  <c r="T94" i="52"/>
  <c r="U94" i="52"/>
  <c r="V94" i="52"/>
  <c r="W94" i="52"/>
  <c r="X94" i="52"/>
  <c r="Y94" i="52"/>
  <c r="AA94" i="52" s="1"/>
  <c r="Z94" i="52"/>
  <c r="AB94" i="52"/>
  <c r="AC94" i="52"/>
  <c r="AD94" i="52" s="1"/>
  <c r="AE94" i="52"/>
  <c r="AF94" i="52"/>
  <c r="AG94" i="52"/>
  <c r="AH94" i="52"/>
  <c r="AJ94" i="52" s="1"/>
  <c r="AI94" i="52"/>
  <c r="AK94" i="52"/>
  <c r="AM94" i="52" s="1"/>
  <c r="AL94" i="52"/>
  <c r="AN94" i="52"/>
  <c r="AO94" i="52"/>
  <c r="AQ94" i="52"/>
  <c r="AR94" i="52"/>
  <c r="AS94" i="52"/>
  <c r="I95" i="52"/>
  <c r="J95" i="52"/>
  <c r="K95" i="52"/>
  <c r="M95" i="52"/>
  <c r="N95" i="52"/>
  <c r="O95" i="52"/>
  <c r="P95" i="52"/>
  <c r="R95" i="52" s="1"/>
  <c r="Q95" i="52"/>
  <c r="S95" i="52"/>
  <c r="U95" i="52" s="1"/>
  <c r="T95" i="52"/>
  <c r="V95" i="52"/>
  <c r="W95" i="52"/>
  <c r="X95" i="52"/>
  <c r="Z95" i="52"/>
  <c r="AA95" i="52"/>
  <c r="AC95" i="52"/>
  <c r="AD95" i="52" s="1"/>
  <c r="AF95" i="52"/>
  <c r="AG95" i="52" s="1"/>
  <c r="AI95" i="52"/>
  <c r="AJ95" i="52"/>
  <c r="AL95" i="52"/>
  <c r="AM95" i="52"/>
  <c r="AO95" i="52"/>
  <c r="AP95" i="52" s="1"/>
  <c r="AR95" i="52"/>
  <c r="AS95" i="52" s="1"/>
  <c r="K97" i="52"/>
  <c r="N97" i="52"/>
  <c r="Q97" i="52"/>
  <c r="T97" i="52"/>
  <c r="W97" i="52"/>
  <c r="Z97" i="52"/>
  <c r="AC97" i="52"/>
  <c r="AD97" i="52"/>
  <c r="AF97" i="52"/>
  <c r="AG97" i="52"/>
  <c r="AI97" i="52"/>
  <c r="AJ97" i="52"/>
  <c r="AL97" i="52"/>
  <c r="AM97" i="52"/>
  <c r="AO97" i="52"/>
  <c r="AP97" i="52"/>
  <c r="AR97" i="52"/>
  <c r="AS97" i="52"/>
  <c r="Y98" i="52"/>
  <c r="I107" i="52"/>
  <c r="K107" i="52"/>
  <c r="L107" i="52"/>
  <c r="N107" i="52"/>
  <c r="O107" i="52"/>
  <c r="P107" i="52"/>
  <c r="Q107" i="52"/>
  <c r="R107" i="52"/>
  <c r="S107" i="52"/>
  <c r="T107" i="52"/>
  <c r="U107" i="52"/>
  <c r="W107" i="52"/>
  <c r="X107" i="52"/>
  <c r="Z107" i="52"/>
  <c r="AA107" i="52"/>
  <c r="AC107" i="52"/>
  <c r="AD107" i="52"/>
  <c r="AF107" i="52"/>
  <c r="AG107" i="52"/>
  <c r="AI107" i="52"/>
  <c r="AJ107" i="52"/>
  <c r="AL107" i="52"/>
  <c r="AM107" i="52"/>
  <c r="AO107" i="52"/>
  <c r="AP107" i="52"/>
  <c r="AR107" i="52"/>
  <c r="AS107" i="52"/>
  <c r="AV107" i="52" s="1"/>
  <c r="I108" i="52"/>
  <c r="K108" i="52"/>
  <c r="L108" i="52"/>
  <c r="N108" i="52"/>
  <c r="O108" i="52"/>
  <c r="Q108" i="52"/>
  <c r="R108" i="52"/>
  <c r="T108" i="52"/>
  <c r="U108" i="52"/>
  <c r="W108" i="52"/>
  <c r="X108" i="52"/>
  <c r="Z108" i="52"/>
  <c r="AA108" i="52"/>
  <c r="AC108" i="52"/>
  <c r="AD108" i="52"/>
  <c r="AF108" i="52"/>
  <c r="AG108" i="52"/>
  <c r="AI108" i="52"/>
  <c r="AJ108" i="52"/>
  <c r="AL108" i="52"/>
  <c r="AM108" i="52"/>
  <c r="AO108" i="52"/>
  <c r="AP108" i="52"/>
  <c r="AR108" i="52"/>
  <c r="AS108" i="52"/>
  <c r="I109" i="52"/>
  <c r="J109" i="52"/>
  <c r="K109" i="52"/>
  <c r="M109" i="52"/>
  <c r="O109" i="52" s="1"/>
  <c r="N109" i="52"/>
  <c r="Q109" i="52"/>
  <c r="R109" i="52"/>
  <c r="T109" i="52"/>
  <c r="U109" i="52" s="1"/>
  <c r="W109" i="52"/>
  <c r="X109" i="52"/>
  <c r="Z109" i="52"/>
  <c r="AA109" i="52"/>
  <c r="AC109" i="52"/>
  <c r="AD109" i="52"/>
  <c r="AF109" i="52"/>
  <c r="AG109" i="52" s="1"/>
  <c r="AI109" i="52"/>
  <c r="AJ109" i="52"/>
  <c r="AL109" i="52"/>
  <c r="AM109" i="52"/>
  <c r="AN109" i="52"/>
  <c r="AO109" i="52"/>
  <c r="AP109" i="52"/>
  <c r="AQ109" i="52"/>
  <c r="AR109" i="52"/>
  <c r="I111" i="52"/>
  <c r="J111" i="52"/>
  <c r="K111" i="52"/>
  <c r="L111" i="52" s="1"/>
  <c r="M111" i="52"/>
  <c r="O111" i="52" s="1"/>
  <c r="N111" i="52"/>
  <c r="P111" i="52"/>
  <c r="Q111" i="52"/>
  <c r="R111" i="52"/>
  <c r="S111" i="52"/>
  <c r="T111" i="52"/>
  <c r="U111" i="52" s="1"/>
  <c r="V111" i="52"/>
  <c r="X111" i="52" s="1"/>
  <c r="W111" i="52"/>
  <c r="Y111" i="52"/>
  <c r="Z111" i="52"/>
  <c r="AA111" i="52"/>
  <c r="AB111" i="52"/>
  <c r="AC111" i="52"/>
  <c r="AE111" i="52"/>
  <c r="AG111" i="52" s="1"/>
  <c r="AH111" i="52"/>
  <c r="AJ111" i="52"/>
  <c r="AK111" i="52"/>
  <c r="AM111" i="52"/>
  <c r="AN111" i="52"/>
  <c r="AQ111" i="52"/>
  <c r="AS111" i="52" s="1"/>
  <c r="I112" i="52"/>
  <c r="J112" i="52"/>
  <c r="K112" i="52"/>
  <c r="M112" i="52"/>
  <c r="O112" i="52" s="1"/>
  <c r="N112" i="52"/>
  <c r="P112" i="52"/>
  <c r="Q112" i="52"/>
  <c r="R112" i="52"/>
  <c r="S112" i="52"/>
  <c r="U112" i="52" s="1"/>
  <c r="T112" i="52"/>
  <c r="V112" i="52"/>
  <c r="W112" i="52"/>
  <c r="X112" i="52"/>
  <c r="Y112" i="52"/>
  <c r="Z112" i="52"/>
  <c r="AA112" i="52"/>
  <c r="AB112" i="52"/>
  <c r="AD112" i="52" s="1"/>
  <c r="AC112" i="52"/>
  <c r="AE112" i="52"/>
  <c r="AG112" i="52"/>
  <c r="AH112" i="52"/>
  <c r="AJ112" i="52"/>
  <c r="AK112" i="52"/>
  <c r="AK164" i="52" s="1"/>
  <c r="AM112" i="52"/>
  <c r="AN112" i="52"/>
  <c r="AP112" i="52"/>
  <c r="AQ112" i="52"/>
  <c r="AS112" i="52"/>
  <c r="I114" i="52"/>
  <c r="J114" i="52"/>
  <c r="L114" i="52" s="1"/>
  <c r="K114" i="52"/>
  <c r="M114" i="52"/>
  <c r="N114" i="52"/>
  <c r="O114" i="52"/>
  <c r="P114" i="52"/>
  <c r="Q114" i="52"/>
  <c r="S114" i="52"/>
  <c r="T114" i="52"/>
  <c r="U114" i="52"/>
  <c r="V114" i="52"/>
  <c r="W114" i="52"/>
  <c r="X114" i="52"/>
  <c r="Y114" i="52"/>
  <c r="AA114" i="52" s="1"/>
  <c r="Z114" i="52"/>
  <c r="AC114" i="52"/>
  <c r="AD114" i="52"/>
  <c r="AF114" i="52"/>
  <c r="AG114" i="52" s="1"/>
  <c r="AI114" i="52"/>
  <c r="AJ114" i="52"/>
  <c r="AK114" i="52"/>
  <c r="AM114" i="52" s="1"/>
  <c r="AL114" i="52"/>
  <c r="AN114" i="52"/>
  <c r="AO114" i="52"/>
  <c r="AP114" i="52"/>
  <c r="AQ114" i="52"/>
  <c r="AR114" i="52"/>
  <c r="I115" i="52"/>
  <c r="K115" i="52"/>
  <c r="L115" i="52"/>
  <c r="N115" i="52"/>
  <c r="O115" i="52"/>
  <c r="Q115" i="52"/>
  <c r="R115" i="52" s="1"/>
  <c r="T115" i="52"/>
  <c r="U115" i="52" s="1"/>
  <c r="W115" i="52"/>
  <c r="X115" i="52"/>
  <c r="Y115" i="52"/>
  <c r="Z115" i="52"/>
  <c r="AA115" i="52"/>
  <c r="AB115" i="52"/>
  <c r="AD115" i="52" s="1"/>
  <c r="AC115" i="52"/>
  <c r="AE115" i="52"/>
  <c r="AF115" i="52"/>
  <c r="AG115" i="52"/>
  <c r="AH115" i="52"/>
  <c r="AI115" i="52"/>
  <c r="AK115" i="52"/>
  <c r="AL115" i="52"/>
  <c r="AM115" i="52"/>
  <c r="AN115" i="52"/>
  <c r="AO115" i="52"/>
  <c r="AP115" i="52"/>
  <c r="AS115" i="52"/>
  <c r="I116" i="52"/>
  <c r="J116" i="52"/>
  <c r="K116" i="52"/>
  <c r="L116" i="52"/>
  <c r="M116" i="52"/>
  <c r="N116" i="52"/>
  <c r="P116" i="52"/>
  <c r="Q116" i="52"/>
  <c r="R116" i="52"/>
  <c r="S116" i="52"/>
  <c r="T116" i="52"/>
  <c r="U116" i="52"/>
  <c r="V116" i="52"/>
  <c r="X116" i="52" s="1"/>
  <c r="W116" i="52"/>
  <c r="Y116" i="52"/>
  <c r="AA116" i="52"/>
  <c r="AB116" i="52"/>
  <c r="AD116" i="52"/>
  <c r="AE116" i="52"/>
  <c r="AG116" i="52"/>
  <c r="AH116" i="52"/>
  <c r="AJ116" i="52"/>
  <c r="AK116" i="52"/>
  <c r="AM116" i="52"/>
  <c r="AN116" i="52"/>
  <c r="AP116" i="52"/>
  <c r="AQ116" i="52"/>
  <c r="AS116" i="52"/>
  <c r="I118" i="52"/>
  <c r="J118" i="52"/>
  <c r="K118" i="52"/>
  <c r="L118" i="52"/>
  <c r="M118" i="52"/>
  <c r="O118" i="52" s="1"/>
  <c r="N118" i="52"/>
  <c r="P118" i="52"/>
  <c r="Q118" i="52"/>
  <c r="R118" i="52" s="1"/>
  <c r="T118" i="52"/>
  <c r="U118" i="52"/>
  <c r="W118" i="52"/>
  <c r="X118" i="52" s="1"/>
  <c r="Z118" i="52"/>
  <c r="AA118" i="52" s="1"/>
  <c r="AC118" i="52"/>
  <c r="AD118" i="52"/>
  <c r="AF118" i="52"/>
  <c r="AG118" i="52" s="1"/>
  <c r="AI118" i="52"/>
  <c r="AJ118" i="52" s="1"/>
  <c r="AL118" i="52"/>
  <c r="AM118" i="52" s="1"/>
  <c r="AO118" i="52"/>
  <c r="AP118" i="52"/>
  <c r="AR118" i="52"/>
  <c r="AS118" i="52" s="1"/>
  <c r="AV118" i="52" s="1"/>
  <c r="AW118" i="52" s="1"/>
  <c r="I120" i="52"/>
  <c r="J120" i="52"/>
  <c r="K120" i="52"/>
  <c r="L120" i="52"/>
  <c r="M120" i="52"/>
  <c r="N120" i="52"/>
  <c r="O120" i="52" s="1"/>
  <c r="P120" i="52"/>
  <c r="R120" i="52" s="1"/>
  <c r="Q120" i="52"/>
  <c r="S120" i="52"/>
  <c r="T120" i="52"/>
  <c r="U120" i="52"/>
  <c r="V120" i="52"/>
  <c r="W120" i="52"/>
  <c r="Y120" i="52"/>
  <c r="Z120" i="52"/>
  <c r="AA120" i="52"/>
  <c r="AB120" i="52"/>
  <c r="AC120" i="52"/>
  <c r="AD120" i="52"/>
  <c r="AE120" i="52"/>
  <c r="AG120" i="52" s="1"/>
  <c r="AF120" i="52"/>
  <c r="AH120" i="52"/>
  <c r="AI120" i="52"/>
  <c r="AJ120" i="52" s="1"/>
  <c r="AK120" i="52"/>
  <c r="AL120" i="52"/>
  <c r="AM120" i="52"/>
  <c r="AN120" i="52"/>
  <c r="AP120" i="52" s="1"/>
  <c r="AO120" i="52"/>
  <c r="AQ120" i="52"/>
  <c r="AS120" i="52" s="1"/>
  <c r="AR120" i="52"/>
  <c r="I121" i="52"/>
  <c r="J121" i="52"/>
  <c r="L121" i="52" s="1"/>
  <c r="K121" i="52"/>
  <c r="M121" i="52"/>
  <c r="O121" i="52" s="1"/>
  <c r="N121" i="52"/>
  <c r="P121" i="52"/>
  <c r="Q121" i="52"/>
  <c r="S121" i="52"/>
  <c r="T121" i="52"/>
  <c r="U121" i="52"/>
  <c r="V121" i="52"/>
  <c r="X121" i="52" s="1"/>
  <c r="W121" i="52"/>
  <c r="Y121" i="52"/>
  <c r="AA121" i="52" s="1"/>
  <c r="Z121" i="52"/>
  <c r="AB121" i="52"/>
  <c r="AC121" i="52"/>
  <c r="AD121" i="52"/>
  <c r="AE121" i="52"/>
  <c r="AG121" i="52" s="1"/>
  <c r="AF121" i="52"/>
  <c r="AH121" i="52"/>
  <c r="AJ121" i="52" s="1"/>
  <c r="AI121" i="52"/>
  <c r="AK121" i="52"/>
  <c r="AL121" i="52"/>
  <c r="AM121" i="52"/>
  <c r="AN121" i="52"/>
  <c r="AP121" i="52" s="1"/>
  <c r="AO121" i="52"/>
  <c r="AQ121" i="52"/>
  <c r="AR121" i="52"/>
  <c r="AS121" i="52"/>
  <c r="I123" i="52"/>
  <c r="J123" i="52"/>
  <c r="L123" i="52" s="1"/>
  <c r="K123" i="52"/>
  <c r="M123" i="52"/>
  <c r="N123" i="52"/>
  <c r="O123" i="52"/>
  <c r="P123" i="52"/>
  <c r="Q123" i="52"/>
  <c r="S123" i="52"/>
  <c r="T123" i="52"/>
  <c r="U123" i="52"/>
  <c r="W123" i="52"/>
  <c r="X123" i="52"/>
  <c r="Z123" i="52"/>
  <c r="AA123" i="52"/>
  <c r="AC123" i="52"/>
  <c r="AD123" i="52"/>
  <c r="AF123" i="52"/>
  <c r="AG123" i="52"/>
  <c r="AI123" i="52"/>
  <c r="AJ123" i="52"/>
  <c r="AL123" i="52"/>
  <c r="AM123" i="52"/>
  <c r="AO123" i="52"/>
  <c r="AP123" i="52"/>
  <c r="AR123" i="52"/>
  <c r="AS123" i="52"/>
  <c r="I124" i="52"/>
  <c r="K124" i="52"/>
  <c r="L124" i="52"/>
  <c r="N124" i="52"/>
  <c r="O124" i="52"/>
  <c r="Q124" i="52"/>
  <c r="R124" i="52"/>
  <c r="T124" i="52"/>
  <c r="U124" i="52"/>
  <c r="V124" i="52"/>
  <c r="W124" i="52"/>
  <c r="Y124" i="52"/>
  <c r="Z124" i="52"/>
  <c r="AA124" i="52"/>
  <c r="AB124" i="52"/>
  <c r="AD124" i="52" s="1"/>
  <c r="AC124" i="52"/>
  <c r="AE124" i="52"/>
  <c r="AG124" i="52" s="1"/>
  <c r="AF124" i="52"/>
  <c r="AH124" i="52"/>
  <c r="AI124" i="52"/>
  <c r="AJ124" i="52"/>
  <c r="AK124" i="52"/>
  <c r="AM124" i="52" s="1"/>
  <c r="AL124" i="52"/>
  <c r="AN124" i="52"/>
  <c r="AP124" i="52" s="1"/>
  <c r="AO124" i="52"/>
  <c r="AQ124" i="52"/>
  <c r="AR124" i="52"/>
  <c r="AS124" i="52" s="1"/>
  <c r="I125" i="52"/>
  <c r="J125" i="52"/>
  <c r="L125" i="52" s="1"/>
  <c r="K125" i="52"/>
  <c r="M125" i="52"/>
  <c r="N125" i="52"/>
  <c r="O125" i="52"/>
  <c r="P125" i="52"/>
  <c r="Q125" i="52"/>
  <c r="S125" i="52"/>
  <c r="T125" i="52"/>
  <c r="U125" i="52"/>
  <c r="V125" i="52"/>
  <c r="W125" i="52"/>
  <c r="X125" i="52"/>
  <c r="Y125" i="52"/>
  <c r="AA125" i="52" s="1"/>
  <c r="Z125" i="52"/>
  <c r="AB125" i="52"/>
  <c r="AC125" i="52"/>
  <c r="AD125" i="52"/>
  <c r="AE125" i="52"/>
  <c r="AF125" i="52"/>
  <c r="AG125" i="52"/>
  <c r="AH125" i="52"/>
  <c r="AJ125" i="52" s="1"/>
  <c r="AI125" i="52"/>
  <c r="AK125" i="52"/>
  <c r="AL125" i="52"/>
  <c r="AM125" i="52"/>
  <c r="AN125" i="52"/>
  <c r="AO125" i="52"/>
  <c r="AQ125" i="52"/>
  <c r="AR125" i="52"/>
  <c r="AS125" i="52"/>
  <c r="I127" i="52"/>
  <c r="J127" i="52"/>
  <c r="L127" i="52" s="1"/>
  <c r="K127" i="52"/>
  <c r="M127" i="52"/>
  <c r="O127" i="52" s="1"/>
  <c r="N127" i="52"/>
  <c r="P127" i="52"/>
  <c r="Q127" i="52"/>
  <c r="S127" i="52"/>
  <c r="T127" i="52"/>
  <c r="U127" i="52"/>
  <c r="V127" i="52"/>
  <c r="X127" i="52" s="1"/>
  <c r="W127" i="52"/>
  <c r="Y127" i="52"/>
  <c r="AA127" i="52" s="1"/>
  <c r="Z127" i="52"/>
  <c r="AB127" i="52"/>
  <c r="AC127" i="52"/>
  <c r="AD127" i="52"/>
  <c r="AE127" i="52"/>
  <c r="AF127" i="52"/>
  <c r="AH127" i="52"/>
  <c r="AJ127" i="52" s="1"/>
  <c r="AI127" i="52"/>
  <c r="AK127" i="52"/>
  <c r="AL127" i="52"/>
  <c r="AM127" i="52"/>
  <c r="AN127" i="52"/>
  <c r="AO127" i="52"/>
  <c r="AQ127" i="52"/>
  <c r="AR127" i="52"/>
  <c r="AS127" i="52"/>
  <c r="I128" i="52"/>
  <c r="J128" i="52"/>
  <c r="K128" i="52"/>
  <c r="M128" i="52"/>
  <c r="N128" i="52"/>
  <c r="O128" i="52"/>
  <c r="P128" i="52"/>
  <c r="Q128" i="52"/>
  <c r="R128" i="52"/>
  <c r="S128" i="52"/>
  <c r="U128" i="52" s="1"/>
  <c r="T128" i="52"/>
  <c r="V128" i="52"/>
  <c r="W128" i="52"/>
  <c r="X128" i="52"/>
  <c r="Y128" i="52"/>
  <c r="Z128" i="52"/>
  <c r="AA128" i="52"/>
  <c r="AB128" i="52"/>
  <c r="AD128" i="52" s="1"/>
  <c r="AC128" i="52"/>
  <c r="AE128" i="52"/>
  <c r="AG128" i="52" s="1"/>
  <c r="AF128" i="52"/>
  <c r="AH128" i="52"/>
  <c r="AI128" i="52"/>
  <c r="AK128" i="52"/>
  <c r="AL128" i="52"/>
  <c r="AM128" i="52"/>
  <c r="AN128" i="52"/>
  <c r="AP128" i="52" s="1"/>
  <c r="AO128" i="52"/>
  <c r="AQ128" i="52"/>
  <c r="AS128" i="52" s="1"/>
  <c r="AR128" i="52"/>
  <c r="I130" i="52"/>
  <c r="J130" i="52"/>
  <c r="K130" i="52"/>
  <c r="L130" i="52" s="1"/>
  <c r="M130" i="52"/>
  <c r="O130" i="52" s="1"/>
  <c r="N130" i="52"/>
  <c r="Q130" i="52"/>
  <c r="R130" i="52"/>
  <c r="T130" i="52"/>
  <c r="U130" i="52" s="1"/>
  <c r="W130" i="52"/>
  <c r="X130" i="52" s="1"/>
  <c r="Z130" i="52"/>
  <c r="AA130" i="52"/>
  <c r="AC130" i="52"/>
  <c r="AD130" i="52"/>
  <c r="AF130" i="52"/>
  <c r="AG130" i="52" s="1"/>
  <c r="AI130" i="52"/>
  <c r="AJ130" i="52" s="1"/>
  <c r="AL130" i="52"/>
  <c r="AM130" i="52"/>
  <c r="AO130" i="52"/>
  <c r="AP130" i="52"/>
  <c r="AR130" i="52"/>
  <c r="AS130" i="52" s="1"/>
  <c r="I131" i="52"/>
  <c r="K131" i="52"/>
  <c r="L131" i="52"/>
  <c r="N131" i="52"/>
  <c r="O131" i="52"/>
  <c r="P131" i="52"/>
  <c r="R131" i="52" s="1"/>
  <c r="Q131" i="52"/>
  <c r="S131" i="52"/>
  <c r="U131" i="52" s="1"/>
  <c r="T131" i="52"/>
  <c r="V131" i="52"/>
  <c r="W131" i="52"/>
  <c r="X131" i="52"/>
  <c r="Y131" i="52"/>
  <c r="AA131" i="52" s="1"/>
  <c r="Z131" i="52"/>
  <c r="AB131" i="52"/>
  <c r="AD131" i="52" s="1"/>
  <c r="AC131" i="52"/>
  <c r="AE131" i="52"/>
  <c r="AF131" i="52"/>
  <c r="AG131" i="52"/>
  <c r="AH131" i="52"/>
  <c r="AJ131" i="52" s="1"/>
  <c r="AI131" i="52"/>
  <c r="AK131" i="52"/>
  <c r="AL131" i="52"/>
  <c r="AM131" i="52"/>
  <c r="AN131" i="52"/>
  <c r="AO131" i="52"/>
  <c r="AP131" i="52"/>
  <c r="AQ131" i="52"/>
  <c r="AS131" i="52" s="1"/>
  <c r="AR131" i="52"/>
  <c r="I133" i="52"/>
  <c r="J133" i="52"/>
  <c r="K133" i="52"/>
  <c r="L133" i="52"/>
  <c r="M133" i="52"/>
  <c r="O133" i="52" s="1"/>
  <c r="N133" i="52"/>
  <c r="P133" i="52"/>
  <c r="Q133" i="52"/>
  <c r="R133" i="52" s="1"/>
  <c r="S133" i="52"/>
  <c r="T133" i="52"/>
  <c r="V133" i="52"/>
  <c r="W133" i="52"/>
  <c r="X133" i="52"/>
  <c r="Y133" i="52"/>
  <c r="Z133" i="52"/>
  <c r="AA133" i="52" s="1"/>
  <c r="AB133" i="52"/>
  <c r="AD133" i="52" s="1"/>
  <c r="AC133" i="52"/>
  <c r="AE133" i="52"/>
  <c r="AF133" i="52"/>
  <c r="AG133" i="52"/>
  <c r="AH133" i="52"/>
  <c r="AI133" i="52"/>
  <c r="AJ133" i="52" s="1"/>
  <c r="AK133" i="52"/>
  <c r="AM133" i="52" s="1"/>
  <c r="AL133" i="52"/>
  <c r="AO133" i="52"/>
  <c r="AP133" i="52"/>
  <c r="AR133" i="52"/>
  <c r="AS133" i="52" s="1"/>
  <c r="I134" i="52"/>
  <c r="K134" i="52"/>
  <c r="L134" i="52" s="1"/>
  <c r="N134" i="52"/>
  <c r="O134" i="52"/>
  <c r="Q134" i="52"/>
  <c r="R134" i="52"/>
  <c r="T134" i="52"/>
  <c r="U134" i="52" s="1"/>
  <c r="W134" i="52"/>
  <c r="X134" i="52" s="1"/>
  <c r="Z134" i="52"/>
  <c r="AA134" i="52" s="1"/>
  <c r="AC134" i="52"/>
  <c r="AD134" i="52"/>
  <c r="AF134" i="52"/>
  <c r="AG134" i="52" s="1"/>
  <c r="AI134" i="52"/>
  <c r="AJ134" i="52" s="1"/>
  <c r="AL134" i="52"/>
  <c r="AM134" i="52" s="1"/>
  <c r="AV134" i="52" s="1"/>
  <c r="AN134" i="52"/>
  <c r="AP134" i="52" s="1"/>
  <c r="AO134" i="52"/>
  <c r="AQ134" i="52"/>
  <c r="AS134" i="52" s="1"/>
  <c r="AR134" i="52"/>
  <c r="I135" i="52"/>
  <c r="J135" i="52"/>
  <c r="L135" i="52" s="1"/>
  <c r="K135" i="52"/>
  <c r="M135" i="52"/>
  <c r="O135" i="52" s="1"/>
  <c r="N135" i="52"/>
  <c r="P135" i="52"/>
  <c r="Q135" i="52"/>
  <c r="R135" i="52"/>
  <c r="S135" i="52"/>
  <c r="U135" i="52" s="1"/>
  <c r="T135" i="52"/>
  <c r="V135" i="52"/>
  <c r="W135" i="52"/>
  <c r="X135" i="52"/>
  <c r="Y135" i="52"/>
  <c r="Z135" i="52"/>
  <c r="AA135" i="52"/>
  <c r="AB135" i="52"/>
  <c r="AD135" i="52" s="1"/>
  <c r="AC135" i="52"/>
  <c r="AE135" i="52"/>
  <c r="AF135" i="52"/>
  <c r="AG135" i="52"/>
  <c r="AH135" i="52"/>
  <c r="AI135" i="52"/>
  <c r="AJ135" i="52"/>
  <c r="AK135" i="52"/>
  <c r="AM135" i="52" s="1"/>
  <c r="AL135" i="52"/>
  <c r="AN135" i="52"/>
  <c r="AO135" i="52"/>
  <c r="AP135" i="52"/>
  <c r="AQ135" i="52"/>
  <c r="AR135" i="52"/>
  <c r="I137" i="52"/>
  <c r="J137" i="52"/>
  <c r="L137" i="52" s="1"/>
  <c r="K137" i="52"/>
  <c r="M137" i="52"/>
  <c r="O137" i="52" s="1"/>
  <c r="N137" i="52"/>
  <c r="P137" i="52"/>
  <c r="Q137" i="52"/>
  <c r="R137" i="52"/>
  <c r="S137" i="52"/>
  <c r="U137" i="52" s="1"/>
  <c r="T137" i="52"/>
  <c r="V137" i="52"/>
  <c r="W137" i="52"/>
  <c r="X137" i="52"/>
  <c r="Y137" i="52"/>
  <c r="Z137" i="52"/>
  <c r="AA137" i="52"/>
  <c r="AB137" i="52"/>
  <c r="AD137" i="52" s="1"/>
  <c r="AC137" i="52"/>
  <c r="AE137" i="52"/>
  <c r="AF137" i="52"/>
  <c r="AG137" i="52"/>
  <c r="AH137" i="52"/>
  <c r="AI137" i="52"/>
  <c r="AJ137" i="52"/>
  <c r="AK137" i="52"/>
  <c r="AM137" i="52" s="1"/>
  <c r="AV137" i="52" s="1"/>
  <c r="AL137" i="52"/>
  <c r="AO137" i="52"/>
  <c r="AP137" i="52"/>
  <c r="AR137" i="52"/>
  <c r="AS137" i="52"/>
  <c r="I138" i="52"/>
  <c r="K138" i="52"/>
  <c r="L138" i="52" s="1"/>
  <c r="N138" i="52"/>
  <c r="O138" i="52"/>
  <c r="Q138" i="52"/>
  <c r="R138" i="52"/>
  <c r="T138" i="52"/>
  <c r="U138" i="52" s="1"/>
  <c r="W138" i="52"/>
  <c r="X138" i="52" s="1"/>
  <c r="Z138" i="52"/>
  <c r="AA138" i="52"/>
  <c r="AC138" i="52"/>
  <c r="AD138" i="52"/>
  <c r="AF138" i="52"/>
  <c r="AG138" i="52" s="1"/>
  <c r="AI138" i="52"/>
  <c r="AJ138" i="52" s="1"/>
  <c r="AL138" i="52"/>
  <c r="AM138" i="52"/>
  <c r="AN138" i="52"/>
  <c r="AO138" i="52"/>
  <c r="AQ138" i="52"/>
  <c r="AS138" i="52" s="1"/>
  <c r="AR138" i="52"/>
  <c r="I139" i="52"/>
  <c r="J139" i="52"/>
  <c r="K139" i="52"/>
  <c r="L139" i="52"/>
  <c r="M139" i="52"/>
  <c r="O139" i="52" s="1"/>
  <c r="N139" i="52"/>
  <c r="P139" i="52"/>
  <c r="Q139" i="52"/>
  <c r="R139" i="52"/>
  <c r="S139" i="52"/>
  <c r="T139" i="52"/>
  <c r="V139" i="52"/>
  <c r="W139" i="52"/>
  <c r="X139" i="52"/>
  <c r="Y139" i="52"/>
  <c r="Z139" i="52"/>
  <c r="AA139" i="52"/>
  <c r="AB139" i="52"/>
  <c r="AD139" i="52" s="1"/>
  <c r="AC139" i="52"/>
  <c r="AE139" i="52"/>
  <c r="AF139" i="52"/>
  <c r="AG139" i="52"/>
  <c r="AH139" i="52"/>
  <c r="AI139" i="52"/>
  <c r="AJ139" i="52"/>
  <c r="AK139" i="52"/>
  <c r="AM139" i="52" s="1"/>
  <c r="AL139" i="52"/>
  <c r="AN139" i="52"/>
  <c r="AP139" i="52" s="1"/>
  <c r="AO139" i="52"/>
  <c r="AQ139" i="52"/>
  <c r="AR139" i="52"/>
  <c r="I141" i="52"/>
  <c r="J141" i="52"/>
  <c r="K141" i="52"/>
  <c r="M141" i="52"/>
  <c r="O141" i="52" s="1"/>
  <c r="N141" i="52"/>
  <c r="P141" i="52"/>
  <c r="Q141" i="52"/>
  <c r="R141" i="52" s="1"/>
  <c r="S141" i="52"/>
  <c r="U141" i="52" s="1"/>
  <c r="T141" i="52"/>
  <c r="V141" i="52"/>
  <c r="W141" i="52"/>
  <c r="X141" i="52"/>
  <c r="Y141" i="52"/>
  <c r="Z141" i="52"/>
  <c r="AA141" i="52" s="1"/>
  <c r="AB141" i="52"/>
  <c r="AD141" i="52" s="1"/>
  <c r="AC141" i="52"/>
  <c r="AE141" i="52"/>
  <c r="AF141" i="52"/>
  <c r="AG141" i="52"/>
  <c r="AH141" i="52"/>
  <c r="AI141" i="52"/>
  <c r="AJ141" i="52" s="1"/>
  <c r="AK141" i="52"/>
  <c r="AM141" i="52" s="1"/>
  <c r="AL141" i="52"/>
  <c r="AN141" i="52"/>
  <c r="AO141" i="52"/>
  <c r="AP141" i="52"/>
  <c r="AQ141" i="52"/>
  <c r="AR141" i="52"/>
  <c r="F142" i="52"/>
  <c r="I142" i="52"/>
  <c r="K142" i="52"/>
  <c r="L142" i="52" s="1"/>
  <c r="N142" i="52"/>
  <c r="O142" i="52"/>
  <c r="Q142" i="52"/>
  <c r="R142" i="52"/>
  <c r="T142" i="52"/>
  <c r="U142" i="52"/>
  <c r="W142" i="52"/>
  <c r="X142" i="52" s="1"/>
  <c r="Z142" i="52"/>
  <c r="AA142" i="52"/>
  <c r="AC142" i="52"/>
  <c r="AD142" i="52"/>
  <c r="AF142" i="52"/>
  <c r="AG142" i="52"/>
  <c r="AI142" i="52"/>
  <c r="AJ142" i="52" s="1"/>
  <c r="AL142" i="52"/>
  <c r="AM142" i="52"/>
  <c r="AO142" i="52"/>
  <c r="AP142" i="52"/>
  <c r="AR142" i="52"/>
  <c r="AS142" i="52"/>
  <c r="AV142" i="52" s="1"/>
  <c r="AZ142" i="52" s="1"/>
  <c r="I144" i="52"/>
  <c r="J144" i="52"/>
  <c r="L144" i="52" s="1"/>
  <c r="K144" i="52"/>
  <c r="M144" i="52"/>
  <c r="N144" i="52"/>
  <c r="O144" i="52"/>
  <c r="P144" i="52"/>
  <c r="Q144" i="52"/>
  <c r="S144" i="52"/>
  <c r="T144" i="52"/>
  <c r="U144" i="52"/>
  <c r="V144" i="52"/>
  <c r="W144" i="52"/>
  <c r="X144" i="52"/>
  <c r="Y144" i="52"/>
  <c r="AA144" i="52" s="1"/>
  <c r="Z144" i="52"/>
  <c r="AB144" i="52"/>
  <c r="AC144" i="52"/>
  <c r="AD144" i="52"/>
  <c r="AE144" i="52"/>
  <c r="AF144" i="52"/>
  <c r="AG144" i="52"/>
  <c r="AH144" i="52"/>
  <c r="AJ144" i="52" s="1"/>
  <c r="AI144" i="52"/>
  <c r="AK144" i="52"/>
  <c r="AL144" i="52"/>
  <c r="AM144" i="52"/>
  <c r="AN144" i="52"/>
  <c r="AO144" i="52"/>
  <c r="AQ144" i="52"/>
  <c r="AR144" i="52"/>
  <c r="AS144" i="52"/>
  <c r="I145" i="52"/>
  <c r="J145" i="52"/>
  <c r="L145" i="52" s="1"/>
  <c r="K145" i="52"/>
  <c r="M145" i="52"/>
  <c r="N145" i="52"/>
  <c r="O145" i="52"/>
  <c r="P145" i="52"/>
  <c r="Q145" i="52"/>
  <c r="R145" i="52"/>
  <c r="S145" i="52"/>
  <c r="U145" i="52" s="1"/>
  <c r="T145" i="52"/>
  <c r="V145" i="52"/>
  <c r="W145" i="52"/>
  <c r="X145" i="52" s="1"/>
  <c r="Y145" i="52"/>
  <c r="Z145" i="52"/>
  <c r="AA145" i="52"/>
  <c r="AB145" i="52"/>
  <c r="AC145" i="52"/>
  <c r="AD145" i="52" s="1"/>
  <c r="AE145" i="52"/>
  <c r="AF145" i="52"/>
  <c r="AH145" i="52"/>
  <c r="AI145" i="52"/>
  <c r="AK145" i="52"/>
  <c r="AL145" i="52"/>
  <c r="AM145" i="52"/>
  <c r="AN145" i="52"/>
  <c r="AP145" i="52" s="1"/>
  <c r="AO145" i="52"/>
  <c r="AQ145" i="52"/>
  <c r="AS145" i="52" s="1"/>
  <c r="AR145" i="52"/>
  <c r="I146" i="52"/>
  <c r="J146" i="52"/>
  <c r="L146" i="52" s="1"/>
  <c r="K146" i="52"/>
  <c r="M146" i="52"/>
  <c r="O146" i="52" s="1"/>
  <c r="N146" i="52"/>
  <c r="P146" i="52"/>
  <c r="Q146" i="52"/>
  <c r="R146" i="52"/>
  <c r="S146" i="52"/>
  <c r="U146" i="52" s="1"/>
  <c r="T146" i="52"/>
  <c r="V146" i="52"/>
  <c r="W146" i="52"/>
  <c r="X146" i="52" s="1"/>
  <c r="Y146" i="52"/>
  <c r="Z146" i="52"/>
  <c r="AA146" i="52"/>
  <c r="AB146" i="52"/>
  <c r="AD146" i="52" s="1"/>
  <c r="AC146" i="52"/>
  <c r="AE146" i="52"/>
  <c r="AF146" i="52"/>
  <c r="AG146" i="52"/>
  <c r="AH146" i="52"/>
  <c r="AI146" i="52"/>
  <c r="AJ146" i="52"/>
  <c r="AK146" i="52"/>
  <c r="AM146" i="52" s="1"/>
  <c r="AL146" i="52"/>
  <c r="AN146" i="52"/>
  <c r="AO146" i="52"/>
  <c r="AP146" i="52" s="1"/>
  <c r="AR146" i="52"/>
  <c r="AS146" i="52"/>
  <c r="I148" i="52"/>
  <c r="J148" i="52"/>
  <c r="K148" i="52"/>
  <c r="L148" i="52" s="1"/>
  <c r="M148" i="52"/>
  <c r="N148" i="52"/>
  <c r="O148" i="52"/>
  <c r="P148" i="52"/>
  <c r="Q148" i="52"/>
  <c r="R148" i="52" s="1"/>
  <c r="S148" i="52"/>
  <c r="U148" i="52" s="1"/>
  <c r="T148" i="52"/>
  <c r="V148" i="52"/>
  <c r="W148" i="52"/>
  <c r="Y148" i="52"/>
  <c r="Z148" i="52"/>
  <c r="AA148" i="52"/>
  <c r="AB148" i="52"/>
  <c r="AD148" i="52" s="1"/>
  <c r="AC148" i="52"/>
  <c r="AE148" i="52"/>
  <c r="AG148" i="52" s="1"/>
  <c r="AF148" i="52"/>
  <c r="AH148" i="52"/>
  <c r="AI148" i="52"/>
  <c r="AJ148" i="52"/>
  <c r="AK148" i="52"/>
  <c r="AM148" i="52" s="1"/>
  <c r="AL148" i="52"/>
  <c r="AN148" i="52"/>
  <c r="AO148" i="52"/>
  <c r="AP148" i="52" s="1"/>
  <c r="AQ148" i="52"/>
  <c r="AR148" i="52"/>
  <c r="AS148" i="52"/>
  <c r="I149" i="52"/>
  <c r="J149" i="52"/>
  <c r="K149" i="52"/>
  <c r="L149" i="52" s="1"/>
  <c r="M149" i="52"/>
  <c r="N149" i="52"/>
  <c r="O149" i="52"/>
  <c r="P149" i="52"/>
  <c r="Q149" i="52"/>
  <c r="S149" i="52"/>
  <c r="T149" i="52"/>
  <c r="U149" i="52"/>
  <c r="V149" i="52"/>
  <c r="W149" i="52"/>
  <c r="X149" i="52"/>
  <c r="Y149" i="52"/>
  <c r="AA149" i="52" s="1"/>
  <c r="Z149" i="52"/>
  <c r="AB149" i="52"/>
  <c r="AC149" i="52"/>
  <c r="AD149" i="52" s="1"/>
  <c r="AE149" i="52"/>
  <c r="AF149" i="52"/>
  <c r="AG149" i="52"/>
  <c r="AH149" i="52"/>
  <c r="AI149" i="52"/>
  <c r="AJ149" i="52" s="1"/>
  <c r="AK149" i="52"/>
  <c r="AL149" i="52"/>
  <c r="AN149" i="52"/>
  <c r="AO149" i="52"/>
  <c r="AQ149" i="52"/>
  <c r="AR149" i="52"/>
  <c r="AS149" i="52"/>
  <c r="I151" i="52"/>
  <c r="J151" i="52"/>
  <c r="K151" i="52"/>
  <c r="L151" i="52" s="1"/>
  <c r="M151" i="52"/>
  <c r="N151" i="52"/>
  <c r="O151" i="52"/>
  <c r="Q151" i="52"/>
  <c r="R151" i="52" s="1"/>
  <c r="T151" i="52"/>
  <c r="U151" i="52"/>
  <c r="W151" i="52"/>
  <c r="X151" i="52"/>
  <c r="Z151" i="52"/>
  <c r="AA151" i="52" s="1"/>
  <c r="AC151" i="52"/>
  <c r="AD151" i="52" s="1"/>
  <c r="AF151" i="52"/>
  <c r="AG151" i="52"/>
  <c r="AI151" i="52"/>
  <c r="AJ151" i="52"/>
  <c r="AL151" i="52"/>
  <c r="AM151" i="52"/>
  <c r="AO151" i="52"/>
  <c r="AP151" i="52" s="1"/>
  <c r="AR151" i="52"/>
  <c r="AS151" i="52"/>
  <c r="I152" i="52"/>
  <c r="K152" i="52"/>
  <c r="L152" i="52" s="1"/>
  <c r="N152" i="52"/>
  <c r="O152" i="52"/>
  <c r="P152" i="52"/>
  <c r="Q152" i="52"/>
  <c r="R152" i="52"/>
  <c r="S152" i="52"/>
  <c r="U152" i="52" s="1"/>
  <c r="T152" i="52"/>
  <c r="V152" i="52"/>
  <c r="W152" i="52"/>
  <c r="X152" i="52" s="1"/>
  <c r="Y152" i="52"/>
  <c r="Z152" i="52"/>
  <c r="AA152" i="52"/>
  <c r="AB152" i="52"/>
  <c r="AD152" i="52" s="1"/>
  <c r="AC152" i="52"/>
  <c r="AE152" i="52"/>
  <c r="AF152" i="52"/>
  <c r="AG152" i="52"/>
  <c r="AH152" i="52"/>
  <c r="AI152" i="52"/>
  <c r="AJ152" i="52"/>
  <c r="AK152" i="52"/>
  <c r="AM152" i="52" s="1"/>
  <c r="AL152" i="52"/>
  <c r="AN152" i="52"/>
  <c r="AO152" i="52"/>
  <c r="AP152" i="52"/>
  <c r="AQ152" i="52"/>
  <c r="AR152" i="52"/>
  <c r="AS152" i="52"/>
  <c r="I154" i="52"/>
  <c r="J154" i="52"/>
  <c r="L154" i="52" s="1"/>
  <c r="K154" i="52"/>
  <c r="M154" i="52"/>
  <c r="O154" i="52" s="1"/>
  <c r="N154" i="52"/>
  <c r="P154" i="52"/>
  <c r="Q154" i="52"/>
  <c r="R154" i="52"/>
  <c r="S154" i="52"/>
  <c r="U154" i="52" s="1"/>
  <c r="T154" i="52"/>
  <c r="V154" i="52"/>
  <c r="W154" i="52"/>
  <c r="X154" i="52" s="1"/>
  <c r="Y154" i="52"/>
  <c r="Z154" i="52"/>
  <c r="AA154" i="52"/>
  <c r="AB154" i="52"/>
  <c r="AC154" i="52"/>
  <c r="AE154" i="52"/>
  <c r="AF154" i="52"/>
  <c r="AG154" i="52"/>
  <c r="AH154" i="52"/>
  <c r="AI154" i="52"/>
  <c r="AJ154" i="52"/>
  <c r="AK154" i="52"/>
  <c r="AM154" i="52" s="1"/>
  <c r="AL154" i="52"/>
  <c r="AN154" i="52"/>
  <c r="AO154" i="52"/>
  <c r="AP154" i="52"/>
  <c r="AQ154" i="52"/>
  <c r="AR154" i="52"/>
  <c r="AS154" i="52"/>
  <c r="I156" i="52"/>
  <c r="J156" i="52"/>
  <c r="L156" i="52" s="1"/>
  <c r="K156" i="52"/>
  <c r="M156" i="52"/>
  <c r="O156" i="52" s="1"/>
  <c r="N156" i="52"/>
  <c r="P156" i="52"/>
  <c r="Q156" i="52"/>
  <c r="R156" i="52"/>
  <c r="S156" i="52"/>
  <c r="U156" i="52" s="1"/>
  <c r="T156" i="52"/>
  <c r="V156" i="52"/>
  <c r="W156" i="52"/>
  <c r="X156" i="52" s="1"/>
  <c r="Y156" i="52"/>
  <c r="Z156" i="52"/>
  <c r="AA156" i="52"/>
  <c r="AB156" i="52"/>
  <c r="AD156" i="52" s="1"/>
  <c r="AC156" i="52"/>
  <c r="AE156" i="52"/>
  <c r="AF156" i="52"/>
  <c r="AG156" i="52"/>
  <c r="AH156" i="52"/>
  <c r="AI156" i="52"/>
  <c r="AJ156" i="52"/>
  <c r="AK156" i="52"/>
  <c r="AM156" i="52" s="1"/>
  <c r="AL156" i="52"/>
  <c r="AN156" i="52"/>
  <c r="AO156" i="52"/>
  <c r="AP156" i="52"/>
  <c r="AQ156" i="52"/>
  <c r="AR156" i="52"/>
  <c r="AS156" i="52"/>
  <c r="I158" i="52"/>
  <c r="J158" i="52"/>
  <c r="K158" i="52"/>
  <c r="L158" i="52"/>
  <c r="M158" i="52"/>
  <c r="N158" i="52"/>
  <c r="P158" i="52"/>
  <c r="Q158" i="52"/>
  <c r="R158" i="52"/>
  <c r="S158" i="52"/>
  <c r="T158" i="52"/>
  <c r="U158" i="52"/>
  <c r="V158" i="52"/>
  <c r="X158" i="52" s="1"/>
  <c r="W158" i="52"/>
  <c r="Y158" i="52"/>
  <c r="Z158" i="52"/>
  <c r="AA158" i="52"/>
  <c r="AB158" i="52"/>
  <c r="AC158" i="52"/>
  <c r="AD158" i="52"/>
  <c r="AE158" i="52"/>
  <c r="AF158" i="52"/>
  <c r="AG158" i="52" s="1"/>
  <c r="AH158" i="52"/>
  <c r="AI158" i="52"/>
  <c r="AJ158" i="52"/>
  <c r="AK158" i="52"/>
  <c r="AL158" i="52"/>
  <c r="AN158" i="52"/>
  <c r="AO158" i="52"/>
  <c r="AP158" i="52"/>
  <c r="AQ158" i="52"/>
  <c r="AR158" i="52"/>
  <c r="AS158" i="52"/>
  <c r="I159" i="52"/>
  <c r="J159" i="52"/>
  <c r="K159" i="52"/>
  <c r="L159" i="52"/>
  <c r="M159" i="52"/>
  <c r="N159" i="52"/>
  <c r="O159" i="52"/>
  <c r="P159" i="52"/>
  <c r="Q159" i="52"/>
  <c r="R159" i="52" s="1"/>
  <c r="S159" i="52"/>
  <c r="T159" i="52"/>
  <c r="U159" i="52"/>
  <c r="V159" i="52"/>
  <c r="X159" i="52" s="1"/>
  <c r="W159" i="52"/>
  <c r="Y159" i="52"/>
  <c r="Z159" i="52"/>
  <c r="AA159" i="52"/>
  <c r="AB159" i="52"/>
  <c r="AC159" i="52"/>
  <c r="AD159" i="52"/>
  <c r="AE159" i="52"/>
  <c r="AG159" i="52" s="1"/>
  <c r="AF159" i="52"/>
  <c r="AH159" i="52"/>
  <c r="AI159" i="52"/>
  <c r="AJ159" i="52"/>
  <c r="AK159" i="52"/>
  <c r="AL159" i="52"/>
  <c r="AM159" i="52"/>
  <c r="AN159" i="52"/>
  <c r="AO159" i="52"/>
  <c r="AP159" i="52" s="1"/>
  <c r="AQ159" i="52"/>
  <c r="AS159" i="52" s="1"/>
  <c r="AV159" i="52" s="1"/>
  <c r="AZ159" i="52" s="1"/>
  <c r="AR159" i="52"/>
  <c r="I160" i="52"/>
  <c r="J160" i="52"/>
  <c r="K160" i="52"/>
  <c r="L160" i="52"/>
  <c r="M160" i="52"/>
  <c r="N160" i="52"/>
  <c r="O160" i="52"/>
  <c r="P160" i="52"/>
  <c r="R160" i="52" s="1"/>
  <c r="Q160" i="52"/>
  <c r="S160" i="52"/>
  <c r="T160" i="52"/>
  <c r="U160" i="52" s="1"/>
  <c r="V160" i="52"/>
  <c r="W160" i="52"/>
  <c r="X160" i="52"/>
  <c r="Y160" i="52"/>
  <c r="Z160" i="52"/>
  <c r="AA160" i="52" s="1"/>
  <c r="AB160" i="52"/>
  <c r="AD160" i="52" s="1"/>
  <c r="AC160" i="52"/>
  <c r="AE160" i="52"/>
  <c r="AF160" i="52"/>
  <c r="AH160" i="52"/>
  <c r="AI160" i="52"/>
  <c r="AJ160" i="52"/>
  <c r="AK160" i="52"/>
  <c r="AM160" i="52" s="1"/>
  <c r="AL160" i="52"/>
  <c r="AN160" i="52"/>
  <c r="AP160" i="52" s="1"/>
  <c r="AO160" i="52"/>
  <c r="AQ160" i="52"/>
  <c r="AR160" i="52"/>
  <c r="AS160" i="52"/>
  <c r="I161" i="52"/>
  <c r="J161" i="52"/>
  <c r="K161" i="52"/>
  <c r="L161" i="52" s="1"/>
  <c r="M161" i="52"/>
  <c r="N161" i="52"/>
  <c r="O161" i="52"/>
  <c r="P161" i="52"/>
  <c r="R161" i="52" s="1"/>
  <c r="Q161" i="52"/>
  <c r="S161" i="52"/>
  <c r="T161" i="52"/>
  <c r="U161" i="52"/>
  <c r="V161" i="52"/>
  <c r="W161" i="52"/>
  <c r="X161" i="52"/>
  <c r="Z161" i="52"/>
  <c r="AA161" i="52" s="1"/>
  <c r="AC161" i="52"/>
  <c r="AD161" i="52" s="1"/>
  <c r="AF161" i="52"/>
  <c r="AG161" i="52" s="1"/>
  <c r="AI161" i="52"/>
  <c r="AJ161" i="52"/>
  <c r="AL161" i="52"/>
  <c r="AM161" i="52" s="1"/>
  <c r="AO161" i="52"/>
  <c r="AP161" i="52" s="1"/>
  <c r="AR161" i="52"/>
  <c r="AS161" i="52"/>
  <c r="AV161" i="52" s="1"/>
  <c r="AZ161" i="52" s="1"/>
  <c r="K163" i="52"/>
  <c r="N163" i="52"/>
  <c r="Q163" i="52"/>
  <c r="T163" i="52"/>
  <c r="W163" i="52"/>
  <c r="Z163" i="52"/>
  <c r="AC163" i="52"/>
  <c r="AD163" i="52"/>
  <c r="AF163" i="52"/>
  <c r="AG163" i="52"/>
  <c r="AI163" i="52"/>
  <c r="AJ163" i="52"/>
  <c r="AL163" i="52"/>
  <c r="AM163" i="52"/>
  <c r="AO163" i="52"/>
  <c r="AP163" i="52"/>
  <c r="AR163" i="52"/>
  <c r="AS163" i="52"/>
  <c r="V164" i="52"/>
  <c r="F2" i="48"/>
  <c r="I15" i="48"/>
  <c r="J15" i="48"/>
  <c r="K15" i="48"/>
  <c r="L15" i="48"/>
  <c r="N15" i="48"/>
  <c r="O15" i="48" s="1"/>
  <c r="Q15" i="48"/>
  <c r="R15" i="48" s="1"/>
  <c r="T15" i="48"/>
  <c r="U15" i="48" s="1"/>
  <c r="W15" i="48"/>
  <c r="X15" i="48"/>
  <c r="Z15" i="48"/>
  <c r="AA15" i="48"/>
  <c r="AC15" i="48"/>
  <c r="AD15" i="48" s="1"/>
  <c r="AF15" i="48"/>
  <c r="AG15" i="48" s="1"/>
  <c r="AI15" i="48"/>
  <c r="AJ15" i="48"/>
  <c r="AL15" i="48"/>
  <c r="AM15" i="48"/>
  <c r="AO15" i="48"/>
  <c r="AP15" i="48" s="1"/>
  <c r="AR15" i="48"/>
  <c r="AS15" i="48" s="1"/>
  <c r="I16" i="48"/>
  <c r="J16" i="48"/>
  <c r="K16" i="48"/>
  <c r="L16" i="48"/>
  <c r="M16" i="48"/>
  <c r="N16" i="48"/>
  <c r="P16" i="48"/>
  <c r="Q16" i="48"/>
  <c r="S16" i="48"/>
  <c r="T16" i="48"/>
  <c r="V16" i="48"/>
  <c r="W16" i="48"/>
  <c r="X16" i="48"/>
  <c r="Y16" i="48"/>
  <c r="Z16" i="48"/>
  <c r="AB16" i="48"/>
  <c r="AC16" i="48"/>
  <c r="AD16" i="48"/>
  <c r="AE16" i="48"/>
  <c r="AF16" i="48"/>
  <c r="AG16" i="48"/>
  <c r="AH16" i="48"/>
  <c r="AJ16" i="48" s="1"/>
  <c r="AI16" i="48"/>
  <c r="AK16" i="48"/>
  <c r="AL16" i="48"/>
  <c r="AN16" i="48"/>
  <c r="AO16" i="48"/>
  <c r="AP16" i="48" s="1"/>
  <c r="AQ16" i="48"/>
  <c r="AS16" i="48" s="1"/>
  <c r="AR16" i="48"/>
  <c r="I17" i="48"/>
  <c r="J17" i="48"/>
  <c r="K17" i="48"/>
  <c r="L17" i="48" s="1"/>
  <c r="M17" i="48"/>
  <c r="O17" i="48" s="1"/>
  <c r="N17" i="48"/>
  <c r="P17" i="48"/>
  <c r="Q17" i="48"/>
  <c r="R17" i="48"/>
  <c r="T17" i="48"/>
  <c r="U17" i="48"/>
  <c r="W17" i="48"/>
  <c r="X17" i="48"/>
  <c r="Z17" i="48"/>
  <c r="AA17" i="48"/>
  <c r="AC17" i="48"/>
  <c r="AD17" i="48"/>
  <c r="AF17" i="48"/>
  <c r="AG17" i="48"/>
  <c r="AI17" i="48"/>
  <c r="AJ17" i="48"/>
  <c r="AL17" i="48"/>
  <c r="AM17" i="48"/>
  <c r="AN17" i="48"/>
  <c r="AO17" i="48"/>
  <c r="AP17" i="48"/>
  <c r="AQ17" i="48"/>
  <c r="AS17" i="48" s="1"/>
  <c r="AR17" i="48"/>
  <c r="I18" i="48"/>
  <c r="J18" i="48"/>
  <c r="K18" i="48"/>
  <c r="L18" i="48"/>
  <c r="M18" i="48"/>
  <c r="N18" i="48"/>
  <c r="O18" i="48" s="1"/>
  <c r="P18" i="48"/>
  <c r="R18" i="48" s="1"/>
  <c r="Q18" i="48"/>
  <c r="S18" i="48"/>
  <c r="T18" i="48"/>
  <c r="U18" i="48"/>
  <c r="V18" i="48"/>
  <c r="W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 s="1"/>
  <c r="AK18" i="48"/>
  <c r="AL18" i="48"/>
  <c r="AM18" i="48"/>
  <c r="AO18" i="48"/>
  <c r="AP18" i="48"/>
  <c r="AR18" i="48"/>
  <c r="AS18" i="48"/>
  <c r="G19" i="48"/>
  <c r="I19" i="48"/>
  <c r="J19" i="48"/>
  <c r="M19" i="48"/>
  <c r="N19" i="48"/>
  <c r="O19" i="48" s="1"/>
  <c r="P19" i="48"/>
  <c r="Q19" i="48"/>
  <c r="R19" i="48"/>
  <c r="S19" i="48"/>
  <c r="T19" i="48"/>
  <c r="V19" i="48"/>
  <c r="X19" i="48" s="1"/>
  <c r="W19" i="48"/>
  <c r="Y19" i="48"/>
  <c r="Z19" i="48"/>
  <c r="AB19" i="48"/>
  <c r="AE19" i="48"/>
  <c r="AF19" i="48"/>
  <c r="AG19" i="48"/>
  <c r="AH19" i="48"/>
  <c r="AK19" i="48"/>
  <c r="AL19" i="48"/>
  <c r="AM19" i="48"/>
  <c r="AN19" i="48"/>
  <c r="AO19" i="48"/>
  <c r="AP19" i="48"/>
  <c r="AQ19" i="48"/>
  <c r="I20" i="48"/>
  <c r="J20" i="48"/>
  <c r="K20" i="48"/>
  <c r="L20" i="48" s="1"/>
  <c r="M20" i="48"/>
  <c r="N20" i="48"/>
  <c r="P20" i="48"/>
  <c r="Q20" i="48"/>
  <c r="R20" i="48"/>
  <c r="S20" i="48"/>
  <c r="T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 s="1"/>
  <c r="AH20" i="48"/>
  <c r="AI20" i="48"/>
  <c r="AJ20" i="48"/>
  <c r="AK20" i="48"/>
  <c r="AL20" i="48"/>
  <c r="AN20" i="48"/>
  <c r="AO20" i="48"/>
  <c r="AQ20" i="48"/>
  <c r="AR20" i="48"/>
  <c r="I21" i="48"/>
  <c r="K21" i="48"/>
  <c r="L21" i="48" s="1"/>
  <c r="M21" i="48"/>
  <c r="O21" i="48" s="1"/>
  <c r="N21" i="48"/>
  <c r="P21" i="48"/>
  <c r="Q21" i="48"/>
  <c r="S21" i="48"/>
  <c r="U21" i="48" s="1"/>
  <c r="T21" i="48"/>
  <c r="V21" i="48"/>
  <c r="X21" i="48" s="1"/>
  <c r="W21" i="48"/>
  <c r="Y21" i="48"/>
  <c r="Z21" i="48"/>
  <c r="AA21" i="48"/>
  <c r="AB21" i="48"/>
  <c r="AD21" i="48" s="1"/>
  <c r="AC21" i="48"/>
  <c r="AE21" i="48"/>
  <c r="AG21" i="48" s="1"/>
  <c r="AF21" i="48"/>
  <c r="AH21" i="48"/>
  <c r="AI21" i="48"/>
  <c r="AJ21" i="48"/>
  <c r="AK21" i="48"/>
  <c r="AM21" i="48" s="1"/>
  <c r="AL21" i="48"/>
  <c r="AN21" i="48"/>
  <c r="AO21" i="48"/>
  <c r="AQ21" i="48"/>
  <c r="AR21" i="48"/>
  <c r="AS21" i="48"/>
  <c r="I22" i="48"/>
  <c r="J22" i="48"/>
  <c r="L22" i="48" s="1"/>
  <c r="K22" i="48"/>
  <c r="M22" i="48"/>
  <c r="N22" i="48"/>
  <c r="O22" i="48"/>
  <c r="P22" i="48"/>
  <c r="Q22" i="48"/>
  <c r="S22" i="48"/>
  <c r="U22" i="48" s="1"/>
  <c r="T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K22" i="48"/>
  <c r="AM22" i="48" s="1"/>
  <c r="AL22" i="48"/>
  <c r="AN22" i="48"/>
  <c r="AO22" i="48"/>
  <c r="AQ22" i="48"/>
  <c r="AR22" i="48"/>
  <c r="AS22" i="48"/>
  <c r="I23" i="48"/>
  <c r="J23" i="48"/>
  <c r="K23" i="48"/>
  <c r="M23" i="48"/>
  <c r="N23" i="48"/>
  <c r="O23" i="48"/>
  <c r="P23" i="48"/>
  <c r="Q23" i="48"/>
  <c r="T23" i="48"/>
  <c r="U23" i="48" s="1"/>
  <c r="W23" i="48"/>
  <c r="X23" i="48" s="1"/>
  <c r="Z23" i="48"/>
  <c r="AA23" i="48"/>
  <c r="AC23" i="48"/>
  <c r="AD23" i="48"/>
  <c r="AF23" i="48"/>
  <c r="AG23" i="48" s="1"/>
  <c r="AI23" i="48"/>
  <c r="AJ23" i="48" s="1"/>
  <c r="AL23" i="48"/>
  <c r="AM23" i="48"/>
  <c r="AO23" i="48"/>
  <c r="AP23" i="48"/>
  <c r="AR23" i="48"/>
  <c r="AS23" i="48" s="1"/>
  <c r="I24" i="48"/>
  <c r="J24" i="48"/>
  <c r="K24" i="48"/>
  <c r="L24" i="48"/>
  <c r="M24" i="48"/>
  <c r="N24" i="48"/>
  <c r="P24" i="48"/>
  <c r="Q24" i="48"/>
  <c r="R24" i="48"/>
  <c r="S24" i="48"/>
  <c r="T24" i="48"/>
  <c r="U24" i="48"/>
  <c r="V24" i="48"/>
  <c r="W24" i="48"/>
  <c r="X24" i="48"/>
  <c r="Y24" i="48"/>
  <c r="Z24" i="48"/>
  <c r="AA24" i="48" s="1"/>
  <c r="AB24" i="48"/>
  <c r="AC24" i="48"/>
  <c r="AD24" i="48"/>
  <c r="AE24" i="48"/>
  <c r="AF24" i="48"/>
  <c r="AH24" i="48"/>
  <c r="AI24" i="48"/>
  <c r="AK24" i="48"/>
  <c r="AL24" i="48"/>
  <c r="AN24" i="48"/>
  <c r="AO24" i="48"/>
  <c r="AP24" i="48"/>
  <c r="AQ24" i="48"/>
  <c r="AS24" i="48" s="1"/>
  <c r="AR24" i="48"/>
  <c r="I25" i="48"/>
  <c r="K25" i="48"/>
  <c r="L25" i="48" s="1"/>
  <c r="N25" i="48"/>
  <c r="O25" i="48"/>
  <c r="Q25" i="48"/>
  <c r="R25" i="48" s="1"/>
  <c r="T25" i="48"/>
  <c r="U25" i="48" s="1"/>
  <c r="W25" i="48"/>
  <c r="X25" i="48" s="1"/>
  <c r="Z25" i="48"/>
  <c r="AA25" i="48"/>
  <c r="AC25" i="48"/>
  <c r="AD25" i="48"/>
  <c r="AF25" i="48"/>
  <c r="AG25" i="48" s="1"/>
  <c r="AI25" i="48"/>
  <c r="AJ25" i="48" s="1"/>
  <c r="AL25" i="48"/>
  <c r="AM25" i="48"/>
  <c r="AN25" i="48"/>
  <c r="AO25" i="48"/>
  <c r="AP25" i="48"/>
  <c r="AQ25" i="48"/>
  <c r="AS25" i="48" s="1"/>
  <c r="AR25" i="48"/>
  <c r="I26" i="48"/>
  <c r="K26" i="48"/>
  <c r="L26" i="48"/>
  <c r="N26" i="48"/>
  <c r="O26" i="48" s="1"/>
  <c r="Q26" i="48"/>
  <c r="R26" i="48" s="1"/>
  <c r="S26" i="48"/>
  <c r="U26" i="48" s="1"/>
  <c r="T26" i="48"/>
  <c r="V26" i="48"/>
  <c r="W26" i="48"/>
  <c r="Y26" i="48"/>
  <c r="Z26" i="48"/>
  <c r="AA26" i="48"/>
  <c r="AB26" i="48"/>
  <c r="AD26" i="48" s="1"/>
  <c r="AC26" i="48"/>
  <c r="AE26" i="48"/>
  <c r="AF26" i="48"/>
  <c r="AG26" i="48"/>
  <c r="AH26" i="48"/>
  <c r="AI26" i="48"/>
  <c r="AJ26" i="48"/>
  <c r="AK26" i="48"/>
  <c r="AM26" i="48" s="1"/>
  <c r="AL26" i="48"/>
  <c r="AN26" i="48"/>
  <c r="AO26" i="48"/>
  <c r="AQ26" i="48"/>
  <c r="AR26" i="48"/>
  <c r="AS26" i="48"/>
  <c r="I27" i="48"/>
  <c r="K27" i="48"/>
  <c r="L27" i="48"/>
  <c r="N27" i="48"/>
  <c r="O27" i="48"/>
  <c r="Q27" i="48"/>
  <c r="R27" i="48"/>
  <c r="S27" i="48"/>
  <c r="U27" i="48" s="1"/>
  <c r="T27" i="48"/>
  <c r="V27" i="48"/>
  <c r="W27" i="48"/>
  <c r="X27" i="48"/>
  <c r="Y27" i="48"/>
  <c r="Z27" i="48"/>
  <c r="AA27" i="48"/>
  <c r="AB27" i="48"/>
  <c r="AD27" i="48" s="1"/>
  <c r="AC27" i="48"/>
  <c r="AE27" i="48"/>
  <c r="AF27" i="48"/>
  <c r="AG27" i="48"/>
  <c r="AH27" i="48"/>
  <c r="AI27" i="48"/>
  <c r="AJ27" i="48"/>
  <c r="AK27" i="48"/>
  <c r="AM27" i="48" s="1"/>
  <c r="AV27" i="48" s="1"/>
  <c r="AL27" i="48"/>
  <c r="AO27" i="48"/>
  <c r="AP27" i="48"/>
  <c r="AR27" i="48"/>
  <c r="AS27" i="48"/>
  <c r="I28" i="48"/>
  <c r="J28" i="48"/>
  <c r="L28" i="48" s="1"/>
  <c r="K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B28" i="48"/>
  <c r="AC28" i="48"/>
  <c r="AD28" i="48"/>
  <c r="AE28" i="48"/>
  <c r="AF28" i="48"/>
  <c r="AH28" i="48"/>
  <c r="AI28" i="48"/>
  <c r="AJ28" i="48"/>
  <c r="AK28" i="48"/>
  <c r="AL28" i="48"/>
  <c r="AM28" i="48"/>
  <c r="AN28" i="48"/>
  <c r="AO28" i="48"/>
  <c r="AP28" i="48"/>
  <c r="AQ28" i="48"/>
  <c r="AR28" i="48"/>
  <c r="AS28" i="48" s="1"/>
  <c r="G30" i="48"/>
  <c r="I30" i="48"/>
  <c r="J30" i="48"/>
  <c r="K30" i="48"/>
  <c r="M30" i="48"/>
  <c r="N30" i="48"/>
  <c r="P30" i="48"/>
  <c r="Q30" i="48"/>
  <c r="S30" i="48"/>
  <c r="V30" i="48"/>
  <c r="W30" i="48"/>
  <c r="X30" i="48" s="1"/>
  <c r="Y30" i="48"/>
  <c r="AB30" i="48"/>
  <c r="AC30" i="48"/>
  <c r="AD30" i="48"/>
  <c r="AE30" i="48"/>
  <c r="AG30" i="48" s="1"/>
  <c r="AF30" i="48"/>
  <c r="AH30" i="48"/>
  <c r="AI30" i="48"/>
  <c r="AK30" i="48"/>
  <c r="AL30" i="48"/>
  <c r="AM30" i="48"/>
  <c r="AN30" i="48"/>
  <c r="AP30" i="48" s="1"/>
  <c r="AO30" i="48"/>
  <c r="AQ30" i="48"/>
  <c r="G31" i="48"/>
  <c r="I31" i="48"/>
  <c r="J31" i="48"/>
  <c r="M31" i="48"/>
  <c r="N31" i="48"/>
  <c r="O31" i="48" s="1"/>
  <c r="P31" i="48"/>
  <c r="Q31" i="48"/>
  <c r="R31" i="48"/>
  <c r="S31" i="48"/>
  <c r="T31" i="48"/>
  <c r="V31" i="48"/>
  <c r="W31" i="48"/>
  <c r="Y31" i="48"/>
  <c r="AA31" i="48" s="1"/>
  <c r="Z31" i="48"/>
  <c r="AB31" i="48"/>
  <c r="AE31" i="48"/>
  <c r="AF31" i="48"/>
  <c r="AG31" i="48"/>
  <c r="AH31" i="48"/>
  <c r="AK31" i="48"/>
  <c r="AL31" i="48"/>
  <c r="AM31" i="48"/>
  <c r="AN31" i="48"/>
  <c r="AO31" i="48"/>
  <c r="AP31" i="48"/>
  <c r="AQ31" i="48"/>
  <c r="AR31" i="48"/>
  <c r="G32" i="48"/>
  <c r="Q32" i="48" s="1"/>
  <c r="R32" i="48" s="1"/>
  <c r="I32" i="48"/>
  <c r="J32" i="48"/>
  <c r="L32" i="48" s="1"/>
  <c r="K32" i="48"/>
  <c r="M32" i="48"/>
  <c r="P32" i="48"/>
  <c r="S32" i="48"/>
  <c r="V32" i="48"/>
  <c r="W32" i="48"/>
  <c r="X32" i="48" s="1"/>
  <c r="Y32" i="48"/>
  <c r="AB32" i="48"/>
  <c r="AC32" i="48"/>
  <c r="AE32" i="48"/>
  <c r="AF32" i="48"/>
  <c r="AH32" i="48"/>
  <c r="AK32" i="48"/>
  <c r="AN32" i="48"/>
  <c r="AO32" i="48"/>
  <c r="AP32" i="48"/>
  <c r="AQ32" i="48"/>
  <c r="G33" i="48"/>
  <c r="I33" i="48"/>
  <c r="J33" i="48"/>
  <c r="L33" i="48" s="1"/>
  <c r="K33" i="48"/>
  <c r="M33" i="48"/>
  <c r="P33" i="48"/>
  <c r="Q33" i="48"/>
  <c r="R33" i="48"/>
  <c r="S33" i="48"/>
  <c r="U33" i="48" s="1"/>
  <c r="T33" i="48"/>
  <c r="V33" i="48"/>
  <c r="Y33" i="48"/>
  <c r="Z33" i="48"/>
  <c r="AA33" i="48" s="1"/>
  <c r="AB33" i="48"/>
  <c r="AE33" i="48"/>
  <c r="AF33" i="48"/>
  <c r="AG33" i="48" s="1"/>
  <c r="AH33" i="48"/>
  <c r="AI33" i="48"/>
  <c r="AJ33" i="48" s="1"/>
  <c r="AK33" i="48"/>
  <c r="AL33" i="48"/>
  <c r="AN33" i="48"/>
  <c r="AP33" i="48" s="1"/>
  <c r="AO33" i="48"/>
  <c r="AQ33" i="48"/>
  <c r="AR33" i="48"/>
  <c r="G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V34" i="48"/>
  <c r="X34" i="48" s="1"/>
  <c r="W34" i="48"/>
  <c r="Y34" i="48"/>
  <c r="Z34" i="48"/>
  <c r="AA34" i="48"/>
  <c r="AB34" i="48"/>
  <c r="AC34" i="48"/>
  <c r="AE34" i="48"/>
  <c r="AF34" i="48"/>
  <c r="AG34" i="48"/>
  <c r="AH34" i="48"/>
  <c r="AI34" i="48"/>
  <c r="AJ34" i="48"/>
  <c r="AK34" i="48"/>
  <c r="AM34" i="48" s="1"/>
  <c r="AL34" i="48"/>
  <c r="AN34" i="48"/>
  <c r="AO34" i="48"/>
  <c r="AP34" i="48"/>
  <c r="AQ34" i="48"/>
  <c r="AR34" i="48"/>
  <c r="AS34" i="48"/>
  <c r="G35" i="48"/>
  <c r="AI35" i="48" s="1"/>
  <c r="AJ35" i="48" s="1"/>
  <c r="J35" i="48"/>
  <c r="M35" i="48"/>
  <c r="N35" i="48"/>
  <c r="P35" i="48"/>
  <c r="S35" i="48"/>
  <c r="V35" i="48"/>
  <c r="Y35" i="48"/>
  <c r="Z35" i="48"/>
  <c r="AA35" i="48"/>
  <c r="AB35" i="48"/>
  <c r="AE35" i="48"/>
  <c r="AH35" i="48"/>
  <c r="AK35" i="48"/>
  <c r="AN35" i="48"/>
  <c r="AQ35" i="48"/>
  <c r="AR35" i="48"/>
  <c r="AS35" i="48" s="1"/>
  <c r="G36" i="48"/>
  <c r="Z36" i="48" s="1"/>
  <c r="I36" i="48"/>
  <c r="J36" i="48"/>
  <c r="K36" i="48"/>
  <c r="L36" i="48"/>
  <c r="M36" i="48"/>
  <c r="O36" i="48" s="1"/>
  <c r="N36" i="48"/>
  <c r="P36" i="48"/>
  <c r="R36" i="48" s="1"/>
  <c r="Q36" i="48"/>
  <c r="S36" i="48"/>
  <c r="T36" i="48"/>
  <c r="U36" i="48"/>
  <c r="V36" i="48"/>
  <c r="X36" i="48" s="1"/>
  <c r="W36" i="48"/>
  <c r="Y36" i="48"/>
  <c r="AA36" i="48" s="1"/>
  <c r="AB36" i="48"/>
  <c r="AC36" i="48"/>
  <c r="AD36" i="48"/>
  <c r="AE36" i="48"/>
  <c r="AF36" i="48"/>
  <c r="AG36" i="48"/>
  <c r="AH36" i="48"/>
  <c r="AI36" i="48"/>
  <c r="AJ36" i="48" s="1"/>
  <c r="AK36" i="48"/>
  <c r="AL36" i="48"/>
  <c r="AM36" i="48"/>
  <c r="AN36" i="48"/>
  <c r="AP36" i="48" s="1"/>
  <c r="AO36" i="48"/>
  <c r="AQ36" i="48"/>
  <c r="AR36" i="48"/>
  <c r="I38" i="48"/>
  <c r="J38" i="48"/>
  <c r="K38" i="48"/>
  <c r="M38" i="48"/>
  <c r="O38" i="48" s="1"/>
  <c r="N38" i="48"/>
  <c r="P38" i="48"/>
  <c r="R38" i="48"/>
  <c r="S38" i="48"/>
  <c r="U38" i="48"/>
  <c r="V38" i="48"/>
  <c r="X38" i="48"/>
  <c r="Y38" i="48"/>
  <c r="AA38" i="48" s="1"/>
  <c r="AB38" i="48"/>
  <c r="AD38" i="48"/>
  <c r="AE38" i="48"/>
  <c r="AG38" i="48"/>
  <c r="AH38" i="48"/>
  <c r="AJ38" i="48"/>
  <c r="AK38" i="48"/>
  <c r="AM38" i="48" s="1"/>
  <c r="AN38" i="48"/>
  <c r="AP38" i="48"/>
  <c r="AQ38" i="48"/>
  <c r="AS38" i="48"/>
  <c r="I39" i="48"/>
  <c r="J39" i="48"/>
  <c r="L39" i="48" s="1"/>
  <c r="K39" i="48"/>
  <c r="M39" i="48"/>
  <c r="N39" i="48"/>
  <c r="O39" i="48"/>
  <c r="P39" i="48"/>
  <c r="Q39" i="48"/>
  <c r="R39" i="48"/>
  <c r="S39" i="48"/>
  <c r="U39" i="48" s="1"/>
  <c r="T39" i="48"/>
  <c r="V39" i="48"/>
  <c r="X39" i="48" s="1"/>
  <c r="W39" i="48"/>
  <c r="Y39" i="48"/>
  <c r="Z39" i="48"/>
  <c r="AA39" i="48"/>
  <c r="AB39" i="48"/>
  <c r="AC39" i="48"/>
  <c r="AE39" i="48"/>
  <c r="AF39" i="48"/>
  <c r="AG39" i="48"/>
  <c r="AH39" i="48"/>
  <c r="AI39" i="48"/>
  <c r="AJ39" i="48"/>
  <c r="AK39" i="48"/>
  <c r="AM39" i="48" s="1"/>
  <c r="AL39" i="48"/>
  <c r="AN39" i="48"/>
  <c r="AO39" i="48"/>
  <c r="AP39" i="48"/>
  <c r="AQ39" i="48"/>
  <c r="AS39" i="48"/>
  <c r="I40" i="48"/>
  <c r="J40" i="48"/>
  <c r="K40" i="48"/>
  <c r="L40" i="48"/>
  <c r="M40" i="48"/>
  <c r="N40" i="48"/>
  <c r="O40" i="48"/>
  <c r="P40" i="48"/>
  <c r="R40" i="48" s="1"/>
  <c r="Q40" i="48"/>
  <c r="S40" i="48"/>
  <c r="T40" i="48"/>
  <c r="U40" i="48"/>
  <c r="V40" i="48"/>
  <c r="W40" i="48"/>
  <c r="X40" i="48"/>
  <c r="Y40" i="48"/>
  <c r="AA40" i="48" s="1"/>
  <c r="Z40" i="48"/>
  <c r="AB40" i="48"/>
  <c r="AC40" i="48"/>
  <c r="AD40" i="48"/>
  <c r="AE40" i="48"/>
  <c r="AG40" i="48" s="1"/>
  <c r="AF40" i="48"/>
  <c r="AH40" i="48"/>
  <c r="AJ40" i="48" s="1"/>
  <c r="AI40" i="48"/>
  <c r="AK40" i="48"/>
  <c r="AL40" i="48"/>
  <c r="AM40" i="48"/>
  <c r="AN40" i="48"/>
  <c r="AO40" i="48"/>
  <c r="AP40" i="48"/>
  <c r="AQ40" i="48"/>
  <c r="AR40" i="48"/>
  <c r="AS40" i="48"/>
  <c r="AV40" i="48" s="1"/>
  <c r="I41" i="48"/>
  <c r="J41" i="48"/>
  <c r="L41" i="48" s="1"/>
  <c r="K41" i="48"/>
  <c r="M41" i="48"/>
  <c r="N41" i="48"/>
  <c r="O41" i="48"/>
  <c r="P41" i="48"/>
  <c r="Q41" i="48"/>
  <c r="R41" i="48"/>
  <c r="S41" i="48"/>
  <c r="T41" i="48"/>
  <c r="V41" i="48"/>
  <c r="X41" i="48" s="1"/>
  <c r="W41" i="48"/>
  <c r="Y41" i="48"/>
  <c r="Z41" i="48"/>
  <c r="AB41" i="48"/>
  <c r="AD41" i="48" s="1"/>
  <c r="AC41" i="48"/>
  <c r="AE41" i="48"/>
  <c r="AG41" i="48" s="1"/>
  <c r="AF41" i="48"/>
  <c r="AH41" i="48"/>
  <c r="AI41" i="48"/>
  <c r="AJ41" i="48"/>
  <c r="AK41" i="48"/>
  <c r="AL41" i="48"/>
  <c r="AM41" i="48" s="1"/>
  <c r="AN41" i="48"/>
  <c r="AO41" i="48"/>
  <c r="AP41" i="48" s="1"/>
  <c r="AQ41" i="48"/>
  <c r="AR41" i="48"/>
  <c r="I42" i="48"/>
  <c r="J42" i="48"/>
  <c r="L42" i="48" s="1"/>
  <c r="K42" i="48"/>
  <c r="M42" i="48"/>
  <c r="N42" i="48"/>
  <c r="P42" i="48"/>
  <c r="Q42" i="48"/>
  <c r="R42" i="48"/>
  <c r="S42" i="48"/>
  <c r="U42" i="48" s="1"/>
  <c r="T42" i="48"/>
  <c r="V42" i="48"/>
  <c r="W42" i="48"/>
  <c r="X42" i="48"/>
  <c r="Y42" i="48"/>
  <c r="Z42" i="48"/>
  <c r="AA42" i="48"/>
  <c r="AB42" i="48"/>
  <c r="AD42" i="48" s="1"/>
  <c r="AC42" i="48"/>
  <c r="AE42" i="48"/>
  <c r="AF42" i="48"/>
  <c r="AG42" i="48"/>
  <c r="AH42" i="48"/>
  <c r="AI42" i="48"/>
  <c r="AJ42" i="48"/>
  <c r="AK42" i="48"/>
  <c r="AL42" i="48"/>
  <c r="AN42" i="48"/>
  <c r="AO42" i="48"/>
  <c r="AP42" i="48"/>
  <c r="AQ42" i="48"/>
  <c r="AR42" i="48"/>
  <c r="I43" i="48"/>
  <c r="J43" i="48"/>
  <c r="K43" i="48"/>
  <c r="L43" i="48"/>
  <c r="M43" i="48"/>
  <c r="N43" i="48"/>
  <c r="P43" i="48"/>
  <c r="R43" i="48" s="1"/>
  <c r="Q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H43" i="48"/>
  <c r="AJ43" i="48" s="1"/>
  <c r="AI43" i="48"/>
  <c r="AK43" i="48"/>
  <c r="AL43" i="48"/>
  <c r="AN43" i="48"/>
  <c r="AO43" i="48"/>
  <c r="AP43" i="48"/>
  <c r="AQ43" i="48"/>
  <c r="AS43" i="48" s="1"/>
  <c r="AR43" i="48"/>
  <c r="I44" i="48"/>
  <c r="J44" i="48"/>
  <c r="L44" i="48" s="1"/>
  <c r="K44" i="48"/>
  <c r="M44" i="48"/>
  <c r="O44" i="48" s="1"/>
  <c r="N44" i="48"/>
  <c r="P44" i="48"/>
  <c r="Q44" i="48"/>
  <c r="R44" i="48"/>
  <c r="S44" i="48"/>
  <c r="T44" i="48"/>
  <c r="U44" i="48" s="1"/>
  <c r="V44" i="48"/>
  <c r="W44" i="48"/>
  <c r="X44" i="48" s="1"/>
  <c r="Y44" i="48"/>
  <c r="Z44" i="48"/>
  <c r="AB44" i="48"/>
  <c r="AD44" i="48" s="1"/>
  <c r="AC44" i="48"/>
  <c r="AE44" i="48"/>
  <c r="AF44" i="48"/>
  <c r="AH44" i="48"/>
  <c r="AI44" i="48"/>
  <c r="AJ44" i="48"/>
  <c r="AK44" i="48"/>
  <c r="AM44" i="48" s="1"/>
  <c r="AL44" i="48"/>
  <c r="AN44" i="48"/>
  <c r="AO44" i="48"/>
  <c r="AP44" i="48"/>
  <c r="AQ44" i="48"/>
  <c r="AR44" i="48"/>
  <c r="AS44" i="48"/>
  <c r="I45" i="48"/>
  <c r="J45" i="48"/>
  <c r="K45" i="48"/>
  <c r="L45" i="48"/>
  <c r="M45" i="48"/>
  <c r="N45" i="48"/>
  <c r="O45" i="48"/>
  <c r="P45" i="48"/>
  <c r="R45" i="48" s="1"/>
  <c r="Q45" i="48"/>
  <c r="S45" i="48"/>
  <c r="T45" i="48"/>
  <c r="U45" i="48" s="1"/>
  <c r="V45" i="48"/>
  <c r="W45" i="48"/>
  <c r="X45" i="48"/>
  <c r="Y45" i="48"/>
  <c r="Z45" i="48"/>
  <c r="AB45" i="48"/>
  <c r="AC45" i="48"/>
  <c r="AD45" i="48"/>
  <c r="AE45" i="48"/>
  <c r="AF45" i="48"/>
  <c r="AG45" i="48"/>
  <c r="AH45" i="48"/>
  <c r="AJ45" i="48" s="1"/>
  <c r="AI45" i="48"/>
  <c r="AK45" i="48"/>
  <c r="AL45" i="48"/>
  <c r="AM45" i="48"/>
  <c r="AN45" i="48"/>
  <c r="AO45" i="48"/>
  <c r="AP45" i="48"/>
  <c r="AQ45" i="48"/>
  <c r="AR45" i="48"/>
  <c r="AS45" i="48" s="1"/>
  <c r="I46" i="48"/>
  <c r="J46" i="48"/>
  <c r="K46" i="48"/>
  <c r="L46" i="48" s="1"/>
  <c r="M46" i="48"/>
  <c r="N46" i="48"/>
  <c r="O46" i="48" s="1"/>
  <c r="P46" i="48"/>
  <c r="Q46" i="48"/>
  <c r="R46" i="48"/>
  <c r="S46" i="48"/>
  <c r="T46" i="48"/>
  <c r="V46" i="48"/>
  <c r="W46" i="48"/>
  <c r="X46" i="48"/>
  <c r="Y46" i="48"/>
  <c r="Z46" i="48"/>
  <c r="AA46" i="48"/>
  <c r="AB46" i="48"/>
  <c r="AC46" i="48"/>
  <c r="AD46" i="48"/>
  <c r="AE46" i="48"/>
  <c r="AF46" i="48"/>
  <c r="AG46" i="48" s="1"/>
  <c r="AH46" i="48"/>
  <c r="AI46" i="48"/>
  <c r="AJ46" i="48"/>
  <c r="AK46" i="48"/>
  <c r="AL46" i="48"/>
  <c r="AM46" i="48" s="1"/>
  <c r="AN46" i="48"/>
  <c r="AO46" i="48"/>
  <c r="AQ46" i="48"/>
  <c r="AR46" i="48"/>
  <c r="I48" i="48"/>
  <c r="J48" i="48"/>
  <c r="L48" i="48" s="1"/>
  <c r="K48" i="48"/>
  <c r="M48" i="48"/>
  <c r="N48" i="48"/>
  <c r="P48" i="48"/>
  <c r="Q48" i="48"/>
  <c r="R48" i="48"/>
  <c r="S48" i="48"/>
  <c r="U48" i="48" s="1"/>
  <c r="T48" i="48"/>
  <c r="V48" i="48"/>
  <c r="W48" i="48"/>
  <c r="X48" i="48"/>
  <c r="Y48" i="48"/>
  <c r="Z48" i="48"/>
  <c r="AA48" i="48" s="1"/>
  <c r="AB48" i="48"/>
  <c r="AC48" i="48"/>
  <c r="AE48" i="48"/>
  <c r="AF48" i="48"/>
  <c r="AG48" i="48" s="1"/>
  <c r="AH48" i="48"/>
  <c r="AI48" i="48"/>
  <c r="AJ48" i="48"/>
  <c r="AK48" i="48"/>
  <c r="AM48" i="48" s="1"/>
  <c r="AL48" i="48"/>
  <c r="AN48" i="48"/>
  <c r="AO48" i="48"/>
  <c r="AP48" i="48"/>
  <c r="AQ48" i="48"/>
  <c r="AS48" i="48"/>
  <c r="I51" i="48"/>
  <c r="J51" i="48"/>
  <c r="K51" i="48"/>
  <c r="L51" i="48"/>
  <c r="M51" i="48"/>
  <c r="N51" i="48"/>
  <c r="O51" i="48"/>
  <c r="P51" i="48"/>
  <c r="R51" i="48" s="1"/>
  <c r="Q51" i="48"/>
  <c r="S51" i="48"/>
  <c r="T51" i="48"/>
  <c r="U51" i="48"/>
  <c r="V51" i="48"/>
  <c r="W51" i="48"/>
  <c r="X51" i="48"/>
  <c r="Y51" i="48"/>
  <c r="Z51" i="48"/>
  <c r="AA51" i="48" s="1"/>
  <c r="AB51" i="48"/>
  <c r="AC51" i="48"/>
  <c r="AD51" i="48"/>
  <c r="AE51" i="48"/>
  <c r="AF51" i="48"/>
  <c r="AH51" i="48"/>
  <c r="AJ51" i="48" s="1"/>
  <c r="AI51" i="48"/>
  <c r="AK51" i="48"/>
  <c r="AL51" i="48"/>
  <c r="AM51" i="48"/>
  <c r="AN51" i="48"/>
  <c r="AO51" i="48"/>
  <c r="AP51" i="48"/>
  <c r="AQ51" i="48"/>
  <c r="AR51" i="48"/>
  <c r="AS51" i="48"/>
  <c r="I52" i="48"/>
  <c r="J52" i="48"/>
  <c r="K52" i="48"/>
  <c r="L52" i="48"/>
  <c r="M52" i="48"/>
  <c r="N52" i="48"/>
  <c r="O52" i="48"/>
  <c r="P52" i="48"/>
  <c r="Q52" i="48"/>
  <c r="R52" i="48"/>
  <c r="S52" i="48"/>
  <c r="T52" i="48"/>
  <c r="U52" i="48" s="1"/>
  <c r="V52" i="48"/>
  <c r="X52" i="48" s="1"/>
  <c r="W52" i="48"/>
  <c r="Y52" i="48"/>
  <c r="Z52" i="48"/>
  <c r="AB52" i="48"/>
  <c r="AC52" i="48"/>
  <c r="AD52" i="48"/>
  <c r="AE52" i="48"/>
  <c r="AG52" i="48" s="1"/>
  <c r="AF52" i="48"/>
  <c r="AH52" i="48"/>
  <c r="AI52" i="48"/>
  <c r="AJ52" i="48"/>
  <c r="AK52" i="48"/>
  <c r="AL52" i="48"/>
  <c r="AM52" i="48"/>
  <c r="AN52" i="48"/>
  <c r="AO52" i="48"/>
  <c r="AP52" i="48"/>
  <c r="AQ52" i="48"/>
  <c r="AR52" i="48"/>
  <c r="AS52" i="48" s="1"/>
  <c r="I53" i="48"/>
  <c r="J53" i="48"/>
  <c r="L53" i="48" s="1"/>
  <c r="K53" i="48"/>
  <c r="M53" i="48"/>
  <c r="N53" i="48"/>
  <c r="O53" i="48" s="1"/>
  <c r="P53" i="48"/>
  <c r="R53" i="48" s="1"/>
  <c r="Q53" i="48"/>
  <c r="S53" i="48"/>
  <c r="U53" i="48" s="1"/>
  <c r="T53" i="48"/>
  <c r="V53" i="48"/>
  <c r="W53" i="48"/>
  <c r="X53" i="48"/>
  <c r="Y53" i="48"/>
  <c r="AA53" i="48" s="1"/>
  <c r="Z53" i="48"/>
  <c r="AB53" i="48"/>
  <c r="AD53" i="48" s="1"/>
  <c r="AC53" i="48"/>
  <c r="AE53" i="48"/>
  <c r="AF53" i="48"/>
  <c r="AG53" i="48"/>
  <c r="AH53" i="48"/>
  <c r="AJ53" i="48" s="1"/>
  <c r="AI53" i="48"/>
  <c r="AK53" i="48"/>
  <c r="AL53" i="48"/>
  <c r="AM53" i="48" s="1"/>
  <c r="AN53" i="48"/>
  <c r="AO53" i="48"/>
  <c r="AP53" i="48"/>
  <c r="AQ53" i="48"/>
  <c r="AS53" i="48" s="1"/>
  <c r="AR53" i="48"/>
  <c r="I54" i="48"/>
  <c r="J54" i="48"/>
  <c r="K54" i="48"/>
  <c r="L54" i="48"/>
  <c r="M54" i="48"/>
  <c r="O54" i="48" s="1"/>
  <c r="N54" i="48"/>
  <c r="P54" i="48"/>
  <c r="R54" i="48" s="1"/>
  <c r="Q54" i="48"/>
  <c r="S54" i="48"/>
  <c r="T54" i="48"/>
  <c r="U54" i="48"/>
  <c r="V54" i="48"/>
  <c r="X54" i="48" s="1"/>
  <c r="W54" i="48"/>
  <c r="Y54" i="48"/>
  <c r="Z54" i="48"/>
  <c r="AA54" i="48"/>
  <c r="AB54" i="48"/>
  <c r="AC54" i="48"/>
  <c r="AD54" i="48"/>
  <c r="AE54" i="48"/>
  <c r="AF54" i="48"/>
  <c r="AG54" i="48" s="1"/>
  <c r="AH54" i="48"/>
  <c r="AJ54" i="48" s="1"/>
  <c r="AI54" i="48"/>
  <c r="AK54" i="48"/>
  <c r="AL54" i="48"/>
  <c r="AN54" i="48"/>
  <c r="AO54" i="48"/>
  <c r="AP54" i="48"/>
  <c r="AQ54" i="48"/>
  <c r="AS54" i="48" s="1"/>
  <c r="AR54" i="48"/>
  <c r="I55" i="48"/>
  <c r="J55" i="48"/>
  <c r="K55" i="48"/>
  <c r="L55" i="48"/>
  <c r="M55" i="48"/>
  <c r="O55" i="48" s="1"/>
  <c r="N55" i="48"/>
  <c r="P55" i="48"/>
  <c r="Q55" i="48"/>
  <c r="R55" i="48"/>
  <c r="S55" i="48"/>
  <c r="T55" i="48"/>
  <c r="U55" i="48"/>
  <c r="V55" i="48"/>
  <c r="W55" i="48"/>
  <c r="X55" i="48"/>
  <c r="Y55" i="48"/>
  <c r="Z55" i="48"/>
  <c r="AA55" i="48" s="1"/>
  <c r="AB55" i="48"/>
  <c r="AC55" i="48"/>
  <c r="AD55" i="48"/>
  <c r="AE55" i="48"/>
  <c r="AF55" i="48"/>
  <c r="AH55" i="48"/>
  <c r="AI55" i="48"/>
  <c r="AJ55" i="48"/>
  <c r="AK55" i="48"/>
  <c r="AL55" i="48"/>
  <c r="AM55" i="48"/>
  <c r="AN55" i="48"/>
  <c r="AO55" i="48"/>
  <c r="AP55" i="48"/>
  <c r="AQ55" i="48"/>
  <c r="AR55" i="48"/>
  <c r="AS55" i="48" s="1"/>
  <c r="I56" i="48"/>
  <c r="J56" i="48"/>
  <c r="K56" i="48"/>
  <c r="L56" i="48"/>
  <c r="M56" i="48"/>
  <c r="N56" i="48"/>
  <c r="O56" i="48" s="1"/>
  <c r="P56" i="48"/>
  <c r="Q56" i="48"/>
  <c r="S56" i="48"/>
  <c r="T56" i="48"/>
  <c r="U56" i="48" s="1"/>
  <c r="V56" i="48"/>
  <c r="W56" i="48"/>
  <c r="X56" i="48"/>
  <c r="Y56" i="48"/>
  <c r="Z56" i="48"/>
  <c r="AB56" i="48"/>
  <c r="AC56" i="48"/>
  <c r="AD56" i="48"/>
  <c r="AE56" i="48"/>
  <c r="AF56" i="48"/>
  <c r="AG56" i="48"/>
  <c r="AH56" i="48"/>
  <c r="AJ56" i="48" s="1"/>
  <c r="AI56" i="48"/>
  <c r="AK56" i="48"/>
  <c r="AL56" i="48"/>
  <c r="AM56" i="48"/>
  <c r="AN56" i="48"/>
  <c r="AP56" i="48" s="1"/>
  <c r="AO56" i="48"/>
  <c r="AQ56" i="48"/>
  <c r="AR56" i="48"/>
  <c r="AS56" i="48" s="1"/>
  <c r="I57" i="48"/>
  <c r="J57" i="48"/>
  <c r="K57" i="48"/>
  <c r="L57" i="48" s="1"/>
  <c r="M57" i="48"/>
  <c r="N57" i="48"/>
  <c r="P57" i="48"/>
  <c r="Q57" i="48"/>
  <c r="R57" i="48"/>
  <c r="S57" i="48"/>
  <c r="T57" i="48"/>
  <c r="V57" i="48"/>
  <c r="X57" i="48" s="1"/>
  <c r="W57" i="48"/>
  <c r="Y57" i="48"/>
  <c r="Z57" i="48"/>
  <c r="AA57" i="48"/>
  <c r="AB57" i="48"/>
  <c r="AC57" i="48"/>
  <c r="AD57" i="48"/>
  <c r="AE57" i="48"/>
  <c r="AF57" i="48"/>
  <c r="AG57" i="48" s="1"/>
  <c r="AH57" i="48"/>
  <c r="AI57" i="48"/>
  <c r="AJ57" i="48"/>
  <c r="AK57" i="48"/>
  <c r="AL57" i="48"/>
  <c r="AM57" i="48" s="1"/>
  <c r="AN57" i="48"/>
  <c r="AP57" i="48" s="1"/>
  <c r="AO57" i="48"/>
  <c r="AQ57" i="48"/>
  <c r="AR57" i="48"/>
  <c r="G65" i="48"/>
  <c r="Z65" i="48" s="1"/>
  <c r="I65" i="48"/>
  <c r="J65" i="48"/>
  <c r="M65" i="48"/>
  <c r="P65" i="48"/>
  <c r="S65" i="48"/>
  <c r="V65" i="48"/>
  <c r="Y65" i="48"/>
  <c r="AB65" i="48"/>
  <c r="AE65" i="48"/>
  <c r="AH65" i="48"/>
  <c r="AH161" i="48" s="1"/>
  <c r="AK65" i="48"/>
  <c r="AN65" i="48"/>
  <c r="AQ65" i="48"/>
  <c r="I66" i="48"/>
  <c r="J66" i="48"/>
  <c r="K66" i="48"/>
  <c r="L66" i="48"/>
  <c r="M66" i="48"/>
  <c r="N66" i="48"/>
  <c r="O66" i="48" s="1"/>
  <c r="P66" i="48"/>
  <c r="Q66" i="48"/>
  <c r="R66" i="48"/>
  <c r="S66" i="48"/>
  <c r="T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 s="1"/>
  <c r="AH66" i="48"/>
  <c r="AI66" i="48"/>
  <c r="AK66" i="48"/>
  <c r="AL66" i="48"/>
  <c r="AM66" i="48" s="1"/>
  <c r="AO66" i="48"/>
  <c r="AP66" i="48"/>
  <c r="AR66" i="48"/>
  <c r="AS66" i="48" s="1"/>
  <c r="I67" i="48"/>
  <c r="J67" i="48"/>
  <c r="K67" i="48"/>
  <c r="L67" i="48"/>
  <c r="M67" i="48"/>
  <c r="N67" i="48"/>
  <c r="O67" i="48" s="1"/>
  <c r="P67" i="48"/>
  <c r="R67" i="48" s="1"/>
  <c r="Q67" i="48"/>
  <c r="S67" i="48"/>
  <c r="T67" i="48"/>
  <c r="U67" i="48"/>
  <c r="V67" i="48"/>
  <c r="W67" i="48"/>
  <c r="X67" i="48" s="1"/>
  <c r="Y67" i="48"/>
  <c r="Z67" i="48"/>
  <c r="AA67" i="48" s="1"/>
  <c r="AB67" i="48"/>
  <c r="AC67" i="48"/>
  <c r="AD67" i="48"/>
  <c r="AE67" i="48"/>
  <c r="AF67" i="48"/>
  <c r="AH67" i="48"/>
  <c r="AJ67" i="48" s="1"/>
  <c r="AI67" i="48"/>
  <c r="AK67" i="48"/>
  <c r="AL67" i="48"/>
  <c r="AM67" i="48"/>
  <c r="AN67" i="48"/>
  <c r="AP67" i="48" s="1"/>
  <c r="AO67" i="48"/>
  <c r="AQ67" i="48"/>
  <c r="AR67" i="48"/>
  <c r="AS67" i="48"/>
  <c r="I68" i="48"/>
  <c r="J68" i="48"/>
  <c r="L68" i="48" s="1"/>
  <c r="K68" i="48"/>
  <c r="M68" i="48"/>
  <c r="N68" i="48"/>
  <c r="O68" i="48"/>
  <c r="P68" i="48"/>
  <c r="Q68" i="48"/>
  <c r="R68" i="48"/>
  <c r="S68" i="48"/>
  <c r="T68" i="48"/>
  <c r="U68" i="48" s="1"/>
  <c r="V68" i="48"/>
  <c r="W68" i="48"/>
  <c r="X68" i="48"/>
  <c r="Y68" i="48"/>
  <c r="Z68" i="48"/>
  <c r="AB68" i="48"/>
  <c r="AD68" i="48" s="1"/>
  <c r="AC68" i="48"/>
  <c r="AE68" i="48"/>
  <c r="AF68" i="48"/>
  <c r="AG68" i="48"/>
  <c r="AH68" i="48"/>
  <c r="AI68" i="48"/>
  <c r="AJ68" i="48"/>
  <c r="AK68" i="48"/>
  <c r="AL68" i="48"/>
  <c r="AM68" i="48" s="1"/>
  <c r="AO68" i="48"/>
  <c r="AP68" i="48"/>
  <c r="AR68" i="48"/>
  <c r="AS68" i="48" s="1"/>
  <c r="I69" i="48"/>
  <c r="J69" i="48"/>
  <c r="L69" i="48" s="1"/>
  <c r="K69" i="48"/>
  <c r="M69" i="48"/>
  <c r="N69" i="48"/>
  <c r="P69" i="48"/>
  <c r="Q69" i="48"/>
  <c r="R69" i="48"/>
  <c r="T69" i="48"/>
  <c r="Z69" i="48"/>
  <c r="AA69" i="48" s="1"/>
  <c r="AC69" i="48"/>
  <c r="AD69" i="48" s="1"/>
  <c r="AF69" i="48"/>
  <c r="AG69" i="48" s="1"/>
  <c r="AI69" i="48"/>
  <c r="AJ69" i="48"/>
  <c r="AL69" i="48"/>
  <c r="AM69" i="48"/>
  <c r="AO69" i="48"/>
  <c r="AP69" i="48" s="1"/>
  <c r="AR69" i="48"/>
  <c r="AS69" i="48" s="1"/>
  <c r="I70" i="48"/>
  <c r="K70" i="48"/>
  <c r="L70" i="48"/>
  <c r="N70" i="48"/>
  <c r="O70" i="48" s="1"/>
  <c r="Q70" i="48"/>
  <c r="R70" i="48" s="1"/>
  <c r="T70" i="48"/>
  <c r="U70" i="48" s="1"/>
  <c r="W70" i="48"/>
  <c r="X70" i="48"/>
  <c r="Z70" i="48"/>
  <c r="AA70" i="48" s="1"/>
  <c r="AC70" i="48"/>
  <c r="AD70" i="48" s="1"/>
  <c r="AF70" i="48"/>
  <c r="AG70" i="48" s="1"/>
  <c r="AI70" i="48"/>
  <c r="AJ70" i="48" s="1"/>
  <c r="AL70" i="48"/>
  <c r="AM70" i="48" s="1"/>
  <c r="AO70" i="48"/>
  <c r="AP70" i="48" s="1"/>
  <c r="AR70" i="48"/>
  <c r="AS70" i="48"/>
  <c r="AV70" i="48" s="1"/>
  <c r="I71" i="48"/>
  <c r="J71" i="48"/>
  <c r="L71" i="48" s="1"/>
  <c r="K71" i="48"/>
  <c r="M71" i="48"/>
  <c r="N71" i="48"/>
  <c r="O71" i="48"/>
  <c r="P71" i="48"/>
  <c r="R71" i="48" s="1"/>
  <c r="Q71" i="48"/>
  <c r="S71" i="48"/>
  <c r="T71" i="48"/>
  <c r="V71" i="48"/>
  <c r="W71" i="48"/>
  <c r="X71" i="48"/>
  <c r="Y71" i="48"/>
  <c r="AA71" i="48" s="1"/>
  <c r="Z71" i="48"/>
  <c r="AB71" i="48"/>
  <c r="AD71" i="48" s="1"/>
  <c r="AC71" i="48"/>
  <c r="AE71" i="48"/>
  <c r="AF71" i="48"/>
  <c r="AG71" i="48"/>
  <c r="AH71" i="48"/>
  <c r="AJ71" i="48" s="1"/>
  <c r="AI71" i="48"/>
  <c r="AK71" i="48"/>
  <c r="AL71" i="48"/>
  <c r="AM71" i="48"/>
  <c r="AN71" i="48"/>
  <c r="AO71" i="48"/>
  <c r="AP71" i="48"/>
  <c r="AQ71" i="48"/>
  <c r="AS71" i="48" s="1"/>
  <c r="AR71" i="48"/>
  <c r="G72" i="48"/>
  <c r="I72" i="48"/>
  <c r="J72" i="48"/>
  <c r="K72" i="48"/>
  <c r="M72" i="48"/>
  <c r="P72" i="48"/>
  <c r="S72" i="48"/>
  <c r="V72" i="48"/>
  <c r="W72" i="48"/>
  <c r="X72" i="48"/>
  <c r="Y72" i="48"/>
  <c r="AB72" i="48"/>
  <c r="AC72" i="48"/>
  <c r="AE72" i="48"/>
  <c r="AG72" i="48" s="1"/>
  <c r="AF72" i="48"/>
  <c r="AH72" i="48"/>
  <c r="AK72" i="48"/>
  <c r="AL72" i="48"/>
  <c r="AM72" i="48"/>
  <c r="AN72" i="48"/>
  <c r="AP72" i="48" s="1"/>
  <c r="AO72" i="48"/>
  <c r="AQ72" i="48"/>
  <c r="AR72" i="48"/>
  <c r="AS72" i="48"/>
  <c r="I73" i="48"/>
  <c r="J73" i="48"/>
  <c r="L73" i="48" s="1"/>
  <c r="K73" i="48"/>
  <c r="M73" i="48"/>
  <c r="N73" i="48"/>
  <c r="O73" i="48"/>
  <c r="P73" i="48"/>
  <c r="Q73" i="48"/>
  <c r="R73" i="48"/>
  <c r="S73" i="48"/>
  <c r="U73" i="48" s="1"/>
  <c r="T73" i="48"/>
  <c r="V73" i="48"/>
  <c r="W73" i="48"/>
  <c r="X73" i="48"/>
  <c r="Y73" i="48"/>
  <c r="Z73" i="48"/>
  <c r="AA73" i="48"/>
  <c r="AB73" i="48"/>
  <c r="AD73" i="48" s="1"/>
  <c r="AC73" i="48"/>
  <c r="AE73" i="48"/>
  <c r="AF73" i="48"/>
  <c r="AG73" i="48"/>
  <c r="AH73" i="48"/>
  <c r="AI73" i="48"/>
  <c r="AJ73" i="48"/>
  <c r="AK73" i="48"/>
  <c r="AL73" i="48"/>
  <c r="AM73" i="48"/>
  <c r="AN73" i="48"/>
  <c r="AO73" i="48"/>
  <c r="AP73" i="48"/>
  <c r="AQ73" i="48"/>
  <c r="AR73" i="48"/>
  <c r="I74" i="48"/>
  <c r="J74" i="48"/>
  <c r="K74" i="48"/>
  <c r="L74" i="48"/>
  <c r="N74" i="48"/>
  <c r="O74" i="48"/>
  <c r="Q74" i="48"/>
  <c r="R74" i="48"/>
  <c r="T74" i="48"/>
  <c r="U74" i="48"/>
  <c r="W74" i="48"/>
  <c r="X74" i="48"/>
  <c r="Z74" i="48"/>
  <c r="AA74" i="48"/>
  <c r="AC74" i="48"/>
  <c r="AD74" i="48"/>
  <c r="AF74" i="48"/>
  <c r="AG74" i="48"/>
  <c r="AI74" i="48"/>
  <c r="AJ74" i="48"/>
  <c r="AL74" i="48"/>
  <c r="AM74" i="48"/>
  <c r="AV74" i="48" s="1"/>
  <c r="AO74" i="48"/>
  <c r="AP74" i="48"/>
  <c r="AR74" i="48"/>
  <c r="AS74" i="48"/>
  <c r="I75" i="48"/>
  <c r="K75" i="48"/>
  <c r="L75" i="48"/>
  <c r="M75" i="48"/>
  <c r="N75" i="48"/>
  <c r="O75" i="48"/>
  <c r="P75" i="48"/>
  <c r="Q75" i="48"/>
  <c r="R75" i="48"/>
  <c r="S75" i="48"/>
  <c r="T75" i="48"/>
  <c r="V75" i="48"/>
  <c r="W75" i="48"/>
  <c r="X75" i="48"/>
  <c r="Y75" i="48"/>
  <c r="AA75" i="48" s="1"/>
  <c r="Z75" i="48"/>
  <c r="AB75" i="48"/>
  <c r="AD75" i="48" s="1"/>
  <c r="AC75" i="48"/>
  <c r="AE75" i="48"/>
  <c r="AF75" i="48"/>
  <c r="AG75" i="48"/>
  <c r="AH75" i="48"/>
  <c r="AJ75" i="48" s="1"/>
  <c r="AI75" i="48"/>
  <c r="AK75" i="48"/>
  <c r="AL75" i="48"/>
  <c r="AM75" i="48"/>
  <c r="AN75" i="48"/>
  <c r="AO75" i="48"/>
  <c r="AP75" i="48" s="1"/>
  <c r="AQ75" i="48"/>
  <c r="AR75" i="48"/>
  <c r="I76" i="48"/>
  <c r="J76" i="48"/>
  <c r="K76" i="48"/>
  <c r="L76" i="48"/>
  <c r="M76" i="48"/>
  <c r="O76" i="48" s="1"/>
  <c r="N76" i="48"/>
  <c r="P76" i="48"/>
  <c r="Q76" i="48"/>
  <c r="R76" i="48"/>
  <c r="S76" i="48"/>
  <c r="T76" i="48"/>
  <c r="U76" i="48"/>
  <c r="V76" i="48"/>
  <c r="X76" i="48" s="1"/>
  <c r="W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O76" i="48"/>
  <c r="AP76" i="48"/>
  <c r="AR76" i="48"/>
  <c r="AS76" i="48"/>
  <c r="I77" i="48"/>
  <c r="K77" i="48"/>
  <c r="L77" i="48" s="1"/>
  <c r="N77" i="48"/>
  <c r="O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E77" i="48"/>
  <c r="AF77" i="48"/>
  <c r="AG77" i="48"/>
  <c r="AH77" i="48"/>
  <c r="AJ77" i="48" s="1"/>
  <c r="AI77" i="48"/>
  <c r="AK77" i="48"/>
  <c r="AM77" i="48" s="1"/>
  <c r="AL77" i="48"/>
  <c r="AO77" i="48"/>
  <c r="AP77" i="48"/>
  <c r="AR77" i="48"/>
  <c r="AS77" i="48" s="1"/>
  <c r="I81" i="48"/>
  <c r="J81" i="48"/>
  <c r="K81" i="48"/>
  <c r="L81" i="48"/>
  <c r="M81" i="48"/>
  <c r="N81" i="48"/>
  <c r="O81" i="48" s="1"/>
  <c r="P81" i="48"/>
  <c r="Q81" i="48"/>
  <c r="S81" i="48"/>
  <c r="T81" i="48"/>
  <c r="U81" i="48"/>
  <c r="V81" i="48"/>
  <c r="X81" i="48" s="1"/>
  <c r="W81" i="48"/>
  <c r="Y81" i="48"/>
  <c r="AA81" i="48" s="1"/>
  <c r="Z81" i="48"/>
  <c r="AB81" i="48"/>
  <c r="AC81" i="48"/>
  <c r="AD81" i="48"/>
  <c r="AE81" i="48"/>
  <c r="AG81" i="48" s="1"/>
  <c r="AF81" i="48"/>
  <c r="AH81" i="48"/>
  <c r="AI81" i="48"/>
  <c r="AJ81" i="48"/>
  <c r="AK81" i="48"/>
  <c r="AL81" i="48"/>
  <c r="AM81" i="48"/>
  <c r="AN81" i="48"/>
  <c r="AP81" i="48" s="1"/>
  <c r="AO81" i="48"/>
  <c r="AQ81" i="48"/>
  <c r="AR81" i="48"/>
  <c r="AS81" i="48"/>
  <c r="I85" i="48"/>
  <c r="J85" i="48"/>
  <c r="K85" i="48"/>
  <c r="M85" i="48"/>
  <c r="N85" i="48"/>
  <c r="O85" i="48"/>
  <c r="P85" i="48"/>
  <c r="Q85" i="48"/>
  <c r="R85" i="48"/>
  <c r="S85" i="48"/>
  <c r="U85" i="48" s="1"/>
  <c r="T85" i="48"/>
  <c r="V85" i="48"/>
  <c r="W85" i="48"/>
  <c r="X85" i="48"/>
  <c r="Y85" i="48"/>
  <c r="Z85" i="48"/>
  <c r="AA85" i="48"/>
  <c r="AB85" i="48"/>
  <c r="AC85" i="48"/>
  <c r="AD85" i="48"/>
  <c r="AE85" i="48"/>
  <c r="AF85" i="48"/>
  <c r="AG85" i="48" s="1"/>
  <c r="AH85" i="48"/>
  <c r="AI85" i="48"/>
  <c r="AK85" i="48"/>
  <c r="AL85" i="48"/>
  <c r="AM85" i="48"/>
  <c r="AN85" i="48"/>
  <c r="AO85" i="48"/>
  <c r="AP85" i="48" s="1"/>
  <c r="AQ85" i="48"/>
  <c r="AS85" i="48" s="1"/>
  <c r="AR85" i="48"/>
  <c r="I86" i="48"/>
  <c r="J86" i="48"/>
  <c r="L86" i="48" s="1"/>
  <c r="K86" i="48"/>
  <c r="M86" i="48"/>
  <c r="O86" i="48" s="1"/>
  <c r="N86" i="48"/>
  <c r="P86" i="48"/>
  <c r="Q86" i="48"/>
  <c r="R86" i="48"/>
  <c r="S86" i="48"/>
  <c r="U86" i="48" s="1"/>
  <c r="T86" i="48"/>
  <c r="V86" i="48"/>
  <c r="W86" i="48"/>
  <c r="X86" i="48"/>
  <c r="Y86" i="48"/>
  <c r="Z86" i="48"/>
  <c r="AA86" i="48"/>
  <c r="AB86" i="48"/>
  <c r="AD86" i="48" s="1"/>
  <c r="AC86" i="48"/>
  <c r="AE86" i="48"/>
  <c r="AF86" i="48"/>
  <c r="AG86" i="48"/>
  <c r="AH86" i="48"/>
  <c r="AI86" i="48"/>
  <c r="AJ86" i="48"/>
  <c r="AK86" i="48"/>
  <c r="AM86" i="48" s="1"/>
  <c r="AL86" i="48"/>
  <c r="AN86" i="48"/>
  <c r="AO86" i="48"/>
  <c r="AP86" i="48"/>
  <c r="AQ86" i="48"/>
  <c r="AR86" i="48"/>
  <c r="AS86" i="48"/>
  <c r="I87" i="48"/>
  <c r="J87" i="48"/>
  <c r="K87" i="48"/>
  <c r="L87" i="48"/>
  <c r="M87" i="48"/>
  <c r="N87" i="48"/>
  <c r="O87" i="48"/>
  <c r="P87" i="48"/>
  <c r="Q87" i="48"/>
  <c r="R87" i="48"/>
  <c r="S87" i="48"/>
  <c r="T87" i="48"/>
  <c r="U87" i="48"/>
  <c r="V87" i="48"/>
  <c r="W87" i="48"/>
  <c r="Y87" i="48"/>
  <c r="Z87" i="48"/>
  <c r="AA87" i="48"/>
  <c r="AB87" i="48"/>
  <c r="AC87" i="48"/>
  <c r="AD87" i="48"/>
  <c r="AE87" i="48"/>
  <c r="AG87" i="48" s="1"/>
  <c r="AF87" i="48"/>
  <c r="AH87" i="48"/>
  <c r="AI87" i="48"/>
  <c r="AJ87" i="48"/>
  <c r="AK87" i="48"/>
  <c r="AL87" i="48"/>
  <c r="AM87" i="48"/>
  <c r="AN87" i="48"/>
  <c r="AO87" i="48"/>
  <c r="AP87" i="48"/>
  <c r="AQ87" i="48"/>
  <c r="AR87" i="48"/>
  <c r="AS87" i="48"/>
  <c r="I88" i="48"/>
  <c r="J88" i="48"/>
  <c r="K88" i="48"/>
  <c r="L88" i="48"/>
  <c r="M88" i="48"/>
  <c r="N88" i="48"/>
  <c r="O88" i="48"/>
  <c r="P88" i="48"/>
  <c r="Q88" i="48"/>
  <c r="S88" i="48"/>
  <c r="T88" i="48"/>
  <c r="U88" i="48"/>
  <c r="V88" i="48"/>
  <c r="X88" i="48" s="1"/>
  <c r="W88" i="48"/>
  <c r="Y88" i="48"/>
  <c r="AA88" i="48" s="1"/>
  <c r="Z88" i="48"/>
  <c r="AB88" i="48"/>
  <c r="AC88" i="48"/>
  <c r="AD88" i="48"/>
  <c r="AE88" i="48"/>
  <c r="AG88" i="48" s="1"/>
  <c r="AF88" i="48"/>
  <c r="AH88" i="48"/>
  <c r="AI88" i="48"/>
  <c r="AJ88" i="48"/>
  <c r="AK88" i="48"/>
  <c r="AL88" i="48"/>
  <c r="AM88" i="48" s="1"/>
  <c r="AN88" i="48"/>
  <c r="AO88" i="48"/>
  <c r="AQ88" i="48"/>
  <c r="AR88" i="48"/>
  <c r="AS88" i="48"/>
  <c r="I89" i="48"/>
  <c r="J89" i="48"/>
  <c r="L89" i="48" s="1"/>
  <c r="K89" i="48"/>
  <c r="M89" i="48"/>
  <c r="N89" i="48"/>
  <c r="O89" i="48"/>
  <c r="P89" i="48"/>
  <c r="Q89" i="48"/>
  <c r="R89" i="48"/>
  <c r="S89" i="48"/>
  <c r="U89" i="48" s="1"/>
  <c r="T89" i="48"/>
  <c r="V89" i="48"/>
  <c r="W89" i="48"/>
  <c r="X89" i="48"/>
  <c r="Y89" i="48"/>
  <c r="Z89" i="48"/>
  <c r="AA89" i="48"/>
  <c r="AB89" i="48"/>
  <c r="AC89" i="48"/>
  <c r="AD89" i="48"/>
  <c r="AE89" i="48"/>
  <c r="AF89" i="48"/>
  <c r="AG89" i="48"/>
  <c r="AH89" i="48"/>
  <c r="AI89" i="48"/>
  <c r="AK89" i="48"/>
  <c r="AL89" i="48"/>
  <c r="AM89" i="48"/>
  <c r="AN89" i="48"/>
  <c r="AO89" i="48"/>
  <c r="AP89" i="48"/>
  <c r="AQ89" i="48"/>
  <c r="AS89" i="48" s="1"/>
  <c r="AR89" i="48"/>
  <c r="I90" i="48"/>
  <c r="J90" i="48"/>
  <c r="K90" i="48"/>
  <c r="L90" i="48" s="1"/>
  <c r="M90" i="48"/>
  <c r="O90" i="48" s="1"/>
  <c r="N90" i="48"/>
  <c r="P90" i="48"/>
  <c r="Q90" i="48"/>
  <c r="R90" i="48"/>
  <c r="S90" i="48"/>
  <c r="T90" i="48"/>
  <c r="U90" i="48" s="1"/>
  <c r="V90" i="48"/>
  <c r="W90" i="48"/>
  <c r="X90" i="48"/>
  <c r="Y90" i="48"/>
  <c r="Z90" i="48"/>
  <c r="AA90" i="48" s="1"/>
  <c r="AB90" i="48"/>
  <c r="AD90" i="48" s="1"/>
  <c r="AC90" i="48"/>
  <c r="AE90" i="48"/>
  <c r="AF90" i="48"/>
  <c r="AG90" i="48"/>
  <c r="AH90" i="48"/>
  <c r="AJ90" i="48" s="1"/>
  <c r="AI90" i="48"/>
  <c r="AK90" i="48"/>
  <c r="AM90" i="48" s="1"/>
  <c r="AL90" i="48"/>
  <c r="AN90" i="48"/>
  <c r="AO90" i="48"/>
  <c r="AP90" i="48"/>
  <c r="AQ90" i="48"/>
  <c r="AS90" i="48" s="1"/>
  <c r="AR90" i="48"/>
  <c r="I91" i="48"/>
  <c r="J91" i="48"/>
  <c r="K91" i="48"/>
  <c r="L91" i="48"/>
  <c r="M91" i="48"/>
  <c r="O91" i="48" s="1"/>
  <c r="N91" i="48"/>
  <c r="P91" i="48"/>
  <c r="Q91" i="48"/>
  <c r="R91" i="48"/>
  <c r="S91" i="48"/>
  <c r="T91" i="48"/>
  <c r="U91" i="48"/>
  <c r="V91" i="48"/>
  <c r="X91" i="48" s="1"/>
  <c r="W91" i="48"/>
  <c r="Y91" i="48"/>
  <c r="Z91" i="48"/>
  <c r="AA91" i="48"/>
  <c r="AB91" i="48"/>
  <c r="AC91" i="48"/>
  <c r="AD91" i="48"/>
  <c r="AE91" i="48"/>
  <c r="AG91" i="48" s="1"/>
  <c r="AF91" i="48"/>
  <c r="AH91" i="48"/>
  <c r="AI91" i="48"/>
  <c r="AJ91" i="48"/>
  <c r="AK91" i="48"/>
  <c r="AL91" i="48"/>
  <c r="AM91" i="48"/>
  <c r="AN91" i="48"/>
  <c r="AO91" i="48"/>
  <c r="AP91" i="48"/>
  <c r="AQ91" i="48"/>
  <c r="AR91" i="48"/>
  <c r="AS91" i="48"/>
  <c r="I92" i="48"/>
  <c r="J92" i="48"/>
  <c r="K92" i="48"/>
  <c r="L92" i="48"/>
  <c r="M92" i="48"/>
  <c r="N92" i="48"/>
  <c r="O92" i="48"/>
  <c r="P92" i="48"/>
  <c r="Q92" i="48"/>
  <c r="S92" i="48"/>
  <c r="T92" i="48"/>
  <c r="U92" i="48"/>
  <c r="V92" i="48"/>
  <c r="W92" i="48"/>
  <c r="X92" i="48"/>
  <c r="Y92" i="48"/>
  <c r="AA92" i="48" s="1"/>
  <c r="Z92" i="48"/>
  <c r="AB92" i="48"/>
  <c r="AC92" i="48"/>
  <c r="AD92" i="48"/>
  <c r="AE92" i="48"/>
  <c r="AF92" i="48"/>
  <c r="AG92" i="48"/>
  <c r="AH92" i="48"/>
  <c r="AI92" i="48"/>
  <c r="AJ92" i="48"/>
  <c r="AK92" i="48"/>
  <c r="AL92" i="48"/>
  <c r="AM92" i="48"/>
  <c r="AN92" i="48"/>
  <c r="AO92" i="48"/>
  <c r="AQ92" i="48"/>
  <c r="AR92" i="48"/>
  <c r="AS92" i="48"/>
  <c r="I93" i="48"/>
  <c r="J93" i="48"/>
  <c r="L93" i="48" s="1"/>
  <c r="K93" i="48"/>
  <c r="M93" i="48"/>
  <c r="N93" i="48"/>
  <c r="O93" i="48"/>
  <c r="P93" i="48"/>
  <c r="R93" i="48" s="1"/>
  <c r="Q93" i="48"/>
  <c r="S93" i="48"/>
  <c r="U93" i="48" s="1"/>
  <c r="T93" i="48"/>
  <c r="V93" i="48"/>
  <c r="W93" i="48"/>
  <c r="X93" i="48"/>
  <c r="Y93" i="48"/>
  <c r="AA93" i="48" s="1"/>
  <c r="Z93" i="48"/>
  <c r="AB93" i="48"/>
  <c r="AC93" i="48"/>
  <c r="AD93" i="48"/>
  <c r="AE93" i="48"/>
  <c r="AF93" i="48"/>
  <c r="AG93" i="48"/>
  <c r="AH93" i="48"/>
  <c r="AJ93" i="48" s="1"/>
  <c r="AI93" i="48"/>
  <c r="AK93" i="48"/>
  <c r="AL93" i="48"/>
  <c r="AM93" i="48"/>
  <c r="AN93" i="48"/>
  <c r="AO93" i="48"/>
  <c r="AP93" i="48"/>
  <c r="AQ93" i="48"/>
  <c r="AS93" i="48" s="1"/>
  <c r="AR93" i="48"/>
  <c r="I94" i="48"/>
  <c r="J94" i="48"/>
  <c r="K94" i="48"/>
  <c r="L94" i="48"/>
  <c r="M94" i="48"/>
  <c r="O94" i="48" s="1"/>
  <c r="N94" i="48"/>
  <c r="P94" i="48"/>
  <c r="Q94" i="48"/>
  <c r="R94" i="48"/>
  <c r="S94" i="48"/>
  <c r="T94" i="48"/>
  <c r="U94" i="48"/>
  <c r="V94" i="48"/>
  <c r="W94" i="48"/>
  <c r="X94" i="48"/>
  <c r="Y94" i="48"/>
  <c r="Z94" i="48"/>
  <c r="AA94" i="48" s="1"/>
  <c r="AB94" i="48"/>
  <c r="AC94" i="48"/>
  <c r="AE94" i="48"/>
  <c r="AF94" i="48"/>
  <c r="AG94" i="48"/>
  <c r="AH94" i="48"/>
  <c r="AI94" i="48"/>
  <c r="AJ94" i="48" s="1"/>
  <c r="AK94" i="48"/>
  <c r="AM94" i="48" s="1"/>
  <c r="AL94" i="48"/>
  <c r="AN94" i="48"/>
  <c r="AO94" i="48"/>
  <c r="AP94" i="48"/>
  <c r="AQ94" i="48"/>
  <c r="AR94" i="48"/>
  <c r="AS94" i="48" s="1"/>
  <c r="I95" i="48"/>
  <c r="K95" i="48"/>
  <c r="L95" i="48"/>
  <c r="N95" i="48"/>
  <c r="O95" i="48" s="1"/>
  <c r="Q95" i="48"/>
  <c r="R95" i="48"/>
  <c r="T95" i="48"/>
  <c r="W95" i="48"/>
  <c r="X95" i="48"/>
  <c r="Z95" i="48"/>
  <c r="AA95" i="48"/>
  <c r="AC95" i="48"/>
  <c r="AD95" i="48" s="1"/>
  <c r="AF95" i="48"/>
  <c r="AG95" i="48" s="1"/>
  <c r="AI95" i="48"/>
  <c r="AJ95" i="48"/>
  <c r="AL95" i="48"/>
  <c r="AM95" i="48"/>
  <c r="AN95" i="48"/>
  <c r="AP95" i="48" s="1"/>
  <c r="AO95" i="48"/>
  <c r="AQ95" i="48"/>
  <c r="AR95" i="48"/>
  <c r="AS95" i="48"/>
  <c r="H96" i="48"/>
  <c r="I96" i="48"/>
  <c r="K96" i="48"/>
  <c r="L96" i="48" s="1"/>
  <c r="N96" i="48"/>
  <c r="O96" i="48"/>
  <c r="P96" i="48"/>
  <c r="Q96" i="48"/>
  <c r="R96" i="48"/>
  <c r="S96" i="48"/>
  <c r="U96" i="48" s="1"/>
  <c r="T96" i="48"/>
  <c r="V96" i="48"/>
  <c r="W96" i="48"/>
  <c r="X96" i="48"/>
  <c r="Y96" i="48"/>
  <c r="Z96" i="48"/>
  <c r="AA96" i="48"/>
  <c r="AB96" i="48"/>
  <c r="AD96" i="48" s="1"/>
  <c r="AC96" i="48"/>
  <c r="AE96" i="48"/>
  <c r="AF96" i="48"/>
  <c r="AG96" i="48"/>
  <c r="AH96" i="48"/>
  <c r="AI96" i="48"/>
  <c r="AJ96" i="48"/>
  <c r="AK96" i="48"/>
  <c r="AM96" i="48" s="1"/>
  <c r="AL96" i="48"/>
  <c r="AN96" i="48"/>
  <c r="AO96" i="48"/>
  <c r="AP96" i="48"/>
  <c r="AQ96" i="48"/>
  <c r="AR96" i="48"/>
  <c r="AS96" i="48"/>
  <c r="G100" i="48"/>
  <c r="W100" i="48" s="1"/>
  <c r="I100" i="48"/>
  <c r="J100" i="48"/>
  <c r="K100" i="48"/>
  <c r="L100" i="48" s="1"/>
  <c r="M100" i="48"/>
  <c r="N100" i="48"/>
  <c r="P100" i="48"/>
  <c r="Q100" i="48"/>
  <c r="R100" i="48"/>
  <c r="S100" i="48"/>
  <c r="T100" i="48"/>
  <c r="U100" i="48" s="1"/>
  <c r="V100" i="48"/>
  <c r="Y100" i="48"/>
  <c r="Z100" i="48"/>
  <c r="AA100" i="48"/>
  <c r="AB100" i="48"/>
  <c r="AD100" i="48" s="1"/>
  <c r="AC100" i="48"/>
  <c r="AE100" i="48"/>
  <c r="AF100" i="48"/>
  <c r="AG100" i="48"/>
  <c r="AH100" i="48"/>
  <c r="AI100" i="48"/>
  <c r="AJ100" i="48" s="1"/>
  <c r="AK100" i="48"/>
  <c r="AL100" i="48"/>
  <c r="AN100" i="48"/>
  <c r="AO100" i="48"/>
  <c r="AP100" i="48"/>
  <c r="AQ100" i="48"/>
  <c r="AS100" i="48" s="1"/>
  <c r="AR100" i="48"/>
  <c r="G101" i="48"/>
  <c r="I101" i="48"/>
  <c r="J101" i="48"/>
  <c r="K101" i="48"/>
  <c r="L101" i="48"/>
  <c r="M101" i="48"/>
  <c r="O101" i="48" s="1"/>
  <c r="N101" i="48"/>
  <c r="Q101" i="48"/>
  <c r="R101" i="48"/>
  <c r="T101" i="48"/>
  <c r="U101" i="48"/>
  <c r="W101" i="48"/>
  <c r="X101" i="48"/>
  <c r="Z101" i="48"/>
  <c r="AA101" i="48" s="1"/>
  <c r="AC101" i="48"/>
  <c r="AD101" i="48"/>
  <c r="AF101" i="48"/>
  <c r="AG101" i="48"/>
  <c r="AI101" i="48"/>
  <c r="AJ101" i="48"/>
  <c r="AL101" i="48"/>
  <c r="AM101" i="48" s="1"/>
  <c r="AO101" i="48"/>
  <c r="AP101" i="48"/>
  <c r="AR101" i="48"/>
  <c r="AS101" i="48"/>
  <c r="G102" i="48"/>
  <c r="T102" i="48" s="1"/>
  <c r="U102" i="48" s="1"/>
  <c r="J102" i="48"/>
  <c r="M102" i="48"/>
  <c r="G103" i="48"/>
  <c r="N103" i="48" s="1"/>
  <c r="I103" i="48"/>
  <c r="J103" i="48"/>
  <c r="K103" i="48"/>
  <c r="L103" i="48" s="1"/>
  <c r="M103" i="48"/>
  <c r="P103" i="48"/>
  <c r="Q103" i="48"/>
  <c r="R103" i="48"/>
  <c r="S103" i="48"/>
  <c r="U103" i="48" s="1"/>
  <c r="T103" i="48"/>
  <c r="V103" i="48"/>
  <c r="Y103" i="48"/>
  <c r="Z103" i="48"/>
  <c r="AA103" i="48"/>
  <c r="AB103" i="48"/>
  <c r="AD103" i="48" s="1"/>
  <c r="AC103" i="48"/>
  <c r="AE103" i="48"/>
  <c r="AF103" i="48"/>
  <c r="AG103" i="48"/>
  <c r="AH103" i="48"/>
  <c r="AI103" i="48"/>
  <c r="AJ103" i="48"/>
  <c r="AK103" i="48"/>
  <c r="AN103" i="48"/>
  <c r="AO103" i="48"/>
  <c r="AP103" i="48"/>
  <c r="AQ103" i="48"/>
  <c r="AR103" i="48"/>
  <c r="AS103" i="48"/>
  <c r="G104" i="48"/>
  <c r="W104" i="48" s="1"/>
  <c r="I104" i="48"/>
  <c r="J104" i="48"/>
  <c r="K104" i="48"/>
  <c r="L104" i="48"/>
  <c r="M104" i="48"/>
  <c r="N104" i="48"/>
  <c r="P104" i="48"/>
  <c r="Q104" i="48"/>
  <c r="R104" i="48"/>
  <c r="S104" i="48"/>
  <c r="U104" i="48" s="1"/>
  <c r="T104" i="48"/>
  <c r="V104" i="48"/>
  <c r="Y104" i="48"/>
  <c r="Z104" i="48"/>
  <c r="AA104" i="48"/>
  <c r="AB104" i="48"/>
  <c r="AD104" i="48" s="1"/>
  <c r="AC104" i="48"/>
  <c r="AE104" i="48"/>
  <c r="AF104" i="48"/>
  <c r="AG104" i="48"/>
  <c r="AH104" i="48"/>
  <c r="AI104" i="48"/>
  <c r="AJ104" i="48"/>
  <c r="AK104" i="48"/>
  <c r="AM104" i="48" s="1"/>
  <c r="AL104" i="48"/>
  <c r="AN104" i="48"/>
  <c r="AO104" i="48"/>
  <c r="AP104" i="48"/>
  <c r="AQ104" i="48"/>
  <c r="AR104" i="48"/>
  <c r="AS104" i="48"/>
  <c r="G105" i="48"/>
  <c r="I105" i="48"/>
  <c r="J105" i="48"/>
  <c r="K105" i="48"/>
  <c r="L105" i="48"/>
  <c r="M105" i="48"/>
  <c r="O105" i="48" s="1"/>
  <c r="N105" i="48"/>
  <c r="P105" i="48"/>
  <c r="Q105" i="48"/>
  <c r="R105" i="48"/>
  <c r="S105" i="48"/>
  <c r="T105" i="48"/>
  <c r="U105" i="48"/>
  <c r="V105" i="48"/>
  <c r="X105" i="48" s="1"/>
  <c r="W105" i="48"/>
  <c r="Y105" i="48"/>
  <c r="Z105" i="48"/>
  <c r="AA105" i="48"/>
  <c r="AB105" i="48"/>
  <c r="AC105" i="48"/>
  <c r="AD105" i="48"/>
  <c r="AE105" i="48"/>
  <c r="AG105" i="48" s="1"/>
  <c r="AF105" i="48"/>
  <c r="AH105" i="48"/>
  <c r="AI105" i="48"/>
  <c r="AJ105" i="48"/>
  <c r="AK105" i="48"/>
  <c r="AL105" i="48"/>
  <c r="AM105" i="48"/>
  <c r="AN105" i="48"/>
  <c r="AO105" i="48"/>
  <c r="AP105" i="48"/>
  <c r="AQ105" i="48"/>
  <c r="AR105" i="48"/>
  <c r="AS105" i="48"/>
  <c r="G106" i="48"/>
  <c r="J106" i="48"/>
  <c r="M106" i="48"/>
  <c r="P106" i="48"/>
  <c r="S106" i="48"/>
  <c r="V106" i="48"/>
  <c r="X106" i="48" s="1"/>
  <c r="W106" i="48"/>
  <c r="Y106" i="48"/>
  <c r="AB106" i="48"/>
  <c r="AE106" i="48"/>
  <c r="AF106" i="48"/>
  <c r="AH106" i="48"/>
  <c r="AK106" i="48"/>
  <c r="AN106" i="48"/>
  <c r="AQ106" i="48"/>
  <c r="I107" i="48"/>
  <c r="J107" i="48"/>
  <c r="L107" i="48" s="1"/>
  <c r="K107" i="48"/>
  <c r="M107" i="48"/>
  <c r="N107" i="48"/>
  <c r="O107" i="48"/>
  <c r="P107" i="48"/>
  <c r="Q107" i="48"/>
  <c r="R107" i="48"/>
  <c r="S107" i="48"/>
  <c r="T107" i="48"/>
  <c r="U107" i="48"/>
  <c r="V107" i="48"/>
  <c r="W107" i="48"/>
  <c r="X107" i="48"/>
  <c r="Z107" i="48"/>
  <c r="AA107" i="48"/>
  <c r="AC107" i="48"/>
  <c r="AD107" i="48"/>
  <c r="AF107" i="48"/>
  <c r="AG107" i="48"/>
  <c r="AI107" i="48"/>
  <c r="AJ107" i="48"/>
  <c r="AL107" i="48"/>
  <c r="AM107" i="48"/>
  <c r="AV107" i="48" s="1"/>
  <c r="AO107" i="48"/>
  <c r="AP107" i="48"/>
  <c r="AR107" i="48"/>
  <c r="AS107" i="48"/>
  <c r="I110" i="48"/>
  <c r="J110" i="48"/>
  <c r="K110" i="48"/>
  <c r="M110" i="48"/>
  <c r="N110" i="48"/>
  <c r="O110" i="48"/>
  <c r="P110" i="48"/>
  <c r="Q110" i="48"/>
  <c r="R110" i="48"/>
  <c r="S110" i="48"/>
  <c r="U110" i="48" s="1"/>
  <c r="T110" i="48"/>
  <c r="V110" i="48"/>
  <c r="W110" i="48"/>
  <c r="X110" i="48"/>
  <c r="Y110" i="48"/>
  <c r="Z110" i="48"/>
  <c r="AA110" i="48"/>
  <c r="AB110" i="48"/>
  <c r="AC110" i="48"/>
  <c r="AD110" i="48"/>
  <c r="AE110" i="48"/>
  <c r="AF110" i="48"/>
  <c r="AG110" i="48" s="1"/>
  <c r="AH110" i="48"/>
  <c r="AI110" i="48"/>
  <c r="AK110" i="48"/>
  <c r="AL110" i="48"/>
  <c r="AM110" i="48"/>
  <c r="AN110" i="48"/>
  <c r="AO110" i="48"/>
  <c r="AP110" i="48" s="1"/>
  <c r="AQ110" i="48"/>
  <c r="AS110" i="48" s="1"/>
  <c r="AR110" i="48"/>
  <c r="I111" i="48"/>
  <c r="J111" i="48"/>
  <c r="L111" i="48" s="1"/>
  <c r="K111" i="48"/>
  <c r="M111" i="48"/>
  <c r="O111" i="48" s="1"/>
  <c r="N111" i="48"/>
  <c r="P111" i="48"/>
  <c r="Q111" i="48"/>
  <c r="R111" i="48"/>
  <c r="S111" i="48"/>
  <c r="U111" i="48" s="1"/>
  <c r="T111" i="48"/>
  <c r="V111" i="48"/>
  <c r="W111" i="48"/>
  <c r="X111" i="48"/>
  <c r="Y111" i="48"/>
  <c r="Z111" i="48"/>
  <c r="AA111" i="48"/>
  <c r="AB111" i="48"/>
  <c r="AD111" i="48" s="1"/>
  <c r="AC111" i="48"/>
  <c r="AE111" i="48"/>
  <c r="AF111" i="48"/>
  <c r="AG111" i="48"/>
  <c r="AH111" i="48"/>
  <c r="AI111" i="48"/>
  <c r="AJ111" i="48"/>
  <c r="AK111" i="48"/>
  <c r="AM111" i="48" s="1"/>
  <c r="AL111" i="48"/>
  <c r="AN111" i="48"/>
  <c r="AO111" i="48"/>
  <c r="AP111" i="48"/>
  <c r="AQ111" i="48"/>
  <c r="AR111" i="48"/>
  <c r="AS111" i="48"/>
  <c r="I112" i="48"/>
  <c r="J112" i="48"/>
  <c r="K112" i="48"/>
  <c r="L112" i="48"/>
  <c r="M112" i="48"/>
  <c r="N112" i="48"/>
  <c r="O112" i="48"/>
  <c r="P112" i="48"/>
  <c r="Q112" i="48"/>
  <c r="R112" i="48"/>
  <c r="S112" i="48"/>
  <c r="T112" i="48"/>
  <c r="U112" i="48"/>
  <c r="V112" i="48"/>
  <c r="W112" i="48"/>
  <c r="Y112" i="48"/>
  <c r="Z112" i="48"/>
  <c r="AA112" i="48"/>
  <c r="AB112" i="48"/>
  <c r="AC112" i="48"/>
  <c r="AD112" i="48"/>
  <c r="AE112" i="48"/>
  <c r="AG112" i="48" s="1"/>
  <c r="AF112" i="48"/>
  <c r="AH112" i="48"/>
  <c r="AI112" i="48"/>
  <c r="AJ112" i="48"/>
  <c r="AK112" i="48"/>
  <c r="AL112" i="48"/>
  <c r="AM112" i="48"/>
  <c r="AN112" i="48"/>
  <c r="AO112" i="48"/>
  <c r="AP112" i="48" s="1"/>
  <c r="AQ112" i="48"/>
  <c r="AR112" i="48"/>
  <c r="AS112" i="48" s="1"/>
  <c r="I113" i="48"/>
  <c r="J113" i="48"/>
  <c r="K113" i="48"/>
  <c r="L113" i="48" s="1"/>
  <c r="M113" i="48"/>
  <c r="N113" i="48"/>
  <c r="O113" i="48" s="1"/>
  <c r="P113" i="48"/>
  <c r="Q113" i="48"/>
  <c r="S113" i="48"/>
  <c r="T113" i="48"/>
  <c r="U113" i="48"/>
  <c r="V113" i="48"/>
  <c r="X113" i="48" s="1"/>
  <c r="W113" i="48"/>
  <c r="Y113" i="48"/>
  <c r="AA113" i="48" s="1"/>
  <c r="Z113" i="48"/>
  <c r="AB113" i="48"/>
  <c r="AC113" i="48"/>
  <c r="AD113" i="48"/>
  <c r="AE113" i="48"/>
  <c r="AG113" i="48" s="1"/>
  <c r="AF113" i="48"/>
  <c r="AH113" i="48"/>
  <c r="AI113" i="48"/>
  <c r="AJ113" i="48"/>
  <c r="AK113" i="48"/>
  <c r="AL113" i="48"/>
  <c r="AM113" i="48"/>
  <c r="AN113" i="48"/>
  <c r="AP113" i="48" s="1"/>
  <c r="AO113" i="48"/>
  <c r="AQ113" i="48"/>
  <c r="AR113" i="48"/>
  <c r="AS113" i="48"/>
  <c r="I114" i="48"/>
  <c r="J114" i="48"/>
  <c r="K114" i="48"/>
  <c r="M114" i="48"/>
  <c r="N114" i="48"/>
  <c r="O114" i="48"/>
  <c r="P114" i="48"/>
  <c r="Q114" i="48"/>
  <c r="R114" i="48"/>
  <c r="S114" i="48"/>
  <c r="U114" i="48" s="1"/>
  <c r="T114" i="48"/>
  <c r="V114" i="48"/>
  <c r="W114" i="48"/>
  <c r="X114" i="48"/>
  <c r="Y114" i="48"/>
  <c r="Z114" i="48"/>
  <c r="AA114" i="48"/>
  <c r="AB114" i="48"/>
  <c r="AC114" i="48"/>
  <c r="AD114" i="48"/>
  <c r="AE114" i="48"/>
  <c r="AF114" i="48"/>
  <c r="AG114" i="48" s="1"/>
  <c r="AH114" i="48"/>
  <c r="AI114" i="48"/>
  <c r="AK114" i="48"/>
  <c r="AL114" i="48"/>
  <c r="AM114" i="48"/>
  <c r="AN114" i="48"/>
  <c r="AO114" i="48"/>
  <c r="AP114" i="48" s="1"/>
  <c r="AQ114" i="48"/>
  <c r="AS114" i="48" s="1"/>
  <c r="AR114" i="48"/>
  <c r="I115" i="48"/>
  <c r="J115" i="48"/>
  <c r="L115" i="48" s="1"/>
  <c r="K115" i="48"/>
  <c r="M115" i="48"/>
  <c r="O115" i="48" s="1"/>
  <c r="N115" i="48"/>
  <c r="P115" i="48"/>
  <c r="Q115" i="48"/>
  <c r="R115" i="48"/>
  <c r="S115" i="48"/>
  <c r="U115" i="48" s="1"/>
  <c r="T115" i="48"/>
  <c r="V115" i="48"/>
  <c r="W115" i="48"/>
  <c r="X115" i="48"/>
  <c r="Y115" i="48"/>
  <c r="Z115" i="48"/>
  <c r="AA115" i="48"/>
  <c r="AB115" i="48"/>
  <c r="AD115" i="48" s="1"/>
  <c r="AC115" i="48"/>
  <c r="AE115" i="48"/>
  <c r="AF115" i="48"/>
  <c r="AG115" i="48"/>
  <c r="AH115" i="48"/>
  <c r="AI115" i="48"/>
  <c r="AJ115" i="48"/>
  <c r="AK115" i="48"/>
  <c r="AM115" i="48" s="1"/>
  <c r="AL115" i="48"/>
  <c r="AN115" i="48"/>
  <c r="AO115" i="48"/>
  <c r="AP115" i="48"/>
  <c r="AQ115" i="48"/>
  <c r="AR115" i="48"/>
  <c r="AS115" i="48"/>
  <c r="I116" i="48"/>
  <c r="J116" i="48"/>
  <c r="K116" i="48"/>
  <c r="L116" i="48"/>
  <c r="M116" i="48"/>
  <c r="N116" i="48"/>
  <c r="O116" i="48"/>
  <c r="P116" i="48"/>
  <c r="Q116" i="48"/>
  <c r="R116" i="48" s="1"/>
  <c r="S116" i="48"/>
  <c r="T116" i="48"/>
  <c r="U116" i="48" s="1"/>
  <c r="V116" i="48"/>
  <c r="W116" i="48"/>
  <c r="Y116" i="48"/>
  <c r="Z116" i="48"/>
  <c r="AA116" i="48"/>
  <c r="AB116" i="48"/>
  <c r="AC116" i="48"/>
  <c r="AD116" i="48" s="1"/>
  <c r="AE116" i="48"/>
  <c r="AG116" i="48" s="1"/>
  <c r="AF116" i="48"/>
  <c r="AH116" i="48"/>
  <c r="AI116" i="48"/>
  <c r="AJ116" i="48"/>
  <c r="AK116" i="48"/>
  <c r="AL116" i="48"/>
  <c r="AM116" i="48" s="1"/>
  <c r="AN116" i="48"/>
  <c r="AO116" i="48"/>
  <c r="AP116" i="48" s="1"/>
  <c r="AQ116" i="48"/>
  <c r="AR116" i="48"/>
  <c r="AS116" i="48" s="1"/>
  <c r="I117" i="48"/>
  <c r="J117" i="48"/>
  <c r="K117" i="48"/>
  <c r="L117" i="48" s="1"/>
  <c r="M117" i="48"/>
  <c r="N117" i="48"/>
  <c r="O117" i="48"/>
  <c r="P117" i="48"/>
  <c r="R117" i="48" s="1"/>
  <c r="Q117" i="48"/>
  <c r="S117" i="48"/>
  <c r="T117" i="48"/>
  <c r="U117" i="48"/>
  <c r="V117" i="48"/>
  <c r="W117" i="48"/>
  <c r="X117" i="48"/>
  <c r="Y117" i="48"/>
  <c r="AA117" i="48" s="1"/>
  <c r="Z117" i="48"/>
  <c r="AB117" i="48"/>
  <c r="AC117" i="48"/>
  <c r="AD117" i="48"/>
  <c r="AE117" i="48"/>
  <c r="AF117" i="48"/>
  <c r="AG117" i="48"/>
  <c r="AH117" i="48"/>
  <c r="AI117" i="48"/>
  <c r="AJ117" i="48" s="1"/>
  <c r="AK117" i="48"/>
  <c r="AL117" i="48"/>
  <c r="AM117" i="48"/>
  <c r="AN117" i="48"/>
  <c r="AO117" i="48"/>
  <c r="AQ117" i="48"/>
  <c r="AR117" i="48"/>
  <c r="AS117" i="48"/>
  <c r="I118" i="48"/>
  <c r="J118" i="48"/>
  <c r="K118" i="48"/>
  <c r="M118" i="48"/>
  <c r="N118" i="48"/>
  <c r="O118" i="48"/>
  <c r="P118" i="48"/>
  <c r="Q118" i="48"/>
  <c r="R118" i="48" s="1"/>
  <c r="S118" i="48"/>
  <c r="U118" i="48" s="1"/>
  <c r="T118" i="48"/>
  <c r="V118" i="48"/>
  <c r="W118" i="48"/>
  <c r="X118" i="48"/>
  <c r="Y118" i="48"/>
  <c r="Z118" i="48"/>
  <c r="AA118" i="48" s="1"/>
  <c r="AB118" i="48"/>
  <c r="AC118" i="48"/>
  <c r="AD118" i="48" s="1"/>
  <c r="AE118" i="48"/>
  <c r="AF118" i="48"/>
  <c r="AG118" i="48" s="1"/>
  <c r="AH118" i="48"/>
  <c r="AI118" i="48"/>
  <c r="AK118" i="48"/>
  <c r="AL118" i="48"/>
  <c r="AM118" i="48"/>
  <c r="AN118" i="48"/>
  <c r="AP118" i="48" s="1"/>
  <c r="AO118" i="48"/>
  <c r="AQ118" i="48"/>
  <c r="AS118" i="48" s="1"/>
  <c r="AR118" i="48"/>
  <c r="G122" i="48"/>
  <c r="G123" i="48"/>
  <c r="G124" i="48"/>
  <c r="G125" i="48"/>
  <c r="G126" i="48"/>
  <c r="G127" i="48"/>
  <c r="G128" i="48"/>
  <c r="G143" i="48"/>
  <c r="G150" i="48"/>
  <c r="G151" i="48"/>
  <c r="G152" i="48"/>
  <c r="G153" i="48"/>
  <c r="G154" i="48"/>
  <c r="G155" i="48"/>
  <c r="G156" i="48"/>
  <c r="AX157" i="48"/>
  <c r="K160" i="48"/>
  <c r="N160" i="48"/>
  <c r="Q160" i="48"/>
  <c r="T160" i="48"/>
  <c r="W160" i="48"/>
  <c r="Z160" i="48"/>
  <c r="AC160" i="48"/>
  <c r="AD160" i="48"/>
  <c r="AF160" i="48"/>
  <c r="AG160" i="48"/>
  <c r="AI160" i="48"/>
  <c r="AJ160" i="48"/>
  <c r="AL160" i="48"/>
  <c r="AM160" i="48"/>
  <c r="AO160" i="48"/>
  <c r="AP160" i="48"/>
  <c r="AR160" i="48"/>
  <c r="AS160" i="48"/>
  <c r="AB161" i="48"/>
  <c r="I171" i="48"/>
  <c r="J171" i="48"/>
  <c r="K171" i="48"/>
  <c r="L171" i="48" s="1"/>
  <c r="N171" i="48"/>
  <c r="O171" i="48"/>
  <c r="Q171" i="48"/>
  <c r="R171" i="48"/>
  <c r="T171" i="48"/>
  <c r="U171" i="48" s="1"/>
  <c r="W171" i="48"/>
  <c r="X171" i="48" s="1"/>
  <c r="Z171" i="48"/>
  <c r="AA171" i="48"/>
  <c r="AC171" i="48"/>
  <c r="AD171" i="48"/>
  <c r="AF171" i="48"/>
  <c r="AG171" i="48" s="1"/>
  <c r="AI171" i="48"/>
  <c r="AJ171" i="48" s="1"/>
  <c r="AL171" i="48"/>
  <c r="AM171" i="48"/>
  <c r="AO171" i="48"/>
  <c r="AP171" i="48"/>
  <c r="AR171" i="48"/>
  <c r="AS171" i="48" s="1"/>
  <c r="I172" i="48"/>
  <c r="K172" i="48"/>
  <c r="L172" i="48"/>
  <c r="M172" i="48"/>
  <c r="N172" i="48"/>
  <c r="O172" i="48"/>
  <c r="P172" i="48"/>
  <c r="Q172" i="48"/>
  <c r="R172" i="48" s="1"/>
  <c r="S172" i="48"/>
  <c r="T172" i="48"/>
  <c r="U172" i="48"/>
  <c r="V172" i="48"/>
  <c r="W172" i="48"/>
  <c r="X172" i="48" s="1"/>
  <c r="Y172" i="48"/>
  <c r="AA172" i="48" s="1"/>
  <c r="Z172" i="48"/>
  <c r="AB172" i="48"/>
  <c r="AC172" i="48"/>
  <c r="AD172" i="48"/>
  <c r="AE172" i="48"/>
  <c r="AF172" i="48"/>
  <c r="AH172" i="48"/>
  <c r="AJ172" i="48" s="1"/>
  <c r="AI172" i="48"/>
  <c r="AK172" i="48"/>
  <c r="AL172" i="48"/>
  <c r="AM172" i="48"/>
  <c r="AN172" i="48"/>
  <c r="AP172" i="48" s="1"/>
  <c r="AO172" i="48"/>
  <c r="AQ172" i="48"/>
  <c r="AR172" i="48"/>
  <c r="AS172" i="48" s="1"/>
  <c r="I174" i="48"/>
  <c r="J174" i="48"/>
  <c r="L174" i="48" s="1"/>
  <c r="K174" i="48"/>
  <c r="M174" i="48"/>
  <c r="N174" i="48"/>
  <c r="O174" i="48"/>
  <c r="P174" i="48"/>
  <c r="P345" i="48" s="1"/>
  <c r="Q174" i="48"/>
  <c r="R174" i="48"/>
  <c r="S174" i="48"/>
  <c r="T174" i="48"/>
  <c r="U174" i="48"/>
  <c r="V174" i="48"/>
  <c r="W174" i="48"/>
  <c r="X174" i="48"/>
  <c r="Y174" i="48"/>
  <c r="Z174" i="48"/>
  <c r="AB174" i="48"/>
  <c r="AC174" i="48"/>
  <c r="AD174" i="48"/>
  <c r="AE174" i="48"/>
  <c r="AF174" i="48"/>
  <c r="AG174" i="48"/>
  <c r="AH174" i="48"/>
  <c r="AJ174" i="48" s="1"/>
  <c r="AI174" i="48"/>
  <c r="AK174" i="48"/>
  <c r="AL174" i="48"/>
  <c r="AM174" i="48"/>
  <c r="AN174" i="48"/>
  <c r="AO174" i="48"/>
  <c r="AP174" i="48"/>
  <c r="AQ174" i="48"/>
  <c r="AR174" i="48"/>
  <c r="AS174" i="48"/>
  <c r="I176" i="48"/>
  <c r="J176" i="48"/>
  <c r="L176" i="48" s="1"/>
  <c r="K176" i="48"/>
  <c r="M176" i="48"/>
  <c r="N176" i="48"/>
  <c r="O176" i="48"/>
  <c r="P176" i="48"/>
  <c r="R176" i="48" s="1"/>
  <c r="Q176" i="48"/>
  <c r="T176" i="48"/>
  <c r="U176" i="48"/>
  <c r="W176" i="48"/>
  <c r="X176" i="48"/>
  <c r="Z176" i="48"/>
  <c r="AA176" i="48" s="1"/>
  <c r="AC176" i="48"/>
  <c r="AD176" i="48"/>
  <c r="AF176" i="48"/>
  <c r="AG176" i="48"/>
  <c r="AI176" i="48"/>
  <c r="AJ176" i="48"/>
  <c r="AL176" i="48"/>
  <c r="AM176" i="48" s="1"/>
  <c r="AN176" i="48"/>
  <c r="AO176" i="48"/>
  <c r="AQ176" i="48"/>
  <c r="AR176" i="48"/>
  <c r="AS176" i="48"/>
  <c r="I177" i="48"/>
  <c r="J177" i="48"/>
  <c r="L177" i="48" s="1"/>
  <c r="K177" i="48"/>
  <c r="M177" i="48"/>
  <c r="N177" i="48"/>
  <c r="O177" i="48"/>
  <c r="P177" i="48"/>
  <c r="Q177" i="48"/>
  <c r="R177" i="48"/>
  <c r="S177" i="48"/>
  <c r="U177" i="48" s="1"/>
  <c r="T177" i="48"/>
  <c r="V177" i="48"/>
  <c r="W177" i="48"/>
  <c r="X177" i="48"/>
  <c r="Y177" i="48"/>
  <c r="Z177" i="48"/>
  <c r="AA177" i="48"/>
  <c r="AB177" i="48"/>
  <c r="AC177" i="48"/>
  <c r="AD177" i="48" s="1"/>
  <c r="AE177" i="48"/>
  <c r="AF177" i="48"/>
  <c r="AG177" i="48"/>
  <c r="AH177" i="48"/>
  <c r="AI177" i="48"/>
  <c r="AK177" i="48"/>
  <c r="AL177" i="48"/>
  <c r="AM177" i="48"/>
  <c r="AN177" i="48"/>
  <c r="AO177" i="48"/>
  <c r="AP177" i="48"/>
  <c r="AQ177" i="48"/>
  <c r="AS177" i="48" s="1"/>
  <c r="AR177" i="48"/>
  <c r="I179" i="48"/>
  <c r="J179" i="48"/>
  <c r="K179" i="48"/>
  <c r="M179" i="48"/>
  <c r="N179" i="48"/>
  <c r="O179" i="48"/>
  <c r="P179" i="48"/>
  <c r="R179" i="48" s="1"/>
  <c r="Q179" i="48"/>
  <c r="S179" i="48"/>
  <c r="U179" i="48" s="1"/>
  <c r="T179" i="48"/>
  <c r="V179" i="48"/>
  <c r="W179" i="48"/>
  <c r="X179" i="48"/>
  <c r="Y179" i="48"/>
  <c r="AA179" i="48" s="1"/>
  <c r="Z179" i="48"/>
  <c r="AB179" i="48"/>
  <c r="AC179" i="48"/>
  <c r="AD179" i="48" s="1"/>
  <c r="AE179" i="48"/>
  <c r="AF179" i="48"/>
  <c r="AG179" i="48"/>
  <c r="AH179" i="48"/>
  <c r="AI179" i="48"/>
  <c r="AK179" i="48"/>
  <c r="AL179" i="48"/>
  <c r="AM179" i="48"/>
  <c r="AO179" i="48"/>
  <c r="AP179" i="48"/>
  <c r="AR179" i="48"/>
  <c r="AS179" i="48"/>
  <c r="I180" i="48"/>
  <c r="K180" i="48"/>
  <c r="L180" i="48"/>
  <c r="N180" i="48"/>
  <c r="O180" i="48" s="1"/>
  <c r="Q180" i="48"/>
  <c r="R180" i="48"/>
  <c r="T180" i="48"/>
  <c r="U180" i="48"/>
  <c r="W180" i="48"/>
  <c r="X180" i="48"/>
  <c r="Z180" i="48"/>
  <c r="AA180" i="48" s="1"/>
  <c r="AC180" i="48"/>
  <c r="AD180" i="48"/>
  <c r="AF180" i="48"/>
  <c r="AG180" i="48"/>
  <c r="AI180" i="48"/>
  <c r="AJ180" i="48"/>
  <c r="AL180" i="48"/>
  <c r="AM180" i="48" s="1"/>
  <c r="AN180" i="48"/>
  <c r="AO180" i="48"/>
  <c r="AQ180" i="48"/>
  <c r="AR180" i="48"/>
  <c r="AS180" i="48"/>
  <c r="I181" i="48"/>
  <c r="J181" i="48"/>
  <c r="K181" i="48"/>
  <c r="M181" i="48"/>
  <c r="N181" i="48"/>
  <c r="O181" i="48"/>
  <c r="P181" i="48"/>
  <c r="R181" i="48" s="1"/>
  <c r="Q181" i="48"/>
  <c r="S181" i="48"/>
  <c r="U181" i="48" s="1"/>
  <c r="T181" i="48"/>
  <c r="V181" i="48"/>
  <c r="W181" i="48"/>
  <c r="X181" i="48"/>
  <c r="Y181" i="48"/>
  <c r="AA181" i="48" s="1"/>
  <c r="Z181" i="48"/>
  <c r="AB181" i="48"/>
  <c r="AC181" i="48"/>
  <c r="AD181" i="48" s="1"/>
  <c r="AE181" i="48"/>
  <c r="AF181" i="48"/>
  <c r="AG181" i="48"/>
  <c r="AH181" i="48"/>
  <c r="AJ181" i="48" s="1"/>
  <c r="AI181" i="48"/>
  <c r="AK181" i="48"/>
  <c r="AL181" i="48"/>
  <c r="AM181" i="48"/>
  <c r="AN181" i="48"/>
  <c r="AO181" i="48"/>
  <c r="AP181" i="48"/>
  <c r="AQ181" i="48"/>
  <c r="AS181" i="48" s="1"/>
  <c r="AR181" i="48"/>
  <c r="G183" i="48"/>
  <c r="I183" i="48"/>
  <c r="J183" i="48"/>
  <c r="M183" i="48"/>
  <c r="P183" i="48"/>
  <c r="S183" i="48"/>
  <c r="V183" i="48"/>
  <c r="W183" i="48"/>
  <c r="X183" i="48"/>
  <c r="Y183" i="48"/>
  <c r="AA183" i="48" s="1"/>
  <c r="Z183" i="48"/>
  <c r="AB183" i="48"/>
  <c r="AE183" i="48"/>
  <c r="AF183" i="48"/>
  <c r="AG183" i="48"/>
  <c r="AH183" i="48"/>
  <c r="AK183" i="48"/>
  <c r="AN183" i="48"/>
  <c r="AQ183" i="48"/>
  <c r="G184" i="48"/>
  <c r="Q184" i="48" s="1"/>
  <c r="R184" i="48" s="1"/>
  <c r="I184" i="48"/>
  <c r="J184" i="48"/>
  <c r="K184" i="48"/>
  <c r="M184" i="48"/>
  <c r="P184" i="48"/>
  <c r="S184" i="48"/>
  <c r="V184" i="48"/>
  <c r="Y184" i="48"/>
  <c r="AA184" i="48" s="1"/>
  <c r="Z184" i="48"/>
  <c r="AB184" i="48"/>
  <c r="AE184" i="48"/>
  <c r="AF184" i="48"/>
  <c r="AG184" i="48"/>
  <c r="AH184" i="48"/>
  <c r="AI184" i="48"/>
  <c r="AK184" i="48"/>
  <c r="AN184" i="48"/>
  <c r="AQ184" i="48"/>
  <c r="G185" i="48"/>
  <c r="AV185" i="48"/>
  <c r="AZ185" i="48"/>
  <c r="BA185" i="48"/>
  <c r="BC185" i="48"/>
  <c r="I187" i="48"/>
  <c r="J187" i="48"/>
  <c r="K187" i="48"/>
  <c r="L187" i="48"/>
  <c r="M187" i="48"/>
  <c r="N187" i="48"/>
  <c r="P187" i="48"/>
  <c r="Q187" i="48"/>
  <c r="R187" i="48" s="1"/>
  <c r="S187" i="48"/>
  <c r="T187" i="48"/>
  <c r="U187" i="48"/>
  <c r="V187" i="48"/>
  <c r="X187" i="48" s="1"/>
  <c r="W187" i="48"/>
  <c r="Y187" i="48"/>
  <c r="Z187" i="48"/>
  <c r="AA187" i="48"/>
  <c r="AB187" i="48"/>
  <c r="AC187" i="48"/>
  <c r="AD187" i="48"/>
  <c r="AE187" i="48"/>
  <c r="AG187" i="48" s="1"/>
  <c r="AF187" i="48"/>
  <c r="AH187" i="48"/>
  <c r="AI187" i="48"/>
  <c r="AJ187" i="48"/>
  <c r="AK187" i="48"/>
  <c r="AL187" i="48"/>
  <c r="AM187" i="48"/>
  <c r="AN187" i="48"/>
  <c r="AO187" i="48"/>
  <c r="AP187" i="48" s="1"/>
  <c r="AQ187" i="48"/>
  <c r="AR187" i="48"/>
  <c r="AS187" i="48" s="1"/>
  <c r="I188" i="48"/>
  <c r="J188" i="48"/>
  <c r="K188" i="48"/>
  <c r="L188" i="48" s="1"/>
  <c r="M188" i="48"/>
  <c r="N188" i="48"/>
  <c r="O188" i="48"/>
  <c r="P188" i="48"/>
  <c r="Q188" i="48"/>
  <c r="S188" i="48"/>
  <c r="T188" i="48"/>
  <c r="U188" i="48"/>
  <c r="V188" i="48"/>
  <c r="X188" i="48" s="1"/>
  <c r="W188" i="48"/>
  <c r="Y188" i="48"/>
  <c r="AA188" i="48" s="1"/>
  <c r="Z188" i="48"/>
  <c r="AB188" i="48"/>
  <c r="AC188" i="48"/>
  <c r="AD188" i="48"/>
  <c r="AE188" i="48"/>
  <c r="AG188" i="48" s="1"/>
  <c r="AF188" i="48"/>
  <c r="AH188" i="48"/>
  <c r="AI188" i="48"/>
  <c r="AJ188" i="48" s="1"/>
  <c r="AK188" i="48"/>
  <c r="AL188" i="48"/>
  <c r="AM188" i="48"/>
  <c r="AO188" i="48"/>
  <c r="AP188" i="48" s="1"/>
  <c r="AR188" i="48"/>
  <c r="AS188" i="48"/>
  <c r="I189" i="48"/>
  <c r="AO189" i="48"/>
  <c r="AP189" i="48"/>
  <c r="AR189" i="48"/>
  <c r="AS189" i="48" s="1"/>
  <c r="AV189" i="48" s="1"/>
  <c r="I191" i="48"/>
  <c r="J191" i="48"/>
  <c r="K191" i="48"/>
  <c r="L191" i="48"/>
  <c r="M191" i="48"/>
  <c r="N191" i="48"/>
  <c r="P191" i="48"/>
  <c r="Q191" i="48"/>
  <c r="R191" i="48"/>
  <c r="S191" i="48"/>
  <c r="T191" i="48"/>
  <c r="U191" i="48"/>
  <c r="V191" i="48"/>
  <c r="X191" i="48" s="1"/>
  <c r="W191" i="48"/>
  <c r="Y191" i="48"/>
  <c r="Z191" i="48"/>
  <c r="AA191" i="48"/>
  <c r="AB191" i="48"/>
  <c r="AC191" i="48"/>
  <c r="AD191" i="48"/>
  <c r="AE191" i="48"/>
  <c r="AF191" i="48"/>
  <c r="AG191" i="48" s="1"/>
  <c r="AH191" i="48"/>
  <c r="AI191" i="48"/>
  <c r="AJ191" i="48" s="1"/>
  <c r="AK191" i="48"/>
  <c r="AM191" i="48" s="1"/>
  <c r="AL191" i="48"/>
  <c r="AN191" i="48"/>
  <c r="AO191" i="48"/>
  <c r="AP191" i="48"/>
  <c r="AQ191" i="48"/>
  <c r="AS191" i="48" s="1"/>
  <c r="AR191" i="48"/>
  <c r="I192" i="48"/>
  <c r="J192" i="48"/>
  <c r="K192" i="48"/>
  <c r="L192" i="48"/>
  <c r="M192" i="48"/>
  <c r="O192" i="48" s="1"/>
  <c r="N192" i="48"/>
  <c r="P192" i="48"/>
  <c r="R192" i="48" s="1"/>
  <c r="Q192" i="48"/>
  <c r="S192" i="48"/>
  <c r="T192" i="48"/>
  <c r="U192" i="48"/>
  <c r="V192" i="48"/>
  <c r="X192" i="48" s="1"/>
  <c r="W192" i="48"/>
  <c r="Y192" i="48"/>
  <c r="Z192" i="48"/>
  <c r="AA192" i="48" s="1"/>
  <c r="AB192" i="48"/>
  <c r="AC192" i="48"/>
  <c r="AD192" i="48"/>
  <c r="AE192" i="48"/>
  <c r="AG192" i="48" s="1"/>
  <c r="AF192" i="48"/>
  <c r="AH192" i="48"/>
  <c r="AI192" i="48"/>
  <c r="AJ192" i="48"/>
  <c r="AK192" i="48"/>
  <c r="AL192" i="48"/>
  <c r="AM192" i="48"/>
  <c r="AO192" i="48"/>
  <c r="AP192" i="48" s="1"/>
  <c r="AR192" i="48"/>
  <c r="AS192" i="48" s="1"/>
  <c r="I193" i="48"/>
  <c r="AO193" i="48"/>
  <c r="AP193" i="48" s="1"/>
  <c r="AR193" i="48"/>
  <c r="AS193" i="48" s="1"/>
  <c r="I195" i="48"/>
  <c r="J195" i="48"/>
  <c r="L195" i="48" s="1"/>
  <c r="K195" i="48"/>
  <c r="M195" i="48"/>
  <c r="O195" i="48" s="1"/>
  <c r="N195" i="48"/>
  <c r="P195" i="48"/>
  <c r="Q195" i="48"/>
  <c r="R195" i="48"/>
  <c r="T195" i="48"/>
  <c r="U195" i="48"/>
  <c r="W195" i="48"/>
  <c r="X195" i="48" s="1"/>
  <c r="Z195" i="48"/>
  <c r="AA195" i="48" s="1"/>
  <c r="AC195" i="48"/>
  <c r="AD195" i="48"/>
  <c r="AF195" i="48"/>
  <c r="AG195" i="48"/>
  <c r="AI195" i="48"/>
  <c r="AJ195" i="48" s="1"/>
  <c r="AL195" i="48"/>
  <c r="AM195" i="48" s="1"/>
  <c r="AO195" i="48"/>
  <c r="AP195" i="48"/>
  <c r="AR195" i="48"/>
  <c r="AS195" i="48" s="1"/>
  <c r="I196" i="48"/>
  <c r="K196" i="48"/>
  <c r="L196" i="48" s="1"/>
  <c r="N196" i="48"/>
  <c r="O196" i="48"/>
  <c r="Q196" i="48"/>
  <c r="R196" i="48"/>
  <c r="S196" i="48"/>
  <c r="U196" i="48" s="1"/>
  <c r="T196" i="48"/>
  <c r="V196" i="48"/>
  <c r="W196" i="48"/>
  <c r="X196" i="48"/>
  <c r="Y196" i="48"/>
  <c r="AA196" i="48" s="1"/>
  <c r="Z196" i="48"/>
  <c r="AB196" i="48"/>
  <c r="AC196" i="48"/>
  <c r="AD196" i="48" s="1"/>
  <c r="AE196" i="48"/>
  <c r="AF196" i="48"/>
  <c r="AG196" i="48"/>
  <c r="AH196" i="48"/>
  <c r="AJ196" i="48" s="1"/>
  <c r="AI196" i="48"/>
  <c r="AK196" i="48"/>
  <c r="AL196" i="48"/>
  <c r="AM196" i="48"/>
  <c r="AN196" i="48"/>
  <c r="AO196" i="48"/>
  <c r="AP196" i="48"/>
  <c r="AQ196" i="48"/>
  <c r="AS196" i="48" s="1"/>
  <c r="AR196" i="48"/>
  <c r="I197" i="48"/>
  <c r="J197" i="48"/>
  <c r="K197" i="48"/>
  <c r="L197" i="48"/>
  <c r="M197" i="48"/>
  <c r="O197" i="48" s="1"/>
  <c r="N197" i="48"/>
  <c r="P197" i="48"/>
  <c r="Q197" i="48"/>
  <c r="R197" i="48"/>
  <c r="T197" i="48"/>
  <c r="Z197" i="48"/>
  <c r="AA197" i="48"/>
  <c r="AC197" i="48"/>
  <c r="AD197" i="48"/>
  <c r="AF197" i="48"/>
  <c r="AG197" i="48"/>
  <c r="AI197" i="48"/>
  <c r="AJ197" i="48" s="1"/>
  <c r="AL197" i="48"/>
  <c r="AM197" i="48"/>
  <c r="AV197" i="48" s="1"/>
  <c r="AO197" i="48"/>
  <c r="AP197" i="48"/>
  <c r="AR197" i="48"/>
  <c r="AS197" i="48"/>
  <c r="I198" i="48"/>
  <c r="K198" i="48"/>
  <c r="L198" i="48"/>
  <c r="N198" i="48"/>
  <c r="O198" i="48"/>
  <c r="Q198" i="48"/>
  <c r="R198" i="48"/>
  <c r="T198" i="48"/>
  <c r="U198" i="48" s="1"/>
  <c r="W198" i="48"/>
  <c r="X198" i="48"/>
  <c r="Z198" i="48"/>
  <c r="AA198" i="48"/>
  <c r="AC198" i="48"/>
  <c r="AD198" i="48"/>
  <c r="AF198" i="48"/>
  <c r="AG198" i="48" s="1"/>
  <c r="AI198" i="48"/>
  <c r="AJ198" i="48"/>
  <c r="AL198" i="48"/>
  <c r="AM198" i="48"/>
  <c r="AO198" i="48"/>
  <c r="AP198" i="48"/>
  <c r="AR198" i="48"/>
  <c r="AS198" i="48" s="1"/>
  <c r="I200" i="48"/>
  <c r="J200" i="48"/>
  <c r="K200" i="48"/>
  <c r="L200" i="48"/>
  <c r="M200" i="48"/>
  <c r="N200" i="48"/>
  <c r="O200" i="48"/>
  <c r="P200" i="48"/>
  <c r="Q200" i="48"/>
  <c r="R200" i="48" s="1"/>
  <c r="S200" i="48"/>
  <c r="T200" i="48"/>
  <c r="U200" i="48" s="1"/>
  <c r="V200" i="48"/>
  <c r="X200" i="48" s="1"/>
  <c r="W200" i="48"/>
  <c r="Y200" i="48"/>
  <c r="Z200" i="48"/>
  <c r="AA200" i="48"/>
  <c r="AB200" i="48"/>
  <c r="AD200" i="48" s="1"/>
  <c r="AC200" i="48"/>
  <c r="AE200" i="48"/>
  <c r="AG200" i="48" s="1"/>
  <c r="AF200" i="48"/>
  <c r="AH200" i="48"/>
  <c r="AI200" i="48"/>
  <c r="AJ200" i="48"/>
  <c r="AK200" i="48"/>
  <c r="AM200" i="48" s="1"/>
  <c r="AL200" i="48"/>
  <c r="AN200" i="48"/>
  <c r="AO200" i="48"/>
  <c r="AP200" i="48" s="1"/>
  <c r="AQ200" i="48"/>
  <c r="AR200" i="48"/>
  <c r="AS200" i="48"/>
  <c r="I201" i="48"/>
  <c r="J201" i="48"/>
  <c r="K201" i="48"/>
  <c r="L201" i="48" s="1"/>
  <c r="M201" i="48"/>
  <c r="N201" i="48"/>
  <c r="O201" i="48"/>
  <c r="P201" i="48"/>
  <c r="Q201" i="48"/>
  <c r="S201" i="48"/>
  <c r="T201" i="48"/>
  <c r="U201" i="48"/>
  <c r="V201" i="48"/>
  <c r="W201" i="48"/>
  <c r="X201" i="48"/>
  <c r="Y201" i="48"/>
  <c r="AA201" i="48" s="1"/>
  <c r="Z201" i="48"/>
  <c r="AB201" i="48"/>
  <c r="AC201" i="48"/>
  <c r="AD201" i="48"/>
  <c r="AE201" i="48"/>
  <c r="AF201" i="48"/>
  <c r="AG201" i="48"/>
  <c r="AH201" i="48"/>
  <c r="AI201" i="48"/>
  <c r="AJ201" i="48" s="1"/>
  <c r="AK201" i="48"/>
  <c r="AL201" i="48"/>
  <c r="AM201" i="48"/>
  <c r="AN201" i="48"/>
  <c r="AO201" i="48"/>
  <c r="AQ201" i="48"/>
  <c r="AR201" i="48"/>
  <c r="AS201" i="48"/>
  <c r="I203" i="48"/>
  <c r="K203" i="48"/>
  <c r="L203" i="48" s="1"/>
  <c r="N203" i="48"/>
  <c r="O203" i="48" s="1"/>
  <c r="Q203" i="48"/>
  <c r="R203" i="48"/>
  <c r="S203" i="48"/>
  <c r="U203" i="48" s="1"/>
  <c r="T203" i="48"/>
  <c r="V203" i="48"/>
  <c r="W203" i="48"/>
  <c r="X203" i="48" s="1"/>
  <c r="Y203" i="48"/>
  <c r="Z203" i="48"/>
  <c r="AA203" i="48"/>
  <c r="AB203" i="48"/>
  <c r="AD203" i="48" s="1"/>
  <c r="AC203" i="48"/>
  <c r="AE203" i="48"/>
  <c r="AF203" i="48"/>
  <c r="AG203" i="48"/>
  <c r="AH203" i="48"/>
  <c r="AI203" i="48"/>
  <c r="AJ203" i="48"/>
  <c r="AK203" i="48"/>
  <c r="AM203" i="48" s="1"/>
  <c r="AL203" i="48"/>
  <c r="AO203" i="48"/>
  <c r="AP203" i="48"/>
  <c r="AR203" i="48"/>
  <c r="AS203" i="48"/>
  <c r="I205" i="48"/>
  <c r="J205" i="48"/>
  <c r="K205" i="48"/>
  <c r="L205" i="48"/>
  <c r="M205" i="48"/>
  <c r="N205" i="48"/>
  <c r="O205" i="48"/>
  <c r="P205" i="48"/>
  <c r="Q205" i="48"/>
  <c r="R205" i="48" s="1"/>
  <c r="S205" i="48"/>
  <c r="T205" i="48"/>
  <c r="U205" i="48"/>
  <c r="V205" i="48"/>
  <c r="W205" i="48"/>
  <c r="Y205" i="48"/>
  <c r="Z205" i="48"/>
  <c r="AA205" i="48"/>
  <c r="AB205" i="48"/>
  <c r="AD205" i="48" s="1"/>
  <c r="AC205" i="48"/>
  <c r="AE205" i="48"/>
  <c r="AG205" i="48" s="1"/>
  <c r="AF205" i="48"/>
  <c r="AH205" i="48"/>
  <c r="AI205" i="48"/>
  <c r="AJ205" i="48"/>
  <c r="AK205" i="48"/>
  <c r="AM205" i="48" s="1"/>
  <c r="AL205" i="48"/>
  <c r="AN205" i="48"/>
  <c r="AO205" i="48"/>
  <c r="AP205" i="48" s="1"/>
  <c r="AQ205" i="48"/>
  <c r="AR205" i="48"/>
  <c r="AS205" i="48"/>
  <c r="G206" i="48"/>
  <c r="J206" i="48"/>
  <c r="M206" i="48"/>
  <c r="N206" i="48"/>
  <c r="O206" i="48"/>
  <c r="P206" i="48"/>
  <c r="S206" i="48"/>
  <c r="V206" i="48"/>
  <c r="W206" i="48"/>
  <c r="X206" i="48" s="1"/>
  <c r="Y206" i="48"/>
  <c r="AB206" i="48"/>
  <c r="AC206" i="48"/>
  <c r="AD206" i="48"/>
  <c r="AE206" i="48"/>
  <c r="AG206" i="48" s="1"/>
  <c r="AF206" i="48"/>
  <c r="AH206" i="48"/>
  <c r="AK206" i="48"/>
  <c r="AL206" i="48"/>
  <c r="AM206" i="48"/>
  <c r="AN206" i="48"/>
  <c r="AQ206" i="48"/>
  <c r="I208" i="48"/>
  <c r="J208" i="48"/>
  <c r="K208" i="48"/>
  <c r="L208" i="48" s="1"/>
  <c r="N208" i="48"/>
  <c r="O208" i="48"/>
  <c r="Q208" i="48"/>
  <c r="R208" i="48" s="1"/>
  <c r="T208" i="48"/>
  <c r="U208" i="48" s="1"/>
  <c r="W208" i="48"/>
  <c r="X208" i="48" s="1"/>
  <c r="Z208" i="48"/>
  <c r="AA208" i="48"/>
  <c r="AC208" i="48"/>
  <c r="AD208" i="48"/>
  <c r="AF208" i="48"/>
  <c r="AG208" i="48" s="1"/>
  <c r="AI208" i="48"/>
  <c r="AJ208" i="48" s="1"/>
  <c r="AL208" i="48"/>
  <c r="AM208" i="48"/>
  <c r="AO208" i="48"/>
  <c r="AP208" i="48"/>
  <c r="AR208" i="48"/>
  <c r="AS208" i="48" s="1"/>
  <c r="I209" i="48"/>
  <c r="K209" i="48"/>
  <c r="L209" i="48"/>
  <c r="M209" i="48"/>
  <c r="N209" i="48"/>
  <c r="O209" i="48"/>
  <c r="P209" i="48"/>
  <c r="Q209" i="48"/>
  <c r="R209" i="48" s="1"/>
  <c r="S209" i="48"/>
  <c r="T209" i="48"/>
  <c r="U209" i="48" s="1"/>
  <c r="V209" i="48"/>
  <c r="X209" i="48" s="1"/>
  <c r="W209" i="48"/>
  <c r="Y209" i="48"/>
  <c r="Z209" i="48"/>
  <c r="AA209" i="48"/>
  <c r="AB209" i="48"/>
  <c r="AD209" i="48" s="1"/>
  <c r="AC209" i="48"/>
  <c r="AE209" i="48"/>
  <c r="AG209" i="48" s="1"/>
  <c r="AF209" i="48"/>
  <c r="AH209" i="48"/>
  <c r="AI209" i="48"/>
  <c r="AJ209" i="48"/>
  <c r="AK209" i="48"/>
  <c r="AM209" i="48" s="1"/>
  <c r="AV209" i="48" s="1"/>
  <c r="AL209" i="48"/>
  <c r="AN209" i="48"/>
  <c r="AO209" i="48"/>
  <c r="AP209" i="48" s="1"/>
  <c r="AQ209" i="48"/>
  <c r="AR209" i="48"/>
  <c r="AS209" i="48"/>
  <c r="I210" i="48"/>
  <c r="K210" i="48"/>
  <c r="L210" i="48"/>
  <c r="M210" i="48"/>
  <c r="N210" i="48"/>
  <c r="O210" i="48"/>
  <c r="P210" i="48"/>
  <c r="R210" i="48" s="1"/>
  <c r="Q210" i="48"/>
  <c r="S210" i="48"/>
  <c r="T210" i="48"/>
  <c r="U210" i="48" s="1"/>
  <c r="V210" i="48"/>
  <c r="W210" i="48"/>
  <c r="X210" i="48"/>
  <c r="Y210" i="48"/>
  <c r="Z210" i="48"/>
  <c r="AB210" i="48"/>
  <c r="AC210" i="48"/>
  <c r="AD210" i="48"/>
  <c r="AE210" i="48"/>
  <c r="AF210" i="48"/>
  <c r="AG210" i="48"/>
  <c r="AH210" i="48"/>
  <c r="AJ210" i="48" s="1"/>
  <c r="AI210" i="48"/>
  <c r="AK210" i="48"/>
  <c r="AL210" i="48"/>
  <c r="AM210" i="48"/>
  <c r="AN210" i="48"/>
  <c r="AO210" i="48"/>
  <c r="AP210" i="48"/>
  <c r="AQ210" i="48"/>
  <c r="AR210" i="48"/>
  <c r="AS210" i="48" s="1"/>
  <c r="I212" i="48"/>
  <c r="J212" i="48"/>
  <c r="L212" i="48" s="1"/>
  <c r="K212" i="48"/>
  <c r="M212" i="48"/>
  <c r="N212" i="48"/>
  <c r="O212" i="48"/>
  <c r="P212" i="48"/>
  <c r="R212" i="48" s="1"/>
  <c r="Q212" i="48"/>
  <c r="S212" i="48"/>
  <c r="T212" i="48"/>
  <c r="U212" i="48" s="1"/>
  <c r="V212" i="48"/>
  <c r="W212" i="48"/>
  <c r="X212" i="48"/>
  <c r="Y212" i="48"/>
  <c r="AA212" i="48" s="1"/>
  <c r="Z212" i="48"/>
  <c r="AB212" i="48"/>
  <c r="AC212" i="48"/>
  <c r="AD212" i="48"/>
  <c r="AE212" i="48"/>
  <c r="AF212" i="48"/>
  <c r="AG212" i="48"/>
  <c r="AH212" i="48"/>
  <c r="AJ212" i="48" s="1"/>
  <c r="AI212" i="48"/>
  <c r="AK212" i="48"/>
  <c r="AL212" i="48"/>
  <c r="AM212" i="48"/>
  <c r="AO212" i="48"/>
  <c r="AP212" i="48"/>
  <c r="AR212" i="48"/>
  <c r="AS212" i="48" s="1"/>
  <c r="I214" i="48"/>
  <c r="K214" i="48"/>
  <c r="L214" i="48"/>
  <c r="N214" i="48"/>
  <c r="O214" i="48" s="1"/>
  <c r="Q214" i="48"/>
  <c r="R214" i="48" s="1"/>
  <c r="S214" i="48"/>
  <c r="T214" i="48"/>
  <c r="U214" i="48"/>
  <c r="V214" i="48"/>
  <c r="X214" i="48" s="1"/>
  <c r="W214" i="48"/>
  <c r="Y214" i="48"/>
  <c r="Z214" i="48"/>
  <c r="AA214" i="48"/>
  <c r="AB214" i="48"/>
  <c r="AC214" i="48"/>
  <c r="AD214" i="48"/>
  <c r="AE214" i="48"/>
  <c r="AG214" i="48" s="1"/>
  <c r="AF214" i="48"/>
  <c r="AH214" i="48"/>
  <c r="AI214" i="48"/>
  <c r="AJ214" i="48"/>
  <c r="AK214" i="48"/>
  <c r="AL214" i="48"/>
  <c r="AM214" i="48"/>
  <c r="AV214" i="48" s="1"/>
  <c r="AX214" i="48" s="1"/>
  <c r="BD214" i="48" s="1"/>
  <c r="AO214" i="48"/>
  <c r="AP214" i="48"/>
  <c r="AR214" i="48"/>
  <c r="AS214" i="48"/>
  <c r="G216" i="48"/>
  <c r="AC216" i="48" s="1"/>
  <c r="AD216" i="48" s="1"/>
  <c r="Y216" i="48"/>
  <c r="AB216" i="48"/>
  <c r="AE216" i="48"/>
  <c r="AH216" i="48"/>
  <c r="AK216" i="48"/>
  <c r="AN216" i="48"/>
  <c r="AQ216" i="48"/>
  <c r="Y217" i="48"/>
  <c r="Z217" i="48"/>
  <c r="AB217" i="48"/>
  <c r="AC217" i="48"/>
  <c r="AD217" i="48"/>
  <c r="AE217" i="48"/>
  <c r="AF217" i="48"/>
  <c r="AG217" i="48"/>
  <c r="AH217" i="48"/>
  <c r="AJ217" i="48" s="1"/>
  <c r="AI217" i="48"/>
  <c r="AK217" i="48"/>
  <c r="AL217" i="48"/>
  <c r="AM217" i="48"/>
  <c r="AN217" i="48"/>
  <c r="AO217" i="48"/>
  <c r="AP217" i="48"/>
  <c r="AQ217" i="48"/>
  <c r="AR217" i="48"/>
  <c r="AS217" i="48" s="1"/>
  <c r="G218" i="48"/>
  <c r="AI218" i="48" s="1"/>
  <c r="Y218" i="48"/>
  <c r="AB218" i="48"/>
  <c r="AE218" i="48"/>
  <c r="AF218" i="48"/>
  <c r="AG218" i="48"/>
  <c r="AH218" i="48"/>
  <c r="AK218" i="48"/>
  <c r="AN218" i="48"/>
  <c r="AQ218" i="48"/>
  <c r="G219" i="48"/>
  <c r="AC219" i="48" s="1"/>
  <c r="Y219" i="48"/>
  <c r="AA219" i="48" s="1"/>
  <c r="Z219" i="48"/>
  <c r="AB219" i="48"/>
  <c r="AE219" i="48"/>
  <c r="AH219" i="48"/>
  <c r="AJ219" i="48" s="1"/>
  <c r="AI219" i="48"/>
  <c r="AK219" i="48"/>
  <c r="AN219" i="48"/>
  <c r="AO219" i="48"/>
  <c r="AP219" i="48"/>
  <c r="AQ219" i="48"/>
  <c r="AR219" i="48"/>
  <c r="G220" i="48"/>
  <c r="AL220" i="48" s="1"/>
  <c r="Y220" i="48"/>
  <c r="Z220" i="48"/>
  <c r="AA220" i="48"/>
  <c r="AB220" i="48"/>
  <c r="AC220" i="48"/>
  <c r="AE220" i="48"/>
  <c r="AF220" i="48"/>
  <c r="AG220" i="48"/>
  <c r="AH220" i="48"/>
  <c r="AJ220" i="48" s="1"/>
  <c r="AI220" i="48"/>
  <c r="AK220" i="48"/>
  <c r="AN220" i="48"/>
  <c r="AO220" i="48"/>
  <c r="AP220" i="48"/>
  <c r="AQ220" i="48"/>
  <c r="AS220" i="48" s="1"/>
  <c r="AR220" i="48"/>
  <c r="G221" i="48"/>
  <c r="AO221" i="48" s="1"/>
  <c r="AA221" i="48"/>
  <c r="AB221" i="48"/>
  <c r="AC221" i="48"/>
  <c r="AD221" i="48"/>
  <c r="AE221" i="48"/>
  <c r="AG221" i="48" s="1"/>
  <c r="AF221" i="48"/>
  <c r="AH221" i="48"/>
  <c r="AK221" i="48"/>
  <c r="AL221" i="48"/>
  <c r="AM221" i="48"/>
  <c r="AN221" i="48"/>
  <c r="AP221" i="48" s="1"/>
  <c r="AQ221" i="48"/>
  <c r="AR221" i="48"/>
  <c r="AS221" i="48"/>
  <c r="G222" i="48"/>
  <c r="AL222" i="48" s="1"/>
  <c r="AM222" i="48" s="1"/>
  <c r="Y222" i="48"/>
  <c r="AB222" i="48"/>
  <c r="AE222" i="48"/>
  <c r="AG222" i="48" s="1"/>
  <c r="AF222" i="48"/>
  <c r="AH222" i="48"/>
  <c r="AK222" i="48"/>
  <c r="AN222" i="48"/>
  <c r="AO222" i="48"/>
  <c r="AQ222" i="48"/>
  <c r="G223" i="48"/>
  <c r="Y223" i="48"/>
  <c r="AA223" i="48" s="1"/>
  <c r="Z223" i="48"/>
  <c r="AB223" i="48"/>
  <c r="AE223" i="48"/>
  <c r="AF223" i="48"/>
  <c r="AG223" i="48"/>
  <c r="AH223" i="48"/>
  <c r="AK223" i="48"/>
  <c r="AN223" i="48"/>
  <c r="AO223" i="48"/>
  <c r="AP223" i="48"/>
  <c r="AQ223" i="48"/>
  <c r="G224" i="48"/>
  <c r="AO224" i="48" s="1"/>
  <c r="AP224" i="48" s="1"/>
  <c r="Y224" i="48"/>
  <c r="AB224" i="48"/>
  <c r="AE224" i="48"/>
  <c r="AH224" i="48"/>
  <c r="AK224" i="48"/>
  <c r="AN224" i="48"/>
  <c r="AQ224" i="48"/>
  <c r="G225" i="48"/>
  <c r="AC225" i="48" s="1"/>
  <c r="Y225" i="48"/>
  <c r="AA225" i="48" s="1"/>
  <c r="Z225" i="48"/>
  <c r="AB225" i="48"/>
  <c r="AE225" i="48"/>
  <c r="AF225" i="48"/>
  <c r="AG225" i="48"/>
  <c r="AH225" i="48"/>
  <c r="AJ225" i="48" s="1"/>
  <c r="AI225" i="48"/>
  <c r="AK225" i="48"/>
  <c r="AN225" i="48"/>
  <c r="AO225" i="48"/>
  <c r="AP225" i="48"/>
  <c r="AQ225" i="48"/>
  <c r="AR225" i="48"/>
  <c r="F226" i="48"/>
  <c r="G230" i="48"/>
  <c r="I230" i="48" s="1"/>
  <c r="J230" i="48"/>
  <c r="M230" i="48"/>
  <c r="P230" i="48"/>
  <c r="Q230" i="48"/>
  <c r="R230" i="48"/>
  <c r="S230" i="48"/>
  <c r="V230" i="48"/>
  <c r="Y230" i="48"/>
  <c r="AB230" i="48"/>
  <c r="AE230" i="48"/>
  <c r="AG230" i="48" s="1"/>
  <c r="AF230" i="48"/>
  <c r="AH230" i="48"/>
  <c r="AK230" i="48"/>
  <c r="AN230" i="48"/>
  <c r="AO230" i="48"/>
  <c r="AP230" i="48"/>
  <c r="AQ230" i="48"/>
  <c r="G231" i="48"/>
  <c r="I231" i="48"/>
  <c r="J231" i="48"/>
  <c r="K231" i="48"/>
  <c r="M231" i="48"/>
  <c r="P231" i="48"/>
  <c r="R231" i="48" s="1"/>
  <c r="Q231" i="48"/>
  <c r="S231" i="48"/>
  <c r="V231" i="48"/>
  <c r="Y231" i="48"/>
  <c r="Z231" i="48"/>
  <c r="AA231" i="48"/>
  <c r="AB231" i="48"/>
  <c r="AE231" i="48"/>
  <c r="AF231" i="48"/>
  <c r="AG231" i="48"/>
  <c r="AH231" i="48"/>
  <c r="AI231" i="48"/>
  <c r="AK231" i="48"/>
  <c r="AN231" i="48"/>
  <c r="AP231" i="48" s="1"/>
  <c r="AO231" i="48"/>
  <c r="AQ231" i="48"/>
  <c r="G232" i="48"/>
  <c r="AV232" i="48"/>
  <c r="AZ232" i="48"/>
  <c r="BA232" i="48"/>
  <c r="BA346" i="48" s="1"/>
  <c r="G234" i="48"/>
  <c r="I234" i="48"/>
  <c r="J234" i="48"/>
  <c r="K234" i="48"/>
  <c r="L234" i="48"/>
  <c r="M234" i="48"/>
  <c r="N234" i="48"/>
  <c r="O234" i="48"/>
  <c r="Q234" i="48"/>
  <c r="R234" i="48"/>
  <c r="T234" i="48"/>
  <c r="U234" i="48"/>
  <c r="W234" i="48"/>
  <c r="X234" i="48"/>
  <c r="Z234" i="48"/>
  <c r="AA234" i="48"/>
  <c r="AC234" i="48"/>
  <c r="AD234" i="48"/>
  <c r="AF234" i="48"/>
  <c r="AG234" i="48"/>
  <c r="AI234" i="48"/>
  <c r="AJ234" i="48"/>
  <c r="AL234" i="48"/>
  <c r="AM234" i="48"/>
  <c r="AV234" i="48" s="1"/>
  <c r="AO234" i="48"/>
  <c r="AP234" i="48"/>
  <c r="AR234" i="48"/>
  <c r="AS234" i="48"/>
  <c r="G235" i="48"/>
  <c r="T235" i="48" s="1"/>
  <c r="I235" i="48"/>
  <c r="K235" i="48"/>
  <c r="L235" i="48" s="1"/>
  <c r="P235" i="48"/>
  <c r="Q235" i="48"/>
  <c r="R235" i="48" s="1"/>
  <c r="S235" i="48"/>
  <c r="V235" i="48"/>
  <c r="Y235" i="48"/>
  <c r="Z235" i="48"/>
  <c r="AA235" i="48"/>
  <c r="AB235" i="48"/>
  <c r="AE235" i="48"/>
  <c r="AH235" i="48"/>
  <c r="AI235" i="48"/>
  <c r="AJ235" i="48"/>
  <c r="AK235" i="48"/>
  <c r="AN235" i="48"/>
  <c r="AO235" i="48"/>
  <c r="AP235" i="48" s="1"/>
  <c r="AQ235" i="48"/>
  <c r="I236" i="48"/>
  <c r="J236" i="48"/>
  <c r="K236" i="48"/>
  <c r="L236" i="48"/>
  <c r="M236" i="48"/>
  <c r="O236" i="48" s="1"/>
  <c r="N236" i="48"/>
  <c r="Q236" i="48"/>
  <c r="R236" i="48" s="1"/>
  <c r="T236" i="48"/>
  <c r="U236" i="48"/>
  <c r="W236" i="48"/>
  <c r="X236" i="48"/>
  <c r="Z236" i="48"/>
  <c r="AA236" i="48" s="1"/>
  <c r="AC236" i="48"/>
  <c r="AD236" i="48" s="1"/>
  <c r="AF236" i="48"/>
  <c r="AG236" i="48"/>
  <c r="AI236" i="48"/>
  <c r="AJ236" i="48"/>
  <c r="AL236" i="48"/>
  <c r="AM236" i="48" s="1"/>
  <c r="AO236" i="48"/>
  <c r="AP236" i="48" s="1"/>
  <c r="AR236" i="48"/>
  <c r="AS236" i="48"/>
  <c r="AV236" i="48" s="1"/>
  <c r="G237" i="48"/>
  <c r="AV237" i="48"/>
  <c r="AZ237" i="48"/>
  <c r="BA237" i="48"/>
  <c r="BC237" i="48"/>
  <c r="G239" i="48"/>
  <c r="W239" i="48" s="1"/>
  <c r="X239" i="48" s="1"/>
  <c r="J239" i="48"/>
  <c r="M239" i="48"/>
  <c r="P239" i="48"/>
  <c r="S239" i="48"/>
  <c r="V239" i="48"/>
  <c r="Y239" i="48"/>
  <c r="AB239" i="48"/>
  <c r="AE239" i="48"/>
  <c r="AG239" i="48" s="1"/>
  <c r="AF239" i="48"/>
  <c r="AH239" i="48"/>
  <c r="AK239" i="48"/>
  <c r="AN239" i="48"/>
  <c r="AQ239" i="48"/>
  <c r="G240" i="48"/>
  <c r="I240" i="48"/>
  <c r="J240" i="48"/>
  <c r="K240" i="48"/>
  <c r="M240" i="48"/>
  <c r="Q240" i="48"/>
  <c r="R240" i="48"/>
  <c r="T240" i="48"/>
  <c r="U240" i="48" s="1"/>
  <c r="AC240" i="48"/>
  <c r="AD240" i="48" s="1"/>
  <c r="AF240" i="48"/>
  <c r="AG240" i="48"/>
  <c r="AO240" i="48"/>
  <c r="AP240" i="48"/>
  <c r="AR240" i="48"/>
  <c r="AS240" i="48" s="1"/>
  <c r="G241" i="48"/>
  <c r="AV241" i="48"/>
  <c r="AZ241" i="48"/>
  <c r="BA241" i="48"/>
  <c r="BC241" i="48"/>
  <c r="BC346" i="48" s="1"/>
  <c r="G243" i="48"/>
  <c r="I243" i="48"/>
  <c r="J243" i="48"/>
  <c r="K243" i="48"/>
  <c r="L243" i="48"/>
  <c r="M243" i="48"/>
  <c r="N243" i="48"/>
  <c r="O243" i="48"/>
  <c r="P243" i="48"/>
  <c r="Q243" i="48"/>
  <c r="R243" i="48" s="1"/>
  <c r="S243" i="48"/>
  <c r="T243" i="48"/>
  <c r="U243" i="48"/>
  <c r="V243" i="48"/>
  <c r="W243" i="48"/>
  <c r="Y243" i="48"/>
  <c r="Z243" i="48"/>
  <c r="AA243" i="48"/>
  <c r="AB243" i="48"/>
  <c r="AC243" i="48"/>
  <c r="AD243" i="48"/>
  <c r="AE243" i="48"/>
  <c r="AG243" i="48" s="1"/>
  <c r="AF243" i="48"/>
  <c r="AH243" i="48"/>
  <c r="AI243" i="48"/>
  <c r="AJ243" i="48"/>
  <c r="AK243" i="48"/>
  <c r="AL243" i="48"/>
  <c r="AM243" i="48"/>
  <c r="AN243" i="48"/>
  <c r="AO243" i="48"/>
  <c r="AP243" i="48" s="1"/>
  <c r="AQ243" i="48"/>
  <c r="AR243" i="48"/>
  <c r="AS243" i="48" s="1"/>
  <c r="G244" i="48"/>
  <c r="J244" i="48"/>
  <c r="M244" i="48"/>
  <c r="N244" i="48"/>
  <c r="O244" i="48"/>
  <c r="P244" i="48"/>
  <c r="S244" i="48"/>
  <c r="V244" i="48"/>
  <c r="W244" i="48"/>
  <c r="X244" i="48"/>
  <c r="Y244" i="48"/>
  <c r="AB244" i="48"/>
  <c r="AC244" i="48"/>
  <c r="AD244" i="48" s="1"/>
  <c r="AE244" i="48"/>
  <c r="AG244" i="48" s="1"/>
  <c r="AF244" i="48"/>
  <c r="AH244" i="48"/>
  <c r="AK244" i="48"/>
  <c r="AL244" i="48"/>
  <c r="AM244" i="48"/>
  <c r="AN244" i="48"/>
  <c r="AQ244" i="48"/>
  <c r="G245" i="48"/>
  <c r="AV245" i="48"/>
  <c r="AZ245" i="48"/>
  <c r="BA245" i="48"/>
  <c r="BC245" i="48"/>
  <c r="G247" i="48"/>
  <c r="I247" i="48"/>
  <c r="J247" i="48"/>
  <c r="K247" i="48"/>
  <c r="M247" i="48"/>
  <c r="P247" i="48"/>
  <c r="Q247" i="48"/>
  <c r="R247" i="48"/>
  <c r="S247" i="48"/>
  <c r="V247" i="48"/>
  <c r="Y247" i="48"/>
  <c r="Z247" i="48"/>
  <c r="AA247" i="48"/>
  <c r="AB247" i="48"/>
  <c r="AE247" i="48"/>
  <c r="AF247" i="48"/>
  <c r="AG247" i="48"/>
  <c r="AH247" i="48"/>
  <c r="AI247" i="48"/>
  <c r="AK247" i="48"/>
  <c r="AN247" i="48"/>
  <c r="AO247" i="48"/>
  <c r="AP247" i="48"/>
  <c r="AQ247" i="48"/>
  <c r="I248" i="48"/>
  <c r="J248" i="48"/>
  <c r="K248" i="48"/>
  <c r="L248" i="48"/>
  <c r="M248" i="48"/>
  <c r="O248" i="48" s="1"/>
  <c r="N248" i="48"/>
  <c r="P248" i="48"/>
  <c r="Q248" i="48"/>
  <c r="R248" i="48"/>
  <c r="S248" i="48"/>
  <c r="T248" i="48"/>
  <c r="U248" i="48"/>
  <c r="V248" i="48"/>
  <c r="W248" i="48"/>
  <c r="X248" i="48" s="1"/>
  <c r="Y248" i="48"/>
  <c r="Z248" i="48"/>
  <c r="AA248" i="48"/>
  <c r="AB248" i="48"/>
  <c r="AC248" i="48"/>
  <c r="AE248" i="48"/>
  <c r="AF248" i="48"/>
  <c r="AG248" i="48"/>
  <c r="AH248" i="48"/>
  <c r="AJ248" i="48" s="1"/>
  <c r="AI248" i="48"/>
  <c r="AK248" i="48"/>
  <c r="AM248" i="48" s="1"/>
  <c r="AL248" i="48"/>
  <c r="AN248" i="48"/>
  <c r="AO248" i="48"/>
  <c r="AP248" i="48"/>
  <c r="AQ248" i="48"/>
  <c r="AS248" i="48" s="1"/>
  <c r="AR248" i="48"/>
  <c r="G249" i="48"/>
  <c r="AV249" i="48"/>
  <c r="AZ249" i="48"/>
  <c r="BA249" i="48"/>
  <c r="BC249" i="48"/>
  <c r="G251" i="48"/>
  <c r="N251" i="48" s="1"/>
  <c r="O251" i="48" s="1"/>
  <c r="J251" i="48"/>
  <c r="M251" i="48"/>
  <c r="P251" i="48"/>
  <c r="S251" i="48"/>
  <c r="V251" i="48"/>
  <c r="Y251" i="48"/>
  <c r="AB251" i="48"/>
  <c r="AE251" i="48"/>
  <c r="AH251" i="48"/>
  <c r="AK251" i="48"/>
  <c r="AN251" i="48"/>
  <c r="AQ251" i="48"/>
  <c r="I252" i="48"/>
  <c r="J252" i="48"/>
  <c r="L252" i="48" s="1"/>
  <c r="K252" i="48"/>
  <c r="M252" i="48"/>
  <c r="N252" i="48"/>
  <c r="O252" i="48"/>
  <c r="P252" i="48"/>
  <c r="R252" i="48" s="1"/>
  <c r="Q252" i="48"/>
  <c r="S252" i="48"/>
  <c r="T252" i="48"/>
  <c r="U252" i="48"/>
  <c r="V252" i="48"/>
  <c r="W252" i="48"/>
  <c r="X252" i="48"/>
  <c r="Y252" i="48"/>
  <c r="AA252" i="48" s="1"/>
  <c r="Z252" i="48"/>
  <c r="AB252" i="48"/>
  <c r="AC252" i="48"/>
  <c r="AD252" i="48"/>
  <c r="AE252" i="48"/>
  <c r="AF252" i="48"/>
  <c r="AG252" i="48"/>
  <c r="AH252" i="48"/>
  <c r="AJ252" i="48" s="1"/>
  <c r="AI252" i="48"/>
  <c r="AK252" i="48"/>
  <c r="AL252" i="48"/>
  <c r="AM252" i="48"/>
  <c r="AN252" i="48"/>
  <c r="AO252" i="48"/>
  <c r="AP252" i="48"/>
  <c r="AQ252" i="48"/>
  <c r="AR252" i="48"/>
  <c r="AS252" i="48"/>
  <c r="G253" i="48"/>
  <c r="AV253" i="48"/>
  <c r="AZ253" i="48"/>
  <c r="BA253" i="48"/>
  <c r="BC253" i="48"/>
  <c r="G255" i="48"/>
  <c r="N255" i="48" s="1"/>
  <c r="I255" i="48"/>
  <c r="J255" i="48"/>
  <c r="K255" i="48"/>
  <c r="L255" i="48"/>
  <c r="M255" i="48"/>
  <c r="O255" i="48" s="1"/>
  <c r="P255" i="48"/>
  <c r="Q255" i="48"/>
  <c r="R255" i="48"/>
  <c r="S255" i="48"/>
  <c r="T255" i="48"/>
  <c r="U255" i="48"/>
  <c r="V255" i="48"/>
  <c r="W255" i="48"/>
  <c r="X255" i="48"/>
  <c r="Y255" i="48"/>
  <c r="Z255" i="48"/>
  <c r="AA255" i="48"/>
  <c r="AB255" i="48"/>
  <c r="AC255" i="48"/>
  <c r="AE255" i="48"/>
  <c r="AF255" i="48"/>
  <c r="AG255" i="48"/>
  <c r="AH255" i="48"/>
  <c r="AJ255" i="48" s="1"/>
  <c r="AI255" i="48"/>
  <c r="AK255" i="48"/>
  <c r="AN255" i="48"/>
  <c r="AO255" i="48"/>
  <c r="AP255" i="48"/>
  <c r="AQ255" i="48"/>
  <c r="AS255" i="48" s="1"/>
  <c r="AR255" i="48"/>
  <c r="I256" i="48"/>
  <c r="J256" i="48"/>
  <c r="K256" i="48"/>
  <c r="L256" i="48"/>
  <c r="M256" i="48"/>
  <c r="N256" i="48"/>
  <c r="O256" i="48"/>
  <c r="P256" i="48"/>
  <c r="Q256" i="48"/>
  <c r="R256" i="48"/>
  <c r="S256" i="48"/>
  <c r="T256" i="48"/>
  <c r="U256" i="48"/>
  <c r="V256" i="48"/>
  <c r="W256" i="48"/>
  <c r="Y256" i="48"/>
  <c r="Z256" i="48"/>
  <c r="AA256" i="48"/>
  <c r="AB256" i="48"/>
  <c r="AC256" i="48"/>
  <c r="AD256" i="48"/>
  <c r="AE256" i="48"/>
  <c r="AG256" i="48" s="1"/>
  <c r="AF256" i="48"/>
  <c r="AH256" i="48"/>
  <c r="AI256" i="48"/>
  <c r="AJ256" i="48"/>
  <c r="AK256" i="48"/>
  <c r="AL256" i="48"/>
  <c r="AM256" i="48"/>
  <c r="AN256" i="48"/>
  <c r="AO256" i="48"/>
  <c r="AP256" i="48"/>
  <c r="AQ256" i="48"/>
  <c r="AR256" i="48"/>
  <c r="AS256" i="48"/>
  <c r="G257" i="48"/>
  <c r="AV257" i="48"/>
  <c r="AZ257" i="48"/>
  <c r="BA257" i="48"/>
  <c r="BC257" i="48"/>
  <c r="I259" i="48"/>
  <c r="J259" i="48"/>
  <c r="K259" i="48"/>
  <c r="M259" i="48"/>
  <c r="N259" i="48"/>
  <c r="O259" i="48"/>
  <c r="P259" i="48"/>
  <c r="Q259" i="48"/>
  <c r="R259" i="48" s="1"/>
  <c r="S259" i="48"/>
  <c r="U259" i="48" s="1"/>
  <c r="T259" i="48"/>
  <c r="V259" i="48"/>
  <c r="W259" i="48"/>
  <c r="X259" i="48"/>
  <c r="Z259" i="48"/>
  <c r="AA259" i="48"/>
  <c r="AC259" i="48"/>
  <c r="AD259" i="48" s="1"/>
  <c r="AF259" i="48"/>
  <c r="AG259" i="48" s="1"/>
  <c r="AI259" i="48"/>
  <c r="AJ259" i="48"/>
  <c r="AL259" i="48"/>
  <c r="AM259" i="48"/>
  <c r="AO259" i="48"/>
  <c r="AP259" i="48" s="1"/>
  <c r="AR259" i="48"/>
  <c r="AS259" i="48" s="1"/>
  <c r="I264" i="48"/>
  <c r="J264" i="48"/>
  <c r="L264" i="48" s="1"/>
  <c r="K264" i="48"/>
  <c r="M264" i="48"/>
  <c r="N264" i="48"/>
  <c r="O264" i="48"/>
  <c r="P264" i="48"/>
  <c r="R264" i="48"/>
  <c r="S264" i="48"/>
  <c r="U264" i="48" s="1"/>
  <c r="V264" i="48"/>
  <c r="X264" i="48" s="1"/>
  <c r="Y264" i="48"/>
  <c r="AA264" i="48"/>
  <c r="AB264" i="48"/>
  <c r="AD264" i="48"/>
  <c r="AE264" i="48"/>
  <c r="AG264" i="48" s="1"/>
  <c r="AH264" i="48"/>
  <c r="AJ264" i="48" s="1"/>
  <c r="AK264" i="48"/>
  <c r="AM264" i="48"/>
  <c r="AN264" i="48"/>
  <c r="AP264" i="48"/>
  <c r="AQ264" i="48"/>
  <c r="AS264" i="48" s="1"/>
  <c r="I265" i="48"/>
  <c r="J265" i="48"/>
  <c r="K265" i="48"/>
  <c r="L265" i="48"/>
  <c r="M265" i="48"/>
  <c r="N265" i="48"/>
  <c r="P265" i="48"/>
  <c r="Q265" i="48"/>
  <c r="R265" i="48"/>
  <c r="S265" i="48"/>
  <c r="T265" i="48"/>
  <c r="U265" i="48"/>
  <c r="V265" i="48"/>
  <c r="X265" i="48" s="1"/>
  <c r="W265" i="48"/>
  <c r="Y265" i="48"/>
  <c r="Z265" i="48"/>
  <c r="AA265" i="48"/>
  <c r="AB265" i="48"/>
  <c r="AC265" i="48"/>
  <c r="AD265" i="48"/>
  <c r="AE265" i="48"/>
  <c r="AF265" i="48"/>
  <c r="AG265" i="48" s="1"/>
  <c r="AH265" i="48"/>
  <c r="AI265" i="48"/>
  <c r="AJ265" i="48"/>
  <c r="AK265" i="48"/>
  <c r="AL265" i="48"/>
  <c r="AN265" i="48"/>
  <c r="AO265" i="48"/>
  <c r="AP265" i="48"/>
  <c r="AQ265" i="48"/>
  <c r="AS265" i="48" s="1"/>
  <c r="AR265" i="48"/>
  <c r="I267" i="48"/>
  <c r="J267" i="48"/>
  <c r="K267" i="48"/>
  <c r="L267" i="48"/>
  <c r="M267" i="48"/>
  <c r="O267" i="48" s="1"/>
  <c r="N267" i="48"/>
  <c r="P267" i="48"/>
  <c r="Q267" i="48"/>
  <c r="R267" i="48"/>
  <c r="S267" i="48"/>
  <c r="T267" i="48"/>
  <c r="U267" i="48"/>
  <c r="V267" i="48"/>
  <c r="X267" i="48" s="1"/>
  <c r="W267" i="48"/>
  <c r="Y267" i="48"/>
  <c r="Z267" i="48"/>
  <c r="AA267" i="48"/>
  <c r="AB267" i="48"/>
  <c r="AC267" i="48"/>
  <c r="AD267" i="48"/>
  <c r="AE267" i="48"/>
  <c r="AF267" i="48"/>
  <c r="AG267" i="48" s="1"/>
  <c r="AH267" i="48"/>
  <c r="AI267" i="48"/>
  <c r="AJ267" i="48"/>
  <c r="AK267" i="48"/>
  <c r="AL267" i="48"/>
  <c r="AN267" i="48"/>
  <c r="AO267" i="48"/>
  <c r="AP267" i="48"/>
  <c r="AQ267" i="48"/>
  <c r="AS267" i="48" s="1"/>
  <c r="I268" i="48"/>
  <c r="J268" i="48"/>
  <c r="K268" i="48"/>
  <c r="L268" i="48" s="1"/>
  <c r="M268" i="48"/>
  <c r="N268" i="48"/>
  <c r="O268" i="48"/>
  <c r="P268" i="48"/>
  <c r="Q268" i="48"/>
  <c r="S268" i="48"/>
  <c r="T268" i="48"/>
  <c r="U268" i="48"/>
  <c r="V268" i="48"/>
  <c r="X268" i="48" s="1"/>
  <c r="W268" i="48"/>
  <c r="Y268" i="48"/>
  <c r="AA268" i="48" s="1"/>
  <c r="Z268" i="48"/>
  <c r="AB268" i="48"/>
  <c r="AC268" i="48"/>
  <c r="AD268" i="48"/>
  <c r="AE268" i="48"/>
  <c r="AG268" i="48" s="1"/>
  <c r="AF268" i="48"/>
  <c r="AH268" i="48"/>
  <c r="AI268" i="48"/>
  <c r="AJ268" i="48" s="1"/>
  <c r="AK268" i="48"/>
  <c r="AL268" i="48"/>
  <c r="AM268" i="48"/>
  <c r="AN268" i="48"/>
  <c r="AP268" i="48" s="1"/>
  <c r="AO268" i="48"/>
  <c r="AQ268" i="48"/>
  <c r="AR268" i="48"/>
  <c r="AS268" i="48"/>
  <c r="I270" i="48"/>
  <c r="J270" i="48"/>
  <c r="K270" i="48"/>
  <c r="L270" i="48" s="1"/>
  <c r="M270" i="48"/>
  <c r="N270" i="48"/>
  <c r="O270" i="48"/>
  <c r="P270" i="48"/>
  <c r="Q270" i="48"/>
  <c r="S270" i="48"/>
  <c r="T270" i="48"/>
  <c r="U270" i="48"/>
  <c r="V270" i="48"/>
  <c r="W270" i="48"/>
  <c r="X270" i="48"/>
  <c r="Y270" i="48"/>
  <c r="AA270" i="48" s="1"/>
  <c r="Z270" i="48"/>
  <c r="AB270" i="48"/>
  <c r="AC270" i="48"/>
  <c r="AD270" i="48"/>
  <c r="AE270" i="48"/>
  <c r="AF270" i="48"/>
  <c r="AG270" i="48"/>
  <c r="AH270" i="48"/>
  <c r="AI270" i="48"/>
  <c r="AJ270" i="48" s="1"/>
  <c r="AK270" i="48"/>
  <c r="AL270" i="48"/>
  <c r="AM270" i="48"/>
  <c r="AN270" i="48"/>
  <c r="AO270" i="48"/>
  <c r="AQ270" i="48"/>
  <c r="AR270" i="48"/>
  <c r="AS270" i="48"/>
  <c r="I271" i="48"/>
  <c r="J271" i="48"/>
  <c r="L271" i="48" s="1"/>
  <c r="K271" i="48"/>
  <c r="M271" i="48"/>
  <c r="N271" i="48"/>
  <c r="O271" i="48"/>
  <c r="P271" i="48"/>
  <c r="R271" i="48" s="1"/>
  <c r="Q271" i="48"/>
  <c r="S271" i="48"/>
  <c r="U271" i="48" s="1"/>
  <c r="T271" i="48"/>
  <c r="V271" i="48"/>
  <c r="W271" i="48"/>
  <c r="X271" i="48"/>
  <c r="Y271" i="48"/>
  <c r="AA271" i="48" s="1"/>
  <c r="Z271" i="48"/>
  <c r="AB271" i="48"/>
  <c r="AC271" i="48"/>
  <c r="AD271" i="48" s="1"/>
  <c r="AE271" i="48"/>
  <c r="AF271" i="48"/>
  <c r="AG271" i="48"/>
  <c r="AH271" i="48"/>
  <c r="AI271" i="48"/>
  <c r="AK271" i="48"/>
  <c r="AL271" i="48"/>
  <c r="AM271" i="48"/>
  <c r="AN271" i="48"/>
  <c r="AO271" i="48"/>
  <c r="AP271" i="48"/>
  <c r="AQ271" i="48"/>
  <c r="AS271" i="48" s="1"/>
  <c r="AR271" i="48"/>
  <c r="I273" i="48"/>
  <c r="J273" i="48"/>
  <c r="K273" i="48"/>
  <c r="M273" i="48"/>
  <c r="N273" i="48"/>
  <c r="O273" i="48"/>
  <c r="P273" i="48"/>
  <c r="R273" i="48" s="1"/>
  <c r="Q273" i="48"/>
  <c r="S273" i="48"/>
  <c r="U273" i="48" s="1"/>
  <c r="T273" i="48"/>
  <c r="V273" i="48"/>
  <c r="W273" i="48"/>
  <c r="X273" i="48"/>
  <c r="Y273" i="48"/>
  <c r="AA273" i="48" s="1"/>
  <c r="Z273" i="48"/>
  <c r="AB273" i="48"/>
  <c r="AC273" i="48"/>
  <c r="AD273" i="48" s="1"/>
  <c r="AE273" i="48"/>
  <c r="AF273" i="48"/>
  <c r="AG273" i="48"/>
  <c r="AH273" i="48"/>
  <c r="AJ273" i="48" s="1"/>
  <c r="AI273" i="48"/>
  <c r="AK273" i="48"/>
  <c r="AL273" i="48"/>
  <c r="AM273" i="48"/>
  <c r="AN273" i="48"/>
  <c r="AO273" i="48"/>
  <c r="AP273" i="48"/>
  <c r="AQ273" i="48"/>
  <c r="AS273" i="48" s="1"/>
  <c r="AR273" i="48"/>
  <c r="I274" i="48"/>
  <c r="J274" i="48"/>
  <c r="K274" i="48"/>
  <c r="L274" i="48"/>
  <c r="M274" i="48"/>
  <c r="O274" i="48" s="1"/>
  <c r="N274" i="48"/>
  <c r="P274" i="48"/>
  <c r="Q274" i="48"/>
  <c r="R274" i="48"/>
  <c r="S274" i="48"/>
  <c r="T274" i="48"/>
  <c r="U274" i="48"/>
  <c r="V274" i="48"/>
  <c r="W274" i="48"/>
  <c r="X274" i="48" s="1"/>
  <c r="Y274" i="48"/>
  <c r="Z274" i="48"/>
  <c r="AA274" i="48"/>
  <c r="AB274" i="48"/>
  <c r="AC274" i="48"/>
  <c r="AE274" i="48"/>
  <c r="AF274" i="48"/>
  <c r="AG274" i="48"/>
  <c r="AH274" i="48"/>
  <c r="AJ274" i="48" s="1"/>
  <c r="AI274" i="48"/>
  <c r="AK274" i="48"/>
  <c r="AM274" i="48" s="1"/>
  <c r="AL274" i="48"/>
  <c r="AN274" i="48"/>
  <c r="AO274" i="48"/>
  <c r="AP274" i="48"/>
  <c r="AQ274" i="48"/>
  <c r="AS274" i="48" s="1"/>
  <c r="AR274" i="48"/>
  <c r="I276" i="48"/>
  <c r="J276" i="48"/>
  <c r="K276" i="48"/>
  <c r="L276" i="48"/>
  <c r="M276" i="48"/>
  <c r="O276" i="48" s="1"/>
  <c r="N276" i="48"/>
  <c r="P276" i="48"/>
  <c r="Q276" i="48"/>
  <c r="R276" i="48"/>
  <c r="S276" i="48"/>
  <c r="T276" i="48"/>
  <c r="U276" i="48"/>
  <c r="V276" i="48"/>
  <c r="W276" i="48"/>
  <c r="X276" i="48" s="1"/>
  <c r="Y276" i="48"/>
  <c r="Z276" i="48"/>
  <c r="AA276" i="48" s="1"/>
  <c r="AB276" i="48"/>
  <c r="AC276" i="48"/>
  <c r="AE276" i="48"/>
  <c r="AF276" i="48"/>
  <c r="AG276" i="48"/>
  <c r="AH276" i="48"/>
  <c r="AI276" i="48"/>
  <c r="AJ276" i="48" s="1"/>
  <c r="AK276" i="48"/>
  <c r="AM276" i="48" s="1"/>
  <c r="AL276" i="48"/>
  <c r="AN276" i="48"/>
  <c r="AO276" i="48"/>
  <c r="AP276" i="48"/>
  <c r="AQ276" i="48"/>
  <c r="AR276" i="48"/>
  <c r="AS276" i="48" s="1"/>
  <c r="I277" i="48"/>
  <c r="J277" i="48"/>
  <c r="K277" i="48"/>
  <c r="L277" i="48"/>
  <c r="M277" i="48"/>
  <c r="O277" i="48" s="1"/>
  <c r="N277" i="48"/>
  <c r="P277" i="48"/>
  <c r="Q277" i="48"/>
  <c r="R277" i="48" s="1"/>
  <c r="S277" i="48"/>
  <c r="T277" i="48"/>
  <c r="U277" i="48"/>
  <c r="V277" i="48"/>
  <c r="X277" i="48" s="1"/>
  <c r="W277" i="48"/>
  <c r="Y277" i="48"/>
  <c r="Z277" i="48"/>
  <c r="AA277" i="48"/>
  <c r="AB277" i="48"/>
  <c r="AC277" i="48"/>
  <c r="AD277" i="48"/>
  <c r="AE277" i="48"/>
  <c r="AG277" i="48" s="1"/>
  <c r="AF277" i="48"/>
  <c r="AH277" i="48"/>
  <c r="AI277" i="48"/>
  <c r="AJ277" i="48"/>
  <c r="AK277" i="48"/>
  <c r="AL277" i="48"/>
  <c r="AM277" i="48"/>
  <c r="AN277" i="48"/>
  <c r="AO277" i="48"/>
  <c r="AP277" i="48" s="1"/>
  <c r="AQ277" i="48"/>
  <c r="AR277" i="48"/>
  <c r="AS277" i="48"/>
  <c r="I279" i="48"/>
  <c r="J279" i="48"/>
  <c r="K279" i="48"/>
  <c r="L279" i="48"/>
  <c r="M279" i="48"/>
  <c r="N279" i="48"/>
  <c r="O279" i="48"/>
  <c r="P279" i="48"/>
  <c r="Q279" i="48"/>
  <c r="R279" i="48" s="1"/>
  <c r="S279" i="48"/>
  <c r="T279" i="48"/>
  <c r="U279" i="48"/>
  <c r="V279" i="48"/>
  <c r="W279" i="48"/>
  <c r="Y279" i="48"/>
  <c r="Z279" i="48"/>
  <c r="AA279" i="48"/>
  <c r="AB279" i="48"/>
  <c r="AD279" i="48" s="1"/>
  <c r="AC279" i="48"/>
  <c r="AE279" i="48"/>
  <c r="AG279" i="48" s="1"/>
  <c r="AF279" i="48"/>
  <c r="AH279" i="48"/>
  <c r="AI279" i="48"/>
  <c r="AJ279" i="48"/>
  <c r="AK279" i="48"/>
  <c r="AM279" i="48" s="1"/>
  <c r="AL279" i="48"/>
  <c r="AN279" i="48"/>
  <c r="AO279" i="48"/>
  <c r="AP279" i="48" s="1"/>
  <c r="AQ279" i="48"/>
  <c r="AR279" i="48"/>
  <c r="AS279" i="48"/>
  <c r="I280" i="48"/>
  <c r="J280" i="48"/>
  <c r="K280" i="48"/>
  <c r="L280" i="48" s="1"/>
  <c r="M280" i="48"/>
  <c r="N280" i="48"/>
  <c r="O280" i="48"/>
  <c r="P280" i="48"/>
  <c r="Q280" i="48"/>
  <c r="S280" i="48"/>
  <c r="T280" i="48"/>
  <c r="U280" i="48"/>
  <c r="V280" i="48"/>
  <c r="W280" i="48"/>
  <c r="X280" i="48"/>
  <c r="Y280" i="48"/>
  <c r="AA280" i="48" s="1"/>
  <c r="Z280" i="48"/>
  <c r="AB280" i="48"/>
  <c r="AC280" i="48"/>
  <c r="AD280" i="48"/>
  <c r="AE280" i="48"/>
  <c r="AF280" i="48"/>
  <c r="AG280" i="48"/>
  <c r="AH280" i="48"/>
  <c r="AI280" i="48"/>
  <c r="AJ280" i="48" s="1"/>
  <c r="AK280" i="48"/>
  <c r="AL280" i="48"/>
  <c r="AM280" i="48" s="1"/>
  <c r="AN280" i="48"/>
  <c r="AO280" i="48"/>
  <c r="AQ280" i="48"/>
  <c r="AR280" i="48"/>
  <c r="AS280" i="48"/>
  <c r="I282" i="48"/>
  <c r="J282" i="48"/>
  <c r="K282" i="48"/>
  <c r="L282" i="48" s="1"/>
  <c r="M282" i="48"/>
  <c r="N282" i="48"/>
  <c r="O282" i="48" s="1"/>
  <c r="P282" i="48"/>
  <c r="R282" i="48" s="1"/>
  <c r="Q282" i="48"/>
  <c r="S282" i="48"/>
  <c r="T282" i="48"/>
  <c r="U282" i="48"/>
  <c r="V282" i="48"/>
  <c r="X282" i="48" s="1"/>
  <c r="W282" i="48"/>
  <c r="Y282" i="48"/>
  <c r="AA282" i="48" s="1"/>
  <c r="Z282" i="48"/>
  <c r="AB282" i="48"/>
  <c r="AC282" i="48"/>
  <c r="AD282" i="48"/>
  <c r="AE282" i="48"/>
  <c r="AG282" i="48" s="1"/>
  <c r="AF282" i="48"/>
  <c r="AH282" i="48"/>
  <c r="AI282" i="48"/>
  <c r="AJ282" i="48" s="1"/>
  <c r="AK282" i="48"/>
  <c r="AL282" i="48"/>
  <c r="AM282" i="48"/>
  <c r="AN282" i="48"/>
  <c r="AO282" i="48"/>
  <c r="AQ282" i="48"/>
  <c r="AR282" i="48"/>
  <c r="AS282" i="48"/>
  <c r="I283" i="48"/>
  <c r="J283" i="48"/>
  <c r="K283" i="48"/>
  <c r="M283" i="48"/>
  <c r="N283" i="48"/>
  <c r="O283" i="48"/>
  <c r="P283" i="48"/>
  <c r="Q283" i="48"/>
  <c r="R283" i="48"/>
  <c r="S283" i="48"/>
  <c r="U283" i="48" s="1"/>
  <c r="T283" i="48"/>
  <c r="V283" i="48"/>
  <c r="W283" i="48"/>
  <c r="X283" i="48"/>
  <c r="Y283" i="48"/>
  <c r="Z283" i="48"/>
  <c r="AA283" i="48"/>
  <c r="AB283" i="48"/>
  <c r="AC283" i="48"/>
  <c r="AD283" i="48" s="1"/>
  <c r="AE283" i="48"/>
  <c r="AF283" i="48"/>
  <c r="AG283" i="48"/>
  <c r="AH283" i="48"/>
  <c r="AI283" i="48"/>
  <c r="AK283" i="48"/>
  <c r="AL283" i="48"/>
  <c r="AM283" i="48"/>
  <c r="AN283" i="48"/>
  <c r="AP283" i="48" s="1"/>
  <c r="AO283" i="48"/>
  <c r="AQ283" i="48"/>
  <c r="AS283" i="48" s="1"/>
  <c r="AR283" i="48"/>
  <c r="I285" i="48"/>
  <c r="J285" i="48"/>
  <c r="K285" i="48"/>
  <c r="M285" i="48"/>
  <c r="N285" i="48"/>
  <c r="O285" i="48"/>
  <c r="P285" i="48"/>
  <c r="Q285" i="48"/>
  <c r="R285" i="48"/>
  <c r="S285" i="48"/>
  <c r="U285" i="48" s="1"/>
  <c r="T285" i="48"/>
  <c r="V285" i="48"/>
  <c r="W285" i="48"/>
  <c r="X285" i="48"/>
  <c r="Y285" i="48"/>
  <c r="Z285" i="48"/>
  <c r="AA285" i="48"/>
  <c r="AB285" i="48"/>
  <c r="AC285" i="48"/>
  <c r="AD285" i="48" s="1"/>
  <c r="AE285" i="48"/>
  <c r="AF285" i="48"/>
  <c r="AG285" i="48" s="1"/>
  <c r="AH285" i="48"/>
  <c r="AI285" i="48"/>
  <c r="AK285" i="48"/>
  <c r="AL285" i="48"/>
  <c r="AM285" i="48"/>
  <c r="AN285" i="48"/>
  <c r="AO285" i="48"/>
  <c r="AP285" i="48" s="1"/>
  <c r="AQ285" i="48"/>
  <c r="AS285" i="48" s="1"/>
  <c r="AR285" i="48"/>
  <c r="I286" i="48"/>
  <c r="J286" i="48"/>
  <c r="L286" i="48" s="1"/>
  <c r="K286" i="48"/>
  <c r="M286" i="48"/>
  <c r="O286" i="48" s="1"/>
  <c r="N286" i="48"/>
  <c r="P286" i="48"/>
  <c r="Q286" i="48"/>
  <c r="R286" i="48"/>
  <c r="S286" i="48"/>
  <c r="U286" i="48" s="1"/>
  <c r="T286" i="48"/>
  <c r="V286" i="48"/>
  <c r="W286" i="48"/>
  <c r="X286" i="48" s="1"/>
  <c r="Y286" i="48"/>
  <c r="Z286" i="48"/>
  <c r="AA286" i="48"/>
  <c r="AB286" i="48"/>
  <c r="AC286" i="48"/>
  <c r="AE286" i="48"/>
  <c r="AF286" i="48"/>
  <c r="AG286" i="48"/>
  <c r="AH286" i="48"/>
  <c r="AI286" i="48"/>
  <c r="AJ286" i="48"/>
  <c r="AK286" i="48"/>
  <c r="AM286" i="48" s="1"/>
  <c r="AL286" i="48"/>
  <c r="AN286" i="48"/>
  <c r="AO286" i="48"/>
  <c r="AP286" i="48"/>
  <c r="AQ286" i="48"/>
  <c r="AR286" i="48"/>
  <c r="AS286" i="48"/>
  <c r="I288" i="48"/>
  <c r="J288" i="48"/>
  <c r="L288" i="48" s="1"/>
  <c r="K288" i="48"/>
  <c r="M288" i="48"/>
  <c r="O288" i="48" s="1"/>
  <c r="N288" i="48"/>
  <c r="P288" i="48"/>
  <c r="Q288" i="48"/>
  <c r="R288" i="48"/>
  <c r="S288" i="48"/>
  <c r="U288" i="48" s="1"/>
  <c r="T288" i="48"/>
  <c r="V288" i="48"/>
  <c r="W288" i="48"/>
  <c r="X288" i="48" s="1"/>
  <c r="Y288" i="48"/>
  <c r="Z288" i="48"/>
  <c r="AA288" i="48"/>
  <c r="AB288" i="48"/>
  <c r="AD288" i="48" s="1"/>
  <c r="AC288" i="48"/>
  <c r="AE288" i="48"/>
  <c r="AF288" i="48"/>
  <c r="AG288" i="48"/>
  <c r="AH288" i="48"/>
  <c r="AI288" i="48"/>
  <c r="AJ288" i="48"/>
  <c r="AK288" i="48"/>
  <c r="AM288" i="48" s="1"/>
  <c r="AL288" i="48"/>
  <c r="AN288" i="48"/>
  <c r="AO288" i="48"/>
  <c r="AP288" i="48"/>
  <c r="AQ288" i="48"/>
  <c r="AR288" i="48"/>
  <c r="AS288" i="48"/>
  <c r="I289" i="48"/>
  <c r="J289" i="48"/>
  <c r="K289" i="48"/>
  <c r="L289" i="48"/>
  <c r="M289" i="48"/>
  <c r="N289" i="48"/>
  <c r="O289" i="48"/>
  <c r="P289" i="48"/>
  <c r="Q289" i="48"/>
  <c r="R289" i="48" s="1"/>
  <c r="S289" i="48"/>
  <c r="T289" i="48"/>
  <c r="U289" i="48" s="1"/>
  <c r="V289" i="48"/>
  <c r="W289" i="48"/>
  <c r="Y289" i="48"/>
  <c r="Z289" i="48"/>
  <c r="AA289" i="48"/>
  <c r="AB289" i="48"/>
  <c r="AC289" i="48"/>
  <c r="AD289" i="48" s="1"/>
  <c r="AE289" i="48"/>
  <c r="AG289" i="48" s="1"/>
  <c r="AF289" i="48"/>
  <c r="AH289" i="48"/>
  <c r="AI289" i="48"/>
  <c r="AJ289" i="48"/>
  <c r="AK289" i="48"/>
  <c r="AL289" i="48"/>
  <c r="AM289" i="48" s="1"/>
  <c r="AN289" i="48"/>
  <c r="AO289" i="48"/>
  <c r="AP289" i="48" s="1"/>
  <c r="AQ289" i="48"/>
  <c r="AR289" i="48"/>
  <c r="AS289" i="48"/>
  <c r="I291" i="48"/>
  <c r="J291" i="48"/>
  <c r="K291" i="48"/>
  <c r="L291" i="48"/>
  <c r="M291" i="48"/>
  <c r="O291" i="48" s="1"/>
  <c r="N291" i="48"/>
  <c r="P291" i="48"/>
  <c r="Q291" i="48"/>
  <c r="R291" i="48" s="1"/>
  <c r="S291" i="48"/>
  <c r="T291" i="48"/>
  <c r="U291" i="48"/>
  <c r="V291" i="48"/>
  <c r="W291" i="48"/>
  <c r="Y291" i="48"/>
  <c r="Z291" i="48"/>
  <c r="AA291" i="48"/>
  <c r="AB291" i="48"/>
  <c r="AC291" i="48"/>
  <c r="AD291" i="48"/>
  <c r="AE291" i="48"/>
  <c r="AG291" i="48" s="1"/>
  <c r="AF291" i="48"/>
  <c r="AH291" i="48"/>
  <c r="AI291" i="48"/>
  <c r="AJ291" i="48"/>
  <c r="AK291" i="48"/>
  <c r="AL291" i="48"/>
  <c r="AM291" i="48"/>
  <c r="AN291" i="48"/>
  <c r="AO291" i="48"/>
  <c r="AP291" i="48" s="1"/>
  <c r="AQ291" i="48"/>
  <c r="AR291" i="48"/>
  <c r="AS291" i="48" s="1"/>
  <c r="AV292" i="48"/>
  <c r="I294" i="48"/>
  <c r="K294" i="48"/>
  <c r="L294" i="48"/>
  <c r="N294" i="48"/>
  <c r="O294" i="48"/>
  <c r="Q294" i="48"/>
  <c r="R294" i="48" s="1"/>
  <c r="T294" i="48"/>
  <c r="W294" i="48"/>
  <c r="X294" i="48"/>
  <c r="Z294" i="48"/>
  <c r="AA294" i="48"/>
  <c r="AC294" i="48"/>
  <c r="AD294" i="48"/>
  <c r="AF294" i="48"/>
  <c r="AG294" i="48"/>
  <c r="AI294" i="48"/>
  <c r="AJ294" i="48"/>
  <c r="AL294" i="48"/>
  <c r="AM294" i="48"/>
  <c r="AN294" i="48"/>
  <c r="AO294" i="48"/>
  <c r="AQ294" i="48"/>
  <c r="AR294" i="48"/>
  <c r="AS294" i="48"/>
  <c r="AV295" i="48"/>
  <c r="H297" i="48"/>
  <c r="I297" i="48"/>
  <c r="K297" i="48"/>
  <c r="L297" i="48"/>
  <c r="N297" i="48"/>
  <c r="O297" i="48"/>
  <c r="P297" i="48"/>
  <c r="R297" i="48" s="1"/>
  <c r="Q297" i="48"/>
  <c r="S297" i="48"/>
  <c r="T297" i="48"/>
  <c r="U297" i="48"/>
  <c r="V297" i="48"/>
  <c r="W297" i="48"/>
  <c r="X297" i="48"/>
  <c r="Y297" i="48"/>
  <c r="AA297" i="48" s="1"/>
  <c r="Z297" i="48"/>
  <c r="AB297" i="48"/>
  <c r="AC297" i="48"/>
  <c r="AD297" i="48"/>
  <c r="AE297" i="48"/>
  <c r="AF297" i="48"/>
  <c r="AG297" i="48"/>
  <c r="AH297" i="48"/>
  <c r="AI297" i="48"/>
  <c r="AJ297" i="48" s="1"/>
  <c r="AK297" i="48"/>
  <c r="AL297" i="48"/>
  <c r="AM297" i="48"/>
  <c r="AN297" i="48"/>
  <c r="AO297" i="48"/>
  <c r="AQ297" i="48"/>
  <c r="AR297" i="48"/>
  <c r="AS297" i="48"/>
  <c r="I302" i="48"/>
  <c r="J302" i="48"/>
  <c r="K302" i="48"/>
  <c r="L302" i="48" s="1"/>
  <c r="M302" i="48"/>
  <c r="N302" i="48"/>
  <c r="O302" i="48"/>
  <c r="P302" i="48"/>
  <c r="Q302" i="48"/>
  <c r="S302" i="48"/>
  <c r="T302" i="48"/>
  <c r="U302" i="48"/>
  <c r="V302" i="48"/>
  <c r="X302" i="48" s="1"/>
  <c r="W302" i="48"/>
  <c r="Y302" i="48"/>
  <c r="AA302" i="48" s="1"/>
  <c r="Z302" i="48"/>
  <c r="AB302" i="48"/>
  <c r="AC302" i="48"/>
  <c r="AD302" i="48"/>
  <c r="AE302" i="48"/>
  <c r="AG302" i="48" s="1"/>
  <c r="AF302" i="48"/>
  <c r="AH302" i="48"/>
  <c r="AI302" i="48"/>
  <c r="AJ302" i="48" s="1"/>
  <c r="AK302" i="48"/>
  <c r="AL302" i="48"/>
  <c r="AM302" i="48"/>
  <c r="AN302" i="48"/>
  <c r="AP302" i="48" s="1"/>
  <c r="AO302" i="48"/>
  <c r="AQ302" i="48"/>
  <c r="AS302" i="48" s="1"/>
  <c r="I303" i="48"/>
  <c r="J303" i="48"/>
  <c r="K303" i="48"/>
  <c r="L303" i="48"/>
  <c r="M303" i="48"/>
  <c r="N303" i="48"/>
  <c r="O303" i="48" s="1"/>
  <c r="P303" i="48"/>
  <c r="Q303" i="48"/>
  <c r="R303" i="48" s="1"/>
  <c r="S303" i="48"/>
  <c r="T303" i="48"/>
  <c r="V303" i="48"/>
  <c r="W303" i="48"/>
  <c r="X303" i="48"/>
  <c r="Y303" i="48"/>
  <c r="Z303" i="48"/>
  <c r="AA303" i="48" s="1"/>
  <c r="AB303" i="48"/>
  <c r="AD303" i="48" s="1"/>
  <c r="AC303" i="48"/>
  <c r="AE303" i="48"/>
  <c r="AF303" i="48"/>
  <c r="AG303" i="48"/>
  <c r="AH303" i="48"/>
  <c r="AI303" i="48"/>
  <c r="AJ303" i="48" s="1"/>
  <c r="AK303" i="48"/>
  <c r="AL303" i="48"/>
  <c r="AM303" i="48" s="1"/>
  <c r="AN303" i="48"/>
  <c r="AO303" i="48"/>
  <c r="AP303" i="48"/>
  <c r="AQ303" i="48"/>
  <c r="AR303" i="48"/>
  <c r="I309" i="48"/>
  <c r="J309" i="48"/>
  <c r="K309" i="48"/>
  <c r="L309" i="48"/>
  <c r="M309" i="48"/>
  <c r="N309" i="48"/>
  <c r="O309" i="48" s="1"/>
  <c r="P309" i="48"/>
  <c r="Q309" i="48"/>
  <c r="R309" i="48" s="1"/>
  <c r="S309" i="48"/>
  <c r="T309" i="48"/>
  <c r="V309" i="48"/>
  <c r="W309" i="48"/>
  <c r="X309" i="48"/>
  <c r="Y309" i="48"/>
  <c r="Z309" i="48"/>
  <c r="AA309" i="48" s="1"/>
  <c r="AB309" i="48"/>
  <c r="AD309" i="48" s="1"/>
  <c r="AC309" i="48"/>
  <c r="AE309" i="48"/>
  <c r="AF309" i="48"/>
  <c r="AG309" i="48"/>
  <c r="AH309" i="48"/>
  <c r="AI309" i="48"/>
  <c r="AJ309" i="48" s="1"/>
  <c r="AK309" i="48"/>
  <c r="AL309" i="48"/>
  <c r="AM309" i="48" s="1"/>
  <c r="AN309" i="48"/>
  <c r="AO309" i="48"/>
  <c r="AP309" i="48"/>
  <c r="AQ309" i="48"/>
  <c r="AR309" i="48"/>
  <c r="I310" i="48"/>
  <c r="J310" i="48"/>
  <c r="K310" i="48"/>
  <c r="L310" i="48"/>
  <c r="M310" i="48"/>
  <c r="N310" i="48"/>
  <c r="P310" i="48"/>
  <c r="Q310" i="48"/>
  <c r="R310" i="48"/>
  <c r="S310" i="48"/>
  <c r="T310" i="48"/>
  <c r="U310" i="48"/>
  <c r="V310" i="48"/>
  <c r="X310" i="48" s="1"/>
  <c r="W310" i="48"/>
  <c r="Y310" i="48"/>
  <c r="Z310" i="48"/>
  <c r="AA310" i="48"/>
  <c r="AB310" i="48"/>
  <c r="AC310" i="48"/>
  <c r="AD310" i="48"/>
  <c r="AE310" i="48"/>
  <c r="AF310" i="48"/>
  <c r="AG310" i="48" s="1"/>
  <c r="AH310" i="48"/>
  <c r="AI310" i="48"/>
  <c r="AJ310" i="48" s="1"/>
  <c r="AK310" i="48"/>
  <c r="AL310" i="48"/>
  <c r="AN310" i="48"/>
  <c r="AO310" i="48"/>
  <c r="AP310" i="48"/>
  <c r="AQ310" i="48"/>
  <c r="AR310" i="48"/>
  <c r="AS310" i="48" s="1"/>
  <c r="G311" i="48"/>
  <c r="AV311" i="48"/>
  <c r="I313" i="48"/>
  <c r="J313" i="48"/>
  <c r="L313" i="48" s="1"/>
  <c r="K313" i="48"/>
  <c r="M313" i="48"/>
  <c r="N313" i="48"/>
  <c r="O313" i="48" s="1"/>
  <c r="P313" i="48"/>
  <c r="Q313" i="48"/>
  <c r="R313" i="48"/>
  <c r="S313" i="48"/>
  <c r="U313" i="48" s="1"/>
  <c r="T313" i="48"/>
  <c r="V313" i="48"/>
  <c r="W313" i="48"/>
  <c r="X313" i="48"/>
  <c r="Y313" i="48"/>
  <c r="Z313" i="48"/>
  <c r="AA313" i="48"/>
  <c r="AB313" i="48"/>
  <c r="AD313" i="48" s="1"/>
  <c r="AC313" i="48"/>
  <c r="AE313" i="48"/>
  <c r="AF313" i="48"/>
  <c r="AG313" i="48"/>
  <c r="AH313" i="48"/>
  <c r="AI313" i="48"/>
  <c r="AJ313" i="48"/>
  <c r="AK313" i="48"/>
  <c r="AL313" i="48"/>
  <c r="AM313" i="48" s="1"/>
  <c r="AN313" i="48"/>
  <c r="AO313" i="48"/>
  <c r="AP313" i="48"/>
  <c r="AQ313" i="48"/>
  <c r="AR313" i="48"/>
  <c r="I314" i="48"/>
  <c r="J314" i="48"/>
  <c r="K314" i="48"/>
  <c r="L314" i="48"/>
  <c r="M314" i="48"/>
  <c r="N314" i="48"/>
  <c r="P314" i="48"/>
  <c r="Q314" i="48"/>
  <c r="R314" i="48"/>
  <c r="S314" i="48"/>
  <c r="U314" i="48" s="1"/>
  <c r="T314" i="48"/>
  <c r="V314" i="48"/>
  <c r="X314" i="48" s="1"/>
  <c r="W314" i="48"/>
  <c r="Y314" i="48"/>
  <c r="Z314" i="48"/>
  <c r="AA314" i="48"/>
  <c r="AB314" i="48"/>
  <c r="AD314" i="48" s="1"/>
  <c r="AC314" i="48"/>
  <c r="AE314" i="48"/>
  <c r="AF314" i="48"/>
  <c r="AG314" i="48" s="1"/>
  <c r="AH314" i="48"/>
  <c r="AI314" i="48"/>
  <c r="AJ314" i="48"/>
  <c r="AK314" i="48"/>
  <c r="AM314" i="48" s="1"/>
  <c r="AL314" i="48"/>
  <c r="AN314" i="48"/>
  <c r="AO314" i="48"/>
  <c r="AP314" i="48"/>
  <c r="AQ314" i="48"/>
  <c r="AR314" i="48"/>
  <c r="AS314" i="48"/>
  <c r="G315" i="48"/>
  <c r="AV315" i="48"/>
  <c r="I317" i="48"/>
  <c r="J317" i="48"/>
  <c r="K317" i="48"/>
  <c r="L317" i="48"/>
  <c r="M317" i="48"/>
  <c r="N317" i="48"/>
  <c r="O317" i="48" s="1"/>
  <c r="P317" i="48"/>
  <c r="Q317" i="48"/>
  <c r="R317" i="48" s="1"/>
  <c r="S317" i="48"/>
  <c r="T317" i="48"/>
  <c r="V317" i="48"/>
  <c r="W317" i="48"/>
  <c r="X317" i="48"/>
  <c r="Y317" i="48"/>
  <c r="Z317" i="48"/>
  <c r="AA317" i="48" s="1"/>
  <c r="AB317" i="48"/>
  <c r="AD317" i="48" s="1"/>
  <c r="AC317" i="48"/>
  <c r="AE317" i="48"/>
  <c r="AF317" i="48"/>
  <c r="AG317" i="48"/>
  <c r="AH317" i="48"/>
  <c r="AI317" i="48"/>
  <c r="AJ317" i="48" s="1"/>
  <c r="AK317" i="48"/>
  <c r="AL317" i="48"/>
  <c r="AM317" i="48" s="1"/>
  <c r="AN317" i="48"/>
  <c r="AO317" i="48"/>
  <c r="AP317" i="48"/>
  <c r="AQ317" i="48"/>
  <c r="AR317" i="48"/>
  <c r="I318" i="48"/>
  <c r="J318" i="48"/>
  <c r="K318" i="48"/>
  <c r="L318" i="48"/>
  <c r="M318" i="48"/>
  <c r="N318" i="48"/>
  <c r="P318" i="48"/>
  <c r="Q318" i="48"/>
  <c r="R318" i="48"/>
  <c r="S318" i="48"/>
  <c r="T318" i="48"/>
  <c r="U318" i="48"/>
  <c r="V318" i="48"/>
  <c r="X318" i="48" s="1"/>
  <c r="W318" i="48"/>
  <c r="Y318" i="48"/>
  <c r="Z318" i="48"/>
  <c r="AA318" i="48"/>
  <c r="AB318" i="48"/>
  <c r="AC318" i="48"/>
  <c r="AD318" i="48"/>
  <c r="AE318" i="48"/>
  <c r="AF318" i="48"/>
  <c r="AG318" i="48" s="1"/>
  <c r="AH318" i="48"/>
  <c r="AI318" i="48"/>
  <c r="AJ318" i="48" s="1"/>
  <c r="AK318" i="48"/>
  <c r="AL318" i="48"/>
  <c r="AN318" i="48"/>
  <c r="AO318" i="48"/>
  <c r="AP318" i="48"/>
  <c r="AQ318" i="48"/>
  <c r="AR318" i="48"/>
  <c r="AS318" i="48" s="1"/>
  <c r="G319" i="48"/>
  <c r="AV319" i="48"/>
  <c r="I321" i="48"/>
  <c r="J321" i="48"/>
  <c r="L321" i="48" s="1"/>
  <c r="K321" i="48"/>
  <c r="M321" i="48"/>
  <c r="N321" i="48"/>
  <c r="O321" i="48" s="1"/>
  <c r="P321" i="48"/>
  <c r="Q321" i="48"/>
  <c r="R321" i="48"/>
  <c r="S321" i="48"/>
  <c r="U321" i="48" s="1"/>
  <c r="T321" i="48"/>
  <c r="V321" i="48"/>
  <c r="W321" i="48"/>
  <c r="X321" i="48"/>
  <c r="Y321" i="48"/>
  <c r="Z321" i="48"/>
  <c r="AA321" i="48"/>
  <c r="AB321" i="48"/>
  <c r="AD321" i="48" s="1"/>
  <c r="AC321" i="48"/>
  <c r="AE321" i="48"/>
  <c r="AF321" i="48"/>
  <c r="AG321" i="48"/>
  <c r="AH321" i="48"/>
  <c r="AI321" i="48"/>
  <c r="AJ321" i="48"/>
  <c r="AK321" i="48"/>
  <c r="AL321" i="48"/>
  <c r="AM321" i="48" s="1"/>
  <c r="AN321" i="48"/>
  <c r="AO321" i="48"/>
  <c r="AP321" i="48"/>
  <c r="AQ321" i="48"/>
  <c r="AR321" i="48"/>
  <c r="I322" i="48"/>
  <c r="J322" i="48"/>
  <c r="K322" i="48"/>
  <c r="L322" i="48"/>
  <c r="M322" i="48"/>
  <c r="N322" i="48"/>
  <c r="P322" i="48"/>
  <c r="Q322" i="48"/>
  <c r="R322" i="48"/>
  <c r="S322" i="48"/>
  <c r="U322" i="48" s="1"/>
  <c r="T322" i="48"/>
  <c r="V322" i="48"/>
  <c r="X322" i="48" s="1"/>
  <c r="W322" i="48"/>
  <c r="Y322" i="48"/>
  <c r="Z322" i="48"/>
  <c r="AA322" i="48"/>
  <c r="AB322" i="48"/>
  <c r="AD322" i="48" s="1"/>
  <c r="AC322" i="48"/>
  <c r="AE322" i="48"/>
  <c r="AF322" i="48"/>
  <c r="AG322" i="48"/>
  <c r="AH322" i="48"/>
  <c r="AI322" i="48"/>
  <c r="AJ322" i="48"/>
  <c r="AK322" i="48"/>
  <c r="AL322" i="48"/>
  <c r="AN322" i="48"/>
  <c r="AO322" i="48"/>
  <c r="AP322" i="48"/>
  <c r="AQ322" i="48"/>
  <c r="AR322" i="48"/>
  <c r="AS322" i="48"/>
  <c r="G323" i="48"/>
  <c r="AV323" i="48"/>
  <c r="I325" i="48"/>
  <c r="J325" i="48"/>
  <c r="K325" i="48"/>
  <c r="L325" i="48"/>
  <c r="M325" i="48"/>
  <c r="N325" i="48"/>
  <c r="O325" i="48"/>
  <c r="P325" i="48"/>
  <c r="Q325" i="48"/>
  <c r="R325" i="48"/>
  <c r="S325" i="48"/>
  <c r="T325" i="48"/>
  <c r="V325" i="48"/>
  <c r="W325" i="48"/>
  <c r="X325" i="48"/>
  <c r="Y325" i="48"/>
  <c r="Z325" i="48"/>
  <c r="AA325" i="48"/>
  <c r="AB325" i="48"/>
  <c r="AD325" i="48" s="1"/>
  <c r="AC325" i="48"/>
  <c r="AE325" i="48"/>
  <c r="AF325" i="48"/>
  <c r="AG325" i="48"/>
  <c r="AH325" i="48"/>
  <c r="AI325" i="48"/>
  <c r="AJ325" i="48"/>
  <c r="AK325" i="48"/>
  <c r="AL325" i="48"/>
  <c r="AM325" i="48"/>
  <c r="AN325" i="48"/>
  <c r="AO325" i="48"/>
  <c r="AP325" i="48" s="1"/>
  <c r="AQ325" i="48"/>
  <c r="AR325" i="48"/>
  <c r="I326" i="48"/>
  <c r="J326" i="48"/>
  <c r="K326" i="48"/>
  <c r="L326" i="48" s="1"/>
  <c r="M326" i="48"/>
  <c r="O326" i="48" s="1"/>
  <c r="N326" i="48"/>
  <c r="P326" i="48"/>
  <c r="Q326" i="48"/>
  <c r="R326" i="48"/>
  <c r="S326" i="48"/>
  <c r="U326" i="48" s="1"/>
  <c r="T326" i="48"/>
  <c r="V326" i="48"/>
  <c r="X326" i="48" s="1"/>
  <c r="W326" i="48"/>
  <c r="Y326" i="48"/>
  <c r="Z326" i="48"/>
  <c r="AA326" i="48"/>
  <c r="AB326" i="48"/>
  <c r="AD326" i="48" s="1"/>
  <c r="AC326" i="48"/>
  <c r="AE326" i="48"/>
  <c r="AF326" i="48"/>
  <c r="AG326" i="48"/>
  <c r="AH326" i="48"/>
  <c r="AI326" i="48"/>
  <c r="AJ326" i="48"/>
  <c r="AK326" i="48"/>
  <c r="AM326" i="48" s="1"/>
  <c r="AL326" i="48"/>
  <c r="AN326" i="48"/>
  <c r="AO326" i="48"/>
  <c r="AP326" i="48"/>
  <c r="AQ326" i="48"/>
  <c r="AR326" i="48"/>
  <c r="AS326" i="48"/>
  <c r="G327" i="48"/>
  <c r="AV327" i="48"/>
  <c r="I329" i="48"/>
  <c r="J329" i="48"/>
  <c r="K329" i="48"/>
  <c r="L329" i="48"/>
  <c r="M329" i="48"/>
  <c r="N329" i="48"/>
  <c r="O329" i="48"/>
  <c r="P329" i="48"/>
  <c r="Q329" i="48"/>
  <c r="R329" i="48"/>
  <c r="S329" i="48"/>
  <c r="T329" i="48"/>
  <c r="V329" i="48"/>
  <c r="W329" i="48"/>
  <c r="X329" i="48"/>
  <c r="Y329" i="48"/>
  <c r="Z329" i="48"/>
  <c r="AA329" i="48"/>
  <c r="AB329" i="48"/>
  <c r="AD329" i="48" s="1"/>
  <c r="AC329" i="48"/>
  <c r="AE329" i="48"/>
  <c r="AF329" i="48"/>
  <c r="AG329" i="48"/>
  <c r="AH329" i="48"/>
  <c r="AI329" i="48"/>
  <c r="AJ329" i="48"/>
  <c r="AK329" i="48"/>
  <c r="AL329" i="48"/>
  <c r="AM329" i="48"/>
  <c r="AN329" i="48"/>
  <c r="AO329" i="48"/>
  <c r="AP329" i="48"/>
  <c r="AQ329" i="48"/>
  <c r="AR329" i="48"/>
  <c r="I330" i="48"/>
  <c r="J330" i="48"/>
  <c r="K330" i="48"/>
  <c r="L330" i="48"/>
  <c r="M330" i="48"/>
  <c r="N330" i="48"/>
  <c r="P330" i="48"/>
  <c r="Q330" i="48"/>
  <c r="R330" i="48"/>
  <c r="S330" i="48"/>
  <c r="T330" i="48"/>
  <c r="U330" i="48"/>
  <c r="V330" i="48"/>
  <c r="X330" i="48" s="1"/>
  <c r="W330" i="48"/>
  <c r="Y330" i="48"/>
  <c r="Z330" i="48"/>
  <c r="AA330" i="48"/>
  <c r="AB330" i="48"/>
  <c r="AC330" i="48"/>
  <c r="AD330" i="48"/>
  <c r="AE330" i="48"/>
  <c r="AF330" i="48"/>
  <c r="AG330" i="48"/>
  <c r="AH330" i="48"/>
  <c r="AI330" i="48"/>
  <c r="AJ330" i="48"/>
  <c r="AK330" i="48"/>
  <c r="AL330" i="48"/>
  <c r="AN330" i="48"/>
  <c r="AO330" i="48"/>
  <c r="AP330" i="48"/>
  <c r="AQ330" i="48"/>
  <c r="AR330" i="48"/>
  <c r="AS330" i="48"/>
  <c r="G331" i="48"/>
  <c r="AV331" i="48"/>
  <c r="I333" i="48"/>
  <c r="J333" i="48"/>
  <c r="K333" i="48"/>
  <c r="L333" i="48"/>
  <c r="M333" i="48"/>
  <c r="N333" i="48"/>
  <c r="O333" i="48"/>
  <c r="P333" i="48"/>
  <c r="Q333" i="48"/>
  <c r="R333" i="48" s="1"/>
  <c r="S333" i="48"/>
  <c r="T333" i="48"/>
  <c r="V333" i="48"/>
  <c r="W333" i="48"/>
  <c r="X333" i="48"/>
  <c r="Y333" i="48"/>
  <c r="Z333" i="48"/>
  <c r="AA333" i="48" s="1"/>
  <c r="AB333" i="48"/>
  <c r="AD333" i="48" s="1"/>
  <c r="AC333" i="48"/>
  <c r="AE333" i="48"/>
  <c r="AF333" i="48"/>
  <c r="AG333" i="48"/>
  <c r="AH333" i="48"/>
  <c r="AI333" i="48"/>
  <c r="AJ333" i="48" s="1"/>
  <c r="AK333" i="48"/>
  <c r="AL333" i="48"/>
  <c r="AM333" i="48"/>
  <c r="AN333" i="48"/>
  <c r="AO333" i="48"/>
  <c r="AP333" i="48" s="1"/>
  <c r="AQ333" i="48"/>
  <c r="AS333" i="48" s="1"/>
  <c r="AR333" i="48"/>
  <c r="I334" i="48"/>
  <c r="J334" i="48"/>
  <c r="K334" i="48"/>
  <c r="L334" i="48"/>
  <c r="M334" i="48"/>
  <c r="O334" i="48" s="1"/>
  <c r="N334" i="48"/>
  <c r="P334" i="48"/>
  <c r="Q334" i="48"/>
  <c r="R334" i="48"/>
  <c r="S334" i="48"/>
  <c r="T334" i="48"/>
  <c r="U334" i="48"/>
  <c r="V334" i="48"/>
  <c r="X334" i="48" s="1"/>
  <c r="W334" i="48"/>
  <c r="Y334" i="48"/>
  <c r="Z334" i="48"/>
  <c r="AA334" i="48"/>
  <c r="AB334" i="48"/>
  <c r="AC334" i="48"/>
  <c r="AD334" i="48"/>
  <c r="AE334" i="48"/>
  <c r="AF334" i="48"/>
  <c r="AG334" i="48"/>
  <c r="AH334" i="48"/>
  <c r="AI334" i="48"/>
  <c r="AJ334" i="48"/>
  <c r="AK334" i="48"/>
  <c r="AL334" i="48"/>
  <c r="AN334" i="48"/>
  <c r="AO334" i="48"/>
  <c r="AP334" i="48"/>
  <c r="AQ334" i="48"/>
  <c r="AR334" i="48"/>
  <c r="AS334" i="48"/>
  <c r="G335" i="48"/>
  <c r="AV335" i="48"/>
  <c r="I337" i="48"/>
  <c r="J337" i="48"/>
  <c r="K337" i="48"/>
  <c r="L337" i="48"/>
  <c r="M337" i="48"/>
  <c r="N337" i="48"/>
  <c r="O337" i="48"/>
  <c r="P337" i="48"/>
  <c r="Q337" i="48"/>
  <c r="R337" i="48"/>
  <c r="S337" i="48"/>
  <c r="T337" i="48"/>
  <c r="V337" i="48"/>
  <c r="W337" i="48"/>
  <c r="X337" i="48"/>
  <c r="Y337" i="48"/>
  <c r="AA337" i="48" s="1"/>
  <c r="Z337" i="48"/>
  <c r="AB337" i="48"/>
  <c r="AD337" i="48" s="1"/>
  <c r="AC337" i="48"/>
  <c r="AE337" i="48"/>
  <c r="AF337" i="48"/>
  <c r="AG337" i="48"/>
  <c r="AH337" i="48"/>
  <c r="AJ337" i="48" s="1"/>
  <c r="AI337" i="48"/>
  <c r="AK337" i="48"/>
  <c r="AL337" i="48"/>
  <c r="AM337" i="48"/>
  <c r="AN337" i="48"/>
  <c r="AO337" i="48"/>
  <c r="AP337" i="48"/>
  <c r="AQ337" i="48"/>
  <c r="AR337" i="48"/>
  <c r="I339" i="48"/>
  <c r="J339" i="48"/>
  <c r="K339" i="48"/>
  <c r="L339" i="48"/>
  <c r="M339" i="48"/>
  <c r="N339" i="48"/>
  <c r="O339" i="48"/>
  <c r="P339" i="48"/>
  <c r="Q339" i="48"/>
  <c r="R339" i="48"/>
  <c r="S339" i="48"/>
  <c r="T339" i="48"/>
  <c r="V339" i="48"/>
  <c r="W339" i="48"/>
  <c r="X339" i="48"/>
  <c r="Y339" i="48"/>
  <c r="Z339" i="48"/>
  <c r="AA339" i="48"/>
  <c r="AB339" i="48"/>
  <c r="AD339" i="48" s="1"/>
  <c r="AC339" i="48"/>
  <c r="AE339" i="48"/>
  <c r="AF339" i="48"/>
  <c r="AG339" i="48"/>
  <c r="AH339" i="48"/>
  <c r="AI339" i="48"/>
  <c r="AJ339" i="48"/>
  <c r="AK339" i="48"/>
  <c r="AL339" i="48"/>
  <c r="AM339" i="48"/>
  <c r="AN339" i="48"/>
  <c r="AO339" i="48"/>
  <c r="AP339" i="48"/>
  <c r="AQ339" i="48"/>
  <c r="AR339" i="48"/>
  <c r="K344" i="48"/>
  <c r="N344" i="48"/>
  <c r="Q344" i="48"/>
  <c r="T344" i="48"/>
  <c r="W344" i="48"/>
  <c r="Z344" i="48"/>
  <c r="AC344" i="48"/>
  <c r="AD344" i="48"/>
  <c r="AF344" i="48"/>
  <c r="AG344" i="48"/>
  <c r="AI344" i="48"/>
  <c r="AJ344" i="48"/>
  <c r="AL344" i="48"/>
  <c r="AM344" i="48"/>
  <c r="AO344" i="48"/>
  <c r="AP344" i="48"/>
  <c r="AR344" i="48"/>
  <c r="AS344" i="48"/>
  <c r="AQ345" i="48"/>
  <c r="AV322" i="48" l="1"/>
  <c r="AV113" i="48"/>
  <c r="AV17" i="52"/>
  <c r="H62" i="8"/>
  <c r="AV93" i="52"/>
  <c r="AM98" i="52"/>
  <c r="I169" i="8"/>
  <c r="I96" i="8"/>
  <c r="I62" i="8"/>
  <c r="I219" i="8"/>
  <c r="AV203" i="48"/>
  <c r="AX203" i="48" s="1"/>
  <c r="BD203" i="48" s="1"/>
  <c r="AV53" i="48"/>
  <c r="AV25" i="48"/>
  <c r="AV88" i="52"/>
  <c r="AV95" i="48"/>
  <c r="AV60" i="52"/>
  <c r="AV41" i="52"/>
  <c r="AV31" i="52"/>
  <c r="AV326" i="48"/>
  <c r="AV105" i="48"/>
  <c r="AV87" i="48"/>
  <c r="AV66" i="48"/>
  <c r="AV44" i="52"/>
  <c r="AV291" i="48"/>
  <c r="AX292" i="48" s="1"/>
  <c r="BF292" i="48" s="1"/>
  <c r="AV277" i="48"/>
  <c r="AV200" i="48"/>
  <c r="AV198" i="48"/>
  <c r="AV171" i="48"/>
  <c r="AV101" i="48"/>
  <c r="AV148" i="52"/>
  <c r="AA164" i="52"/>
  <c r="W126" i="8"/>
  <c r="H209" i="97" s="1"/>
  <c r="H138" i="97" s="1"/>
  <c r="AC96" i="32"/>
  <c r="AV274" i="48"/>
  <c r="AV265" i="48"/>
  <c r="AA224" i="48"/>
  <c r="AV90" i="48"/>
  <c r="AV45" i="52"/>
  <c r="M343" i="97"/>
  <c r="AV55" i="48"/>
  <c r="AV52" i="48"/>
  <c r="AV23" i="48"/>
  <c r="AP50" i="52"/>
  <c r="M92" i="97"/>
  <c r="N11" i="74" s="1"/>
  <c r="AV91" i="48"/>
  <c r="AV17" i="48"/>
  <c r="AV133" i="52"/>
  <c r="AW135" i="52" s="1"/>
  <c r="AW168" i="52" s="1"/>
  <c r="AV130" i="52"/>
  <c r="X251" i="48"/>
  <c r="AV195" i="48"/>
  <c r="AV68" i="48"/>
  <c r="AV56" i="52"/>
  <c r="N69" i="97"/>
  <c r="R244" i="48"/>
  <c r="X291" i="48"/>
  <c r="AD286" i="48"/>
  <c r="AP282" i="48"/>
  <c r="AV282" i="48" s="1"/>
  <c r="AV271" i="48"/>
  <c r="AV252" i="48"/>
  <c r="AV210" i="48"/>
  <c r="AM103" i="48"/>
  <c r="AV103" i="48" s="1"/>
  <c r="AV15" i="48"/>
  <c r="AV46" i="52"/>
  <c r="L13" i="52"/>
  <c r="AV13" i="52" s="1"/>
  <c r="J50" i="52"/>
  <c r="C159" i="97"/>
  <c r="C244" i="97"/>
  <c r="B73" i="97"/>
  <c r="N112" i="8"/>
  <c r="T83" i="32"/>
  <c r="AF29" i="32"/>
  <c r="AE30" i="32"/>
  <c r="I152" i="101"/>
  <c r="AA74" i="3"/>
  <c r="AG62" i="8"/>
  <c r="AG169" i="8"/>
  <c r="AG96" i="8"/>
  <c r="AG219" i="8"/>
  <c r="AC60" i="8"/>
  <c r="AQ17" i="3"/>
  <c r="AU17" i="3"/>
  <c r="BO225" i="8"/>
  <c r="BN229" i="8"/>
  <c r="BB223" i="8"/>
  <c r="BC221" i="8"/>
  <c r="AE221" i="8"/>
  <c r="G214" i="8"/>
  <c r="C47" i="97"/>
  <c r="AJ176" i="8"/>
  <c r="AJ103" i="8"/>
  <c r="AJ226" i="8"/>
  <c r="AM334" i="48"/>
  <c r="AV334" i="48" s="1"/>
  <c r="O265" i="48"/>
  <c r="Q239" i="48"/>
  <c r="R239" i="48" s="1"/>
  <c r="AA210" i="48"/>
  <c r="AJ184" i="48"/>
  <c r="AV179" i="48"/>
  <c r="AX181" i="48" s="1"/>
  <c r="BD181" i="48" s="1"/>
  <c r="L114" i="48"/>
  <c r="L110" i="48"/>
  <c r="I106" i="48"/>
  <c r="Q106" i="48"/>
  <c r="AO106" i="48"/>
  <c r="AP106" i="48" s="1"/>
  <c r="Z106" i="48"/>
  <c r="AA106" i="48" s="1"/>
  <c r="T106" i="48"/>
  <c r="U106" i="48" s="1"/>
  <c r="K106" i="48"/>
  <c r="L106" i="48" s="1"/>
  <c r="AI106" i="48"/>
  <c r="AJ106" i="48" s="1"/>
  <c r="AR106" i="48"/>
  <c r="AS106" i="48" s="1"/>
  <c r="AV89" i="48"/>
  <c r="U34" i="48"/>
  <c r="R16" i="48"/>
  <c r="AD154" i="52"/>
  <c r="AV154" i="52" s="1"/>
  <c r="AV152" i="52"/>
  <c r="AM149" i="52"/>
  <c r="AG127" i="52"/>
  <c r="AG164" i="52" s="1"/>
  <c r="S164" i="52"/>
  <c r="AS70" i="52"/>
  <c r="AV70" i="52" s="1"/>
  <c r="AV58" i="52"/>
  <c r="AV35" i="52"/>
  <c r="AA35" i="52"/>
  <c r="AA50" i="52" s="1"/>
  <c r="X30" i="52"/>
  <c r="AV30" i="52" s="1"/>
  <c r="T26" i="32"/>
  <c r="AC119" i="8"/>
  <c r="J261" i="97"/>
  <c r="Z112" i="8"/>
  <c r="AF83" i="32"/>
  <c r="R68" i="8"/>
  <c r="Y95" i="3"/>
  <c r="AL65" i="8"/>
  <c r="BL221" i="8"/>
  <c r="BK223" i="8"/>
  <c r="J47" i="97"/>
  <c r="AB215" i="8"/>
  <c r="B147" i="97"/>
  <c r="K135" i="97"/>
  <c r="F210" i="97"/>
  <c r="F135" i="97"/>
  <c r="BG198" i="8"/>
  <c r="BE203" i="8"/>
  <c r="BJ192" i="8"/>
  <c r="BJ217" i="8"/>
  <c r="BJ218" i="8" s="1"/>
  <c r="E130" i="8"/>
  <c r="B202" i="97"/>
  <c r="C166" i="97"/>
  <c r="C89" i="8"/>
  <c r="D113" i="8"/>
  <c r="B65" i="97"/>
  <c r="N65" i="97" s="1"/>
  <c r="C186" i="8"/>
  <c r="E186" i="8" s="1"/>
  <c r="E212" i="8" s="1"/>
  <c r="B240" i="97" s="1"/>
  <c r="G112" i="8"/>
  <c r="H117" i="8"/>
  <c r="C236" i="97"/>
  <c r="AR104" i="8"/>
  <c r="AP106" i="8"/>
  <c r="AS321" i="48"/>
  <c r="AV321" i="48" s="1"/>
  <c r="J164" i="52"/>
  <c r="L109" i="52"/>
  <c r="AG91" i="52"/>
  <c r="O86" i="52"/>
  <c r="V98" i="52"/>
  <c r="AH98" i="52"/>
  <c r="AK98" i="52"/>
  <c r="AM80" i="52"/>
  <c r="AV80" i="52" s="1"/>
  <c r="X71" i="52"/>
  <c r="AV71" i="52" s="1"/>
  <c r="AG64" i="52"/>
  <c r="AP59" i="52"/>
  <c r="L59" i="52"/>
  <c r="AK50" i="52"/>
  <c r="AL50" i="52" s="1"/>
  <c r="AV37" i="52"/>
  <c r="K62" i="32"/>
  <c r="T62" i="32" s="1"/>
  <c r="K63" i="32"/>
  <c r="N43" i="32"/>
  <c r="N42" i="32"/>
  <c r="N45" i="32"/>
  <c r="T34" i="32"/>
  <c r="N336" i="97"/>
  <c r="F244" i="97"/>
  <c r="C148" i="97"/>
  <c r="W122" i="8"/>
  <c r="W124" i="8" s="1"/>
  <c r="H279" i="97" s="1"/>
  <c r="AC90" i="32"/>
  <c r="AU84" i="32"/>
  <c r="N89" i="8"/>
  <c r="E241" i="97" s="1"/>
  <c r="E63" i="97"/>
  <c r="E66" i="97" s="1"/>
  <c r="AH345" i="48"/>
  <c r="AS339" i="48"/>
  <c r="U337" i="48"/>
  <c r="AS329" i="48"/>
  <c r="O322" i="48"/>
  <c r="O314" i="48"/>
  <c r="AV314" i="48" s="1"/>
  <c r="R302" i="48"/>
  <c r="AJ283" i="48"/>
  <c r="AV283" i="48" s="1"/>
  <c r="X279" i="48"/>
  <c r="AV279" i="48" s="1"/>
  <c r="AD274" i="48"/>
  <c r="L273" i="48"/>
  <c r="AV273" i="48" s="1"/>
  <c r="AX274" i="48" s="1"/>
  <c r="BD274" i="48" s="1"/>
  <c r="AP270" i="48"/>
  <c r="R268" i="48"/>
  <c r="AV268" i="48" s="1"/>
  <c r="AM265" i="48"/>
  <c r="AD255" i="48"/>
  <c r="AL251" i="48"/>
  <c r="AM251" i="48" s="1"/>
  <c r="AD248" i="48"/>
  <c r="AV248" i="48" s="1"/>
  <c r="AJ247" i="48"/>
  <c r="L247" i="48"/>
  <c r="I244" i="48"/>
  <c r="Q244" i="48"/>
  <c r="AO244" i="48"/>
  <c r="T244" i="48"/>
  <c r="U244" i="48" s="1"/>
  <c r="AR244" i="48"/>
  <c r="AS244" i="48" s="1"/>
  <c r="Z244" i="48"/>
  <c r="AA244" i="48" s="1"/>
  <c r="K244" i="48"/>
  <c r="L244" i="48" s="1"/>
  <c r="AI244" i="48"/>
  <c r="AJ244" i="48" s="1"/>
  <c r="L240" i="48"/>
  <c r="AR235" i="48"/>
  <c r="AJ231" i="48"/>
  <c r="L231" i="48"/>
  <c r="AA222" i="48"/>
  <c r="AM220" i="48"/>
  <c r="AD220" i="48"/>
  <c r="AV220" i="48" s="1"/>
  <c r="AD219" i="48"/>
  <c r="X205" i="48"/>
  <c r="AV205" i="48" s="1"/>
  <c r="AP201" i="48"/>
  <c r="R188" i="48"/>
  <c r="AV188" i="48" s="1"/>
  <c r="K183" i="48"/>
  <c r="L183" i="48" s="1"/>
  <c r="AI183" i="48"/>
  <c r="AJ183" i="48" s="1"/>
  <c r="N183" i="48"/>
  <c r="O183" i="48" s="1"/>
  <c r="O345" i="48" s="1"/>
  <c r="T183" i="48"/>
  <c r="U183" i="48" s="1"/>
  <c r="AR183" i="48"/>
  <c r="AS183" i="48" s="1"/>
  <c r="AC183" i="48"/>
  <c r="AD183" i="48" s="1"/>
  <c r="AL183" i="48"/>
  <c r="AM183" i="48" s="1"/>
  <c r="L181" i="48"/>
  <c r="AV172" i="48"/>
  <c r="AC106" i="48"/>
  <c r="AD106" i="48" s="1"/>
  <c r="R106" i="48"/>
  <c r="X104" i="48"/>
  <c r="AV104" i="48" s="1"/>
  <c r="O104" i="48"/>
  <c r="AP92" i="48"/>
  <c r="R88" i="48"/>
  <c r="AD77" i="48"/>
  <c r="AV77" i="48" s="1"/>
  <c r="U75" i="48"/>
  <c r="AR65" i="48"/>
  <c r="AS65" i="48" s="1"/>
  <c r="AD65" i="48"/>
  <c r="AD161" i="48" s="1"/>
  <c r="AC161" i="48" s="1"/>
  <c r="P161" i="48"/>
  <c r="AA56" i="48"/>
  <c r="AV56" i="48" s="1"/>
  <c r="AP46" i="48"/>
  <c r="AG43" i="48"/>
  <c r="O43" i="48"/>
  <c r="AD32" i="48"/>
  <c r="O30" i="48"/>
  <c r="AJ24" i="48"/>
  <c r="AP20" i="48"/>
  <c r="AG145" i="52"/>
  <c r="AV145" i="52" s="1"/>
  <c r="L141" i="52"/>
  <c r="U139" i="52"/>
  <c r="L128" i="52"/>
  <c r="R125" i="52"/>
  <c r="AV125" i="52" s="1"/>
  <c r="AZ125" i="52" s="1"/>
  <c r="AQ164" i="52"/>
  <c r="AS109" i="52"/>
  <c r="AP91" i="52"/>
  <c r="L91" i="52"/>
  <c r="AM74" i="52"/>
  <c r="AV74" i="52" s="1"/>
  <c r="O72" i="52"/>
  <c r="AV55" i="52"/>
  <c r="L24" i="52"/>
  <c r="J62" i="32"/>
  <c r="J63" i="32"/>
  <c r="T63" i="32" s="1"/>
  <c r="N53" i="32"/>
  <c r="N54" i="32"/>
  <c r="T54" i="32" s="1"/>
  <c r="I66" i="32"/>
  <c r="I68" i="32" s="1"/>
  <c r="D314" i="97" s="1"/>
  <c r="M42" i="32"/>
  <c r="M45" i="32"/>
  <c r="M43" i="32"/>
  <c r="N288" i="97"/>
  <c r="M165" i="97"/>
  <c r="B148" i="97"/>
  <c r="K125" i="8"/>
  <c r="Q96" i="32"/>
  <c r="AL99" i="3"/>
  <c r="AA68" i="8"/>
  <c r="AH95" i="3"/>
  <c r="AQ71" i="3"/>
  <c r="AH28" i="3"/>
  <c r="AB59" i="8" s="1"/>
  <c r="N60" i="8"/>
  <c r="AH21" i="3"/>
  <c r="AB53" i="8" s="1"/>
  <c r="AU14" i="3"/>
  <c r="O21" i="3"/>
  <c r="Q14" i="3"/>
  <c r="Q21" i="3" s="1"/>
  <c r="K53" i="8" s="1"/>
  <c r="AD53" i="8"/>
  <c r="AK21" i="3"/>
  <c r="AE53" i="8" s="1"/>
  <c r="U53" i="8"/>
  <c r="BI224" i="8"/>
  <c r="BH229" i="8"/>
  <c r="D206" i="97"/>
  <c r="J225" i="8"/>
  <c r="BP197" i="8"/>
  <c r="BP221" i="8"/>
  <c r="BP223" i="8" s="1"/>
  <c r="BB191" i="8"/>
  <c r="BB168" i="8"/>
  <c r="AB115" i="8"/>
  <c r="AA91" i="8"/>
  <c r="AA188" i="8"/>
  <c r="AC188" i="8" s="1"/>
  <c r="AC214" i="8" s="1"/>
  <c r="J225" i="97" s="1"/>
  <c r="J50" i="97"/>
  <c r="J110" i="97" s="1"/>
  <c r="G250" i="97"/>
  <c r="G168" i="97" s="1"/>
  <c r="S114" i="8"/>
  <c r="I251" i="48"/>
  <c r="Q251" i="48"/>
  <c r="R251" i="48" s="1"/>
  <c r="AO251" i="48"/>
  <c r="AP251" i="48" s="1"/>
  <c r="T251" i="48"/>
  <c r="U251" i="48" s="1"/>
  <c r="AR251" i="48"/>
  <c r="AS251" i="48" s="1"/>
  <c r="Z251" i="48"/>
  <c r="AA251" i="48" s="1"/>
  <c r="K251" i="48"/>
  <c r="L251" i="48" s="1"/>
  <c r="AI251" i="48"/>
  <c r="AJ251" i="48" s="1"/>
  <c r="J345" i="48"/>
  <c r="AM330" i="48"/>
  <c r="AV330" i="48" s="1"/>
  <c r="O310" i="48"/>
  <c r="AV310" i="48" s="1"/>
  <c r="L285" i="48"/>
  <c r="AJ271" i="48"/>
  <c r="AV212" i="48"/>
  <c r="AX212" i="48" s="1"/>
  <c r="BD212" i="48" s="1"/>
  <c r="AV115" i="48"/>
  <c r="K102" i="48"/>
  <c r="L102" i="48" s="1"/>
  <c r="AL102" i="48"/>
  <c r="AM102" i="48" s="1"/>
  <c r="W102" i="48"/>
  <c r="X102" i="48" s="1"/>
  <c r="AI102" i="48"/>
  <c r="AJ102" i="48" s="1"/>
  <c r="N102" i="48"/>
  <c r="O102" i="48" s="1"/>
  <c r="Z102" i="48"/>
  <c r="AA102" i="48" s="1"/>
  <c r="AA62" i="8"/>
  <c r="AA96" i="8"/>
  <c r="AA219" i="8"/>
  <c r="AA169" i="8"/>
  <c r="AV302" i="48"/>
  <c r="AS235" i="48"/>
  <c r="U235" i="48"/>
  <c r="AJ230" i="48"/>
  <c r="W230" i="48"/>
  <c r="X230" i="48" s="1"/>
  <c r="AD225" i="48"/>
  <c r="Z222" i="48"/>
  <c r="AI222" i="48"/>
  <c r="AJ222" i="48" s="1"/>
  <c r="AR222" i="48"/>
  <c r="AS222" i="48" s="1"/>
  <c r="AC222" i="48"/>
  <c r="AD222" i="48" s="1"/>
  <c r="Z218" i="48"/>
  <c r="AA218" i="48" s="1"/>
  <c r="AP216" i="48"/>
  <c r="AO184" i="48"/>
  <c r="AP184" i="48" s="1"/>
  <c r="S161" i="48"/>
  <c r="AF102" i="48"/>
  <c r="AG102" i="48" s="1"/>
  <c r="AB164" i="52"/>
  <c r="AV146" i="52"/>
  <c r="AV108" i="52"/>
  <c r="AB50" i="52"/>
  <c r="AC50" i="52" s="1"/>
  <c r="AV33" i="52"/>
  <c r="U24" i="52"/>
  <c r="U50" i="52" s="1"/>
  <c r="S50" i="52"/>
  <c r="M48" i="32"/>
  <c r="M52" i="32"/>
  <c r="M53" i="32"/>
  <c r="M54" i="32"/>
  <c r="H66" i="32"/>
  <c r="H68" i="32" s="1"/>
  <c r="C314" i="97" s="1"/>
  <c r="L42" i="32"/>
  <c r="L45" i="32"/>
  <c r="L43" i="32"/>
  <c r="T20" i="32"/>
  <c r="T38" i="32" s="1"/>
  <c r="N38" i="32"/>
  <c r="K38" i="32"/>
  <c r="L165" i="97"/>
  <c r="L148" i="97"/>
  <c r="N40" i="97"/>
  <c r="AL126" i="8"/>
  <c r="M209" i="97" s="1"/>
  <c r="M138" i="97" s="1"/>
  <c r="AU92" i="32"/>
  <c r="AF96" i="32"/>
  <c r="Z125" i="8"/>
  <c r="N96" i="32"/>
  <c r="AT59" i="32"/>
  <c r="S104" i="3"/>
  <c r="M70" i="8" s="1"/>
  <c r="U72" i="3"/>
  <c r="U74" i="3" s="1"/>
  <c r="AU43" i="3"/>
  <c r="X59" i="8"/>
  <c r="AE28" i="3"/>
  <c r="Y59" i="8" s="1"/>
  <c r="AA58" i="8"/>
  <c r="AA88" i="8"/>
  <c r="AA161" i="8"/>
  <c r="AA211" i="8"/>
  <c r="Z14" i="3"/>
  <c r="X21" i="3"/>
  <c r="AU13" i="3"/>
  <c r="Z21" i="3"/>
  <c r="T53" i="8" s="1"/>
  <c r="AJ220" i="8"/>
  <c r="M86" i="97"/>
  <c r="K69" i="97"/>
  <c r="BD187" i="8"/>
  <c r="BD213" i="8" s="1"/>
  <c r="BB190" i="8"/>
  <c r="BB170" i="8"/>
  <c r="BB193" i="8"/>
  <c r="AF251" i="48"/>
  <c r="AP244" i="48"/>
  <c r="K239" i="48"/>
  <c r="L239" i="48" s="1"/>
  <c r="AI239" i="48"/>
  <c r="AJ239" i="48" s="1"/>
  <c r="T239" i="48"/>
  <c r="U239" i="48" s="1"/>
  <c r="AR239" i="48"/>
  <c r="AS239" i="48" s="1"/>
  <c r="AL239" i="48"/>
  <c r="AM239" i="48" s="1"/>
  <c r="AC239" i="48"/>
  <c r="AD239" i="48" s="1"/>
  <c r="N239" i="48"/>
  <c r="O239" i="48" s="1"/>
  <c r="O318" i="48"/>
  <c r="AV288" i="48"/>
  <c r="R280" i="48"/>
  <c r="X256" i="48"/>
  <c r="AV256" i="48" s="1"/>
  <c r="AG251" i="48"/>
  <c r="AR224" i="48"/>
  <c r="AC224" i="48"/>
  <c r="AD224" i="48" s="1"/>
  <c r="AL224" i="48"/>
  <c r="AM224" i="48" s="1"/>
  <c r="AV217" i="48"/>
  <c r="AO216" i="48"/>
  <c r="AR216" i="48"/>
  <c r="AS216" i="48" s="1"/>
  <c r="Z216" i="48"/>
  <c r="AA216" i="48" s="1"/>
  <c r="AI216" i="48"/>
  <c r="AJ216" i="48" s="1"/>
  <c r="M345" i="48"/>
  <c r="AE345" i="48"/>
  <c r="V345" i="48"/>
  <c r="AV111" i="48"/>
  <c r="AV86" i="48"/>
  <c r="AV112" i="52"/>
  <c r="AZ112" i="52" s="1"/>
  <c r="D165" i="97"/>
  <c r="AC112" i="8"/>
  <c r="AI83" i="32"/>
  <c r="I177" i="8"/>
  <c r="I201" i="8" s="1"/>
  <c r="K201" i="8" s="1"/>
  <c r="I104" i="8"/>
  <c r="I227" i="8"/>
  <c r="AU53" i="3"/>
  <c r="AI62" i="3"/>
  <c r="AL59" i="8"/>
  <c r="AQ28" i="3"/>
  <c r="AK59" i="8" s="1"/>
  <c r="L53" i="8"/>
  <c r="S21" i="3"/>
  <c r="M53" i="8" s="1"/>
  <c r="AE227" i="8"/>
  <c r="M221" i="8"/>
  <c r="Y345" i="48"/>
  <c r="U325" i="48"/>
  <c r="AV286" i="48"/>
  <c r="L283" i="48"/>
  <c r="R270" i="48"/>
  <c r="AO239" i="48"/>
  <c r="AP239" i="48" s="1"/>
  <c r="AA217" i="48"/>
  <c r="AV208" i="48"/>
  <c r="R201" i="48"/>
  <c r="L184" i="48"/>
  <c r="AJ179" i="48"/>
  <c r="AQ161" i="48"/>
  <c r="AR102" i="48"/>
  <c r="AS102" i="48" s="1"/>
  <c r="AV96" i="48"/>
  <c r="AJ89" i="48"/>
  <c r="L85" i="48"/>
  <c r="K65" i="48"/>
  <c r="L65" i="48" s="1"/>
  <c r="AI65" i="48"/>
  <c r="AJ65" i="48" s="1"/>
  <c r="AC65" i="48"/>
  <c r="W65" i="48"/>
  <c r="X65" i="48" s="1"/>
  <c r="T65" i="48"/>
  <c r="U65" i="48" s="1"/>
  <c r="AF65" i="48"/>
  <c r="AG65" i="48" s="1"/>
  <c r="AO65" i="48"/>
  <c r="AP65" i="48" s="1"/>
  <c r="N65" i="48"/>
  <c r="O65" i="48" s="1"/>
  <c r="AA45" i="48"/>
  <c r="AV45" i="48" s="1"/>
  <c r="AD39" i="48"/>
  <c r="AV39" i="48" s="1"/>
  <c r="X31" i="48"/>
  <c r="AP138" i="52"/>
  <c r="AV138" i="52" s="1"/>
  <c r="AV84" i="52"/>
  <c r="L73" i="52"/>
  <c r="O64" i="52"/>
  <c r="AS42" i="52"/>
  <c r="AV42" i="52" s="1"/>
  <c r="AW44" i="52" s="1"/>
  <c r="N82" i="97"/>
  <c r="AL120" i="8"/>
  <c r="AR87" i="32"/>
  <c r="AU86" i="32"/>
  <c r="E120" i="8"/>
  <c r="K87" i="32"/>
  <c r="AU78" i="32"/>
  <c r="AI43" i="32"/>
  <c r="AU41" i="32"/>
  <c r="U69" i="8"/>
  <c r="AB86" i="3"/>
  <c r="V69" i="8" s="1"/>
  <c r="AK68" i="3"/>
  <c r="AJ72" i="3"/>
  <c r="AJ74" i="3" s="1"/>
  <c r="Y52" i="3"/>
  <c r="AJ218" i="8"/>
  <c r="AN345" i="48"/>
  <c r="U339" i="48"/>
  <c r="U329" i="48"/>
  <c r="AS313" i="48"/>
  <c r="AV313" i="48" s="1"/>
  <c r="AP297" i="48"/>
  <c r="AV297" i="48" s="1"/>
  <c r="AX297" i="48" s="1"/>
  <c r="BD297" i="48" s="1"/>
  <c r="AM267" i="48"/>
  <c r="AV267" i="48" s="1"/>
  <c r="AX268" i="48" s="1"/>
  <c r="BD268" i="48" s="1"/>
  <c r="AC251" i="48"/>
  <c r="AD251" i="48" s="1"/>
  <c r="X243" i="48"/>
  <c r="AV243" i="48" s="1"/>
  <c r="Z239" i="48"/>
  <c r="AA239" i="48" s="1"/>
  <c r="Z230" i="48"/>
  <c r="AS225" i="48"/>
  <c r="AS224" i="48"/>
  <c r="AF224" i="48"/>
  <c r="AG224" i="48" s="1"/>
  <c r="AP222" i="48"/>
  <c r="AS219" i="48"/>
  <c r="AF216" i="48"/>
  <c r="O191" i="48"/>
  <c r="AV191" i="48" s="1"/>
  <c r="AX193" i="48" s="1"/>
  <c r="AJ177" i="48"/>
  <c r="AA174" i="48"/>
  <c r="AV174" i="48" s="1"/>
  <c r="AX174" i="48" s="1"/>
  <c r="BD174" i="48" s="1"/>
  <c r="J161" i="48"/>
  <c r="AP117" i="48"/>
  <c r="AV117" i="48" s="1"/>
  <c r="X112" i="48"/>
  <c r="AV112" i="48" s="1"/>
  <c r="AG106" i="48"/>
  <c r="R92" i="48"/>
  <c r="X87" i="48"/>
  <c r="AM76" i="48"/>
  <c r="AV76" i="48" s="1"/>
  <c r="AS73" i="48"/>
  <c r="AV73" i="48" s="1"/>
  <c r="AG51" i="48"/>
  <c r="AV51" i="48" s="1"/>
  <c r="AM35" i="48"/>
  <c r="W35" i="48"/>
  <c r="X35" i="48" s="1"/>
  <c r="I35" i="48"/>
  <c r="Q35" i="48"/>
  <c r="R35" i="48" s="1"/>
  <c r="AO35" i="48"/>
  <c r="AP35" i="48" s="1"/>
  <c r="T35" i="48"/>
  <c r="U35" i="48" s="1"/>
  <c r="AC35" i="48"/>
  <c r="AD35" i="48" s="1"/>
  <c r="AL35" i="48"/>
  <c r="K35" i="48"/>
  <c r="L35" i="48" s="1"/>
  <c r="AF35" i="48"/>
  <c r="AD34" i="48"/>
  <c r="AV34" i="48" s="1"/>
  <c r="AG32" i="48"/>
  <c r="AA28" i="48"/>
  <c r="R23" i="48"/>
  <c r="AJ22" i="48"/>
  <c r="R22" i="48"/>
  <c r="AA16" i="48"/>
  <c r="M164" i="52"/>
  <c r="R149" i="52"/>
  <c r="AP127" i="52"/>
  <c r="AV127" i="52" s="1"/>
  <c r="AE164" i="52"/>
  <c r="P98" i="52"/>
  <c r="AP90" i="52"/>
  <c r="AB98" i="52"/>
  <c r="AD80" i="52"/>
  <c r="AD98" i="52" s="1"/>
  <c r="X98" i="52"/>
  <c r="L79" i="52"/>
  <c r="J98" i="52"/>
  <c r="X64" i="52"/>
  <c r="AD63" i="52"/>
  <c r="AG59" i="52"/>
  <c r="M50" i="52"/>
  <c r="X42" i="52"/>
  <c r="AJ19" i="52"/>
  <c r="AJ50" i="52" s="1"/>
  <c r="Y50" i="52"/>
  <c r="Z50" i="52" s="1"/>
  <c r="V50" i="52"/>
  <c r="W50" i="52" s="1"/>
  <c r="AH50" i="52"/>
  <c r="AI50" i="52" s="1"/>
  <c r="L63" i="32"/>
  <c r="L62" i="32"/>
  <c r="N243" i="97"/>
  <c r="B228" i="97"/>
  <c r="C228" i="97"/>
  <c r="C150" i="97" s="1"/>
  <c r="D250" i="97"/>
  <c r="D168" i="97" s="1"/>
  <c r="J114" i="8"/>
  <c r="K112" i="8"/>
  <c r="Q83" i="32"/>
  <c r="AG69" i="8"/>
  <c r="AN86" i="3"/>
  <c r="AH69" i="8" s="1"/>
  <c r="AE55" i="3"/>
  <c r="AO62" i="3"/>
  <c r="AN52" i="3"/>
  <c r="AB12" i="3"/>
  <c r="AC21" i="3"/>
  <c r="W53" i="8" s="1"/>
  <c r="BP227" i="8"/>
  <c r="BP229" i="8" s="1"/>
  <c r="AV229" i="8"/>
  <c r="BT223" i="8"/>
  <c r="BU221" i="8"/>
  <c r="BH216" i="8"/>
  <c r="BI211" i="8"/>
  <c r="BD224" i="8"/>
  <c r="BD229" i="8" s="1"/>
  <c r="BD203" i="8"/>
  <c r="Q195" i="8"/>
  <c r="E221" i="8"/>
  <c r="S128" i="8"/>
  <c r="R201" i="8"/>
  <c r="T201" i="8" s="1"/>
  <c r="E98" i="8"/>
  <c r="S345" i="48"/>
  <c r="U333" i="48"/>
  <c r="AS325" i="48"/>
  <c r="AM318" i="48"/>
  <c r="AV318" i="48" s="1"/>
  <c r="U317" i="48"/>
  <c r="AM310" i="48"/>
  <c r="U309" i="48"/>
  <c r="U303" i="48"/>
  <c r="X289" i="48"/>
  <c r="AV289" i="48" s="1"/>
  <c r="AV285" i="48"/>
  <c r="AJ285" i="48"/>
  <c r="AP280" i="48"/>
  <c r="AD276" i="48"/>
  <c r="AV276" i="48" s="1"/>
  <c r="AX277" i="48" s="1"/>
  <c r="BD277" i="48" s="1"/>
  <c r="L259" i="48"/>
  <c r="AV259" i="48" s="1"/>
  <c r="AX259" i="48" s="1"/>
  <c r="BD259" i="48" s="1"/>
  <c r="AC235" i="48"/>
  <c r="AD235" i="48" s="1"/>
  <c r="N235" i="48"/>
  <c r="O235" i="48" s="1"/>
  <c r="AL235" i="48"/>
  <c r="AM235" i="48" s="1"/>
  <c r="AF235" i="48"/>
  <c r="AG235" i="48" s="1"/>
  <c r="W235" i="48"/>
  <c r="X235" i="48" s="1"/>
  <c r="AA230" i="48"/>
  <c r="AO218" i="48"/>
  <c r="AP218" i="48" s="1"/>
  <c r="AG216" i="48"/>
  <c r="AV193" i="48"/>
  <c r="AK345" i="48"/>
  <c r="AB345" i="48"/>
  <c r="T184" i="48"/>
  <c r="U184" i="48" s="1"/>
  <c r="AR184" i="48"/>
  <c r="AS184" i="48" s="1"/>
  <c r="AV184" i="48" s="1"/>
  <c r="AC184" i="48"/>
  <c r="AD184" i="48" s="1"/>
  <c r="AD345" i="48" s="1"/>
  <c r="N184" i="48"/>
  <c r="O184" i="48" s="1"/>
  <c r="AL184" i="48"/>
  <c r="AM184" i="48" s="1"/>
  <c r="W184" i="48"/>
  <c r="X184" i="48" s="1"/>
  <c r="AP180" i="48"/>
  <c r="AV180" i="48" s="1"/>
  <c r="Y161" i="48"/>
  <c r="L118" i="48"/>
  <c r="X116" i="48"/>
  <c r="AV116" i="48" s="1"/>
  <c r="AV114" i="48"/>
  <c r="AJ114" i="48"/>
  <c r="AV110" i="48"/>
  <c r="AJ110" i="48"/>
  <c r="O103" i="48"/>
  <c r="AO102" i="48"/>
  <c r="AP102" i="48" s="1"/>
  <c r="Q102" i="48"/>
  <c r="R102" i="48" s="1"/>
  <c r="X100" i="48"/>
  <c r="O100" i="48"/>
  <c r="AD94" i="48"/>
  <c r="AV94" i="48" s="1"/>
  <c r="AV85" i="48"/>
  <c r="AJ85" i="48"/>
  <c r="AK161" i="48"/>
  <c r="AJ66" i="48"/>
  <c r="Q65" i="48"/>
  <c r="R65" i="48" s="1"/>
  <c r="R56" i="48"/>
  <c r="AV43" i="48"/>
  <c r="AS42" i="48"/>
  <c r="U31" i="48"/>
  <c r="O20" i="48"/>
  <c r="O16" i="48"/>
  <c r="AV156" i="52"/>
  <c r="AW156" i="52" s="1"/>
  <c r="AP144" i="52"/>
  <c r="N108" i="97"/>
  <c r="AI123" i="8"/>
  <c r="AU89" i="32"/>
  <c r="AI122" i="8"/>
  <c r="AO90" i="32"/>
  <c r="K122" i="8"/>
  <c r="K124" i="8" s="1"/>
  <c r="D279" i="97" s="1"/>
  <c r="Q90" i="32"/>
  <c r="W118" i="8"/>
  <c r="AC85" i="32"/>
  <c r="W83" i="32"/>
  <c r="G114" i="8"/>
  <c r="C250" i="97"/>
  <c r="C168" i="97" s="1"/>
  <c r="Y30" i="32"/>
  <c r="N78" i="3"/>
  <c r="K78" i="3"/>
  <c r="AE69" i="3"/>
  <c r="AD72" i="3"/>
  <c r="AD74" i="3" s="1"/>
  <c r="AU55" i="3"/>
  <c r="AR62" i="3"/>
  <c r="AR74" i="3" s="1"/>
  <c r="AL66" i="8" s="1"/>
  <c r="AQ55" i="3"/>
  <c r="AI64" i="8"/>
  <c r="AF58" i="8"/>
  <c r="E53" i="8"/>
  <c r="J21" i="3"/>
  <c r="D53" i="8" s="1"/>
  <c r="BI221" i="8"/>
  <c r="BH223" i="8"/>
  <c r="AZ215" i="8"/>
  <c r="AY216" i="8"/>
  <c r="BV224" i="8"/>
  <c r="BV229" i="8" s="1"/>
  <c r="BV203" i="8"/>
  <c r="BB203" i="8"/>
  <c r="BS195" i="8"/>
  <c r="BQ197" i="8"/>
  <c r="BA197" i="8"/>
  <c r="BA221" i="8"/>
  <c r="BA223" i="8" s="1"/>
  <c r="AC195" i="8"/>
  <c r="U168" i="8"/>
  <c r="U191" i="8"/>
  <c r="AK128" i="8"/>
  <c r="M17" i="97"/>
  <c r="AV333" i="48"/>
  <c r="AX335" i="48" s="1"/>
  <c r="AZ335" i="48" s="1"/>
  <c r="AS337" i="48"/>
  <c r="O330" i="48"/>
  <c r="AM322" i="48"/>
  <c r="AS317" i="48"/>
  <c r="AV317" i="48" s="1"/>
  <c r="AS309" i="48"/>
  <c r="AS303" i="48"/>
  <c r="AP294" i="48"/>
  <c r="AV294" i="48" s="1"/>
  <c r="AX295" i="48" s="1"/>
  <c r="BF295" i="48" s="1"/>
  <c r="AV264" i="48"/>
  <c r="W251" i="48"/>
  <c r="T247" i="48"/>
  <c r="U247" i="48" s="1"/>
  <c r="AR247" i="48"/>
  <c r="AS247" i="48" s="1"/>
  <c r="AV247" i="48" s="1"/>
  <c r="AX249" i="48" s="1"/>
  <c r="AC247" i="48"/>
  <c r="AD247" i="48" s="1"/>
  <c r="N247" i="48"/>
  <c r="O247" i="48" s="1"/>
  <c r="AL247" i="48"/>
  <c r="AM247" i="48" s="1"/>
  <c r="W247" i="48"/>
  <c r="X247" i="48" s="1"/>
  <c r="W240" i="48"/>
  <c r="X240" i="48" s="1"/>
  <c r="AI240" i="48"/>
  <c r="AJ240" i="48" s="1"/>
  <c r="N240" i="48"/>
  <c r="O240" i="48" s="1"/>
  <c r="Z240" i="48"/>
  <c r="AA240" i="48" s="1"/>
  <c r="AL240" i="48"/>
  <c r="AM240" i="48" s="1"/>
  <c r="AV240" i="48" s="1"/>
  <c r="I239" i="48"/>
  <c r="U231" i="48"/>
  <c r="T231" i="48"/>
  <c r="AR231" i="48"/>
  <c r="AS231" i="48" s="1"/>
  <c r="AV231" i="48" s="1"/>
  <c r="W231" i="48"/>
  <c r="X231" i="48" s="1"/>
  <c r="AC231" i="48"/>
  <c r="AD231" i="48" s="1"/>
  <c r="N231" i="48"/>
  <c r="O231" i="48" s="1"/>
  <c r="AL231" i="48"/>
  <c r="AM231" i="48" s="1"/>
  <c r="Z224" i="48"/>
  <c r="AI223" i="48"/>
  <c r="AJ223" i="48" s="1"/>
  <c r="AL223" i="48"/>
  <c r="AM223" i="48" s="1"/>
  <c r="AR223" i="48"/>
  <c r="AS223" i="48" s="1"/>
  <c r="AC223" i="48"/>
  <c r="AD223" i="48" s="1"/>
  <c r="I206" i="48"/>
  <c r="Q206" i="48"/>
  <c r="R206" i="48" s="1"/>
  <c r="AO206" i="48"/>
  <c r="AP206" i="48" s="1"/>
  <c r="Z206" i="48"/>
  <c r="AA206" i="48" s="1"/>
  <c r="K206" i="48"/>
  <c r="L206" i="48" s="1"/>
  <c r="AI206" i="48"/>
  <c r="AJ206" i="48" s="1"/>
  <c r="T206" i="48"/>
  <c r="U206" i="48" s="1"/>
  <c r="AR206" i="48"/>
  <c r="AS206" i="48" s="1"/>
  <c r="O187" i="48"/>
  <c r="AV187" i="48" s="1"/>
  <c r="AX189" i="48" s="1"/>
  <c r="AO183" i="48"/>
  <c r="AP183" i="48" s="1"/>
  <c r="AP345" i="48" s="1"/>
  <c r="Q183" i="48"/>
  <c r="R183" i="48" s="1"/>
  <c r="L179" i="48"/>
  <c r="AP176" i="48"/>
  <c r="AV176" i="48" s="1"/>
  <c r="AG172" i="48"/>
  <c r="AG345" i="48" s="1"/>
  <c r="AJ118" i="48"/>
  <c r="AV118" i="48" s="1"/>
  <c r="R113" i="48"/>
  <c r="AL106" i="48"/>
  <c r="AM106" i="48" s="1"/>
  <c r="N106" i="48"/>
  <c r="O106" i="48" s="1"/>
  <c r="AM100" i="48"/>
  <c r="AV100" i="48" s="1"/>
  <c r="AP88" i="48"/>
  <c r="AV88" i="48" s="1"/>
  <c r="R81" i="48"/>
  <c r="AV81" i="48" s="1"/>
  <c r="AS75" i="48"/>
  <c r="AV75" i="48" s="1"/>
  <c r="AG67" i="48"/>
  <c r="AV67" i="48" s="1"/>
  <c r="AE161" i="48"/>
  <c r="V161" i="48"/>
  <c r="M161" i="48"/>
  <c r="AA65" i="48"/>
  <c r="O57" i="48"/>
  <c r="AD48" i="48"/>
  <c r="AV48" i="48" s="1"/>
  <c r="U41" i="48"/>
  <c r="AS36" i="48"/>
  <c r="AV36" i="48" s="1"/>
  <c r="L30" i="48"/>
  <c r="AG24" i="48"/>
  <c r="AV24" i="48" s="1"/>
  <c r="AM20" i="48"/>
  <c r="X120" i="52"/>
  <c r="AV120" i="52" s="1"/>
  <c r="L112" i="52"/>
  <c r="AH164" i="52"/>
  <c r="AV89" i="52"/>
  <c r="AA88" i="52"/>
  <c r="S98" i="52"/>
  <c r="U82" i="52"/>
  <c r="U98" i="52" s="1"/>
  <c r="AG98" i="52"/>
  <c r="AF98" i="52" s="1"/>
  <c r="R98" i="52"/>
  <c r="AG72" i="52"/>
  <c r="AV72" i="52" s="1"/>
  <c r="AP67" i="52"/>
  <c r="AV67" i="52" s="1"/>
  <c r="AM45" i="52"/>
  <c r="AG37" i="52"/>
  <c r="AG50" i="52" s="1"/>
  <c r="R63" i="32"/>
  <c r="T42" i="32"/>
  <c r="G66" i="32"/>
  <c r="K42" i="32"/>
  <c r="K45" i="32"/>
  <c r="K43" i="32"/>
  <c r="T22" i="32"/>
  <c r="M38" i="32"/>
  <c r="J38" i="32"/>
  <c r="N330" i="97"/>
  <c r="N337" i="97" s="1"/>
  <c r="N343" i="97" s="1"/>
  <c r="N290" i="97"/>
  <c r="H159" i="97"/>
  <c r="G17" i="97"/>
  <c r="G126" i="97" s="1"/>
  <c r="B138" i="97"/>
  <c r="N138" i="97" s="1"/>
  <c r="H202" i="97"/>
  <c r="S66" i="32"/>
  <c r="L68" i="8"/>
  <c r="L178" i="8"/>
  <c r="L105" i="8"/>
  <c r="N105" i="8" s="1"/>
  <c r="L228" i="8"/>
  <c r="AD70" i="8"/>
  <c r="K81" i="3"/>
  <c r="W81" i="3"/>
  <c r="W86" i="3" s="1"/>
  <c r="Q69" i="8" s="1"/>
  <c r="Q227" i="8" s="1"/>
  <c r="AI81" i="3"/>
  <c r="AU81" i="3" s="1"/>
  <c r="Q81" i="3"/>
  <c r="AF81" i="3"/>
  <c r="T81" i="3"/>
  <c r="N81" i="3"/>
  <c r="AL81" i="3"/>
  <c r="T72" i="3"/>
  <c r="T74" i="3" s="1"/>
  <c r="N66" i="8" s="1"/>
  <c r="AR34" i="3"/>
  <c r="AU32" i="3"/>
  <c r="AO34" i="3"/>
  <c r="AI61" i="8" s="1"/>
  <c r="K62" i="8"/>
  <c r="C62" i="8"/>
  <c r="C169" i="8"/>
  <c r="C170" i="8" s="1"/>
  <c r="C96" i="8"/>
  <c r="C219" i="8"/>
  <c r="AO21" i="3"/>
  <c r="AF21" i="3"/>
  <c r="Q58" i="8"/>
  <c r="AE225" i="8"/>
  <c r="BF219" i="8"/>
  <c r="AB118" i="8"/>
  <c r="BP99" i="8"/>
  <c r="BP100" i="8" s="1"/>
  <c r="BN100" i="8"/>
  <c r="AL91" i="8"/>
  <c r="M226" i="97" s="1"/>
  <c r="K230" i="48"/>
  <c r="L230" i="48" s="1"/>
  <c r="AI230" i="48"/>
  <c r="N230" i="48"/>
  <c r="O230" i="48" s="1"/>
  <c r="AL230" i="48"/>
  <c r="AM230" i="48" s="1"/>
  <c r="T230" i="48"/>
  <c r="U230" i="48" s="1"/>
  <c r="AR230" i="48"/>
  <c r="AS230" i="48" s="1"/>
  <c r="AC230" i="48"/>
  <c r="AD230" i="48" s="1"/>
  <c r="AI224" i="48"/>
  <c r="AJ224" i="48" s="1"/>
  <c r="AJ218" i="48"/>
  <c r="AR218" i="48"/>
  <c r="AS218" i="48" s="1"/>
  <c r="AV218" i="48" s="1"/>
  <c r="AC218" i="48"/>
  <c r="AD218" i="48" s="1"/>
  <c r="AL218" i="48"/>
  <c r="AM218" i="48" s="1"/>
  <c r="AL216" i="48"/>
  <c r="AM216" i="48" s="1"/>
  <c r="AV196" i="48"/>
  <c r="AV192" i="48"/>
  <c r="AV181" i="48"/>
  <c r="AC102" i="48"/>
  <c r="AD102" i="48" s="1"/>
  <c r="I102" i="48"/>
  <c r="AV93" i="48"/>
  <c r="AN161" i="48"/>
  <c r="AL65" i="48"/>
  <c r="AM65" i="48" s="1"/>
  <c r="AV131" i="52"/>
  <c r="AV81" i="52"/>
  <c r="AV63" i="52"/>
  <c r="P50" i="52"/>
  <c r="T84" i="32"/>
  <c r="P57" i="32"/>
  <c r="P59" i="32"/>
  <c r="T24" i="32"/>
  <c r="L38" i="32"/>
  <c r="E165" i="97"/>
  <c r="C70" i="97"/>
  <c r="C73" i="97" s="1"/>
  <c r="K110" i="97"/>
  <c r="AF30" i="32"/>
  <c r="U70" i="8"/>
  <c r="AB104" i="3"/>
  <c r="V70" i="8" s="1"/>
  <c r="P86" i="3"/>
  <c r="J69" i="8" s="1"/>
  <c r="R72" i="3"/>
  <c r="R74" i="3" s="1"/>
  <c r="AB68" i="3"/>
  <c r="X96" i="8"/>
  <c r="X219" i="8"/>
  <c r="X62" i="8"/>
  <c r="R169" i="8"/>
  <c r="R170" i="8" s="1"/>
  <c r="R62" i="8"/>
  <c r="R96" i="8"/>
  <c r="R219" i="8"/>
  <c r="BC225" i="8"/>
  <c r="AH214" i="8"/>
  <c r="L47" i="97"/>
  <c r="P215" i="8"/>
  <c r="F225" i="97"/>
  <c r="G118" i="8"/>
  <c r="H119" i="8"/>
  <c r="C261" i="97"/>
  <c r="C174" i="97" s="1"/>
  <c r="C51" i="97"/>
  <c r="T125" i="8"/>
  <c r="Z96" i="32"/>
  <c r="AL115" i="8"/>
  <c r="M228" i="97" s="1"/>
  <c r="AU81" i="32"/>
  <c r="AC83" i="32"/>
  <c r="Z30" i="32"/>
  <c r="AL70" i="8"/>
  <c r="AP216" i="8"/>
  <c r="AQ211" i="8"/>
  <c r="BT203" i="8"/>
  <c r="AF102" i="8"/>
  <c r="K207" i="97" s="1"/>
  <c r="K210" i="97" s="1"/>
  <c r="K30" i="97"/>
  <c r="K33" i="97" s="1"/>
  <c r="L73" i="116"/>
  <c r="M73" i="116"/>
  <c r="AD169" i="2"/>
  <c r="DJ169" i="2"/>
  <c r="CL169" i="2"/>
  <c r="AP169" i="2"/>
  <c r="N131" i="117"/>
  <c r="L131" i="117" s="1"/>
  <c r="O131" i="117" s="1"/>
  <c r="AF219" i="48"/>
  <c r="AG219" i="48" s="1"/>
  <c r="AA68" i="48"/>
  <c r="U46" i="48"/>
  <c r="O35" i="48"/>
  <c r="O24" i="48"/>
  <c r="U20" i="48"/>
  <c r="O158" i="52"/>
  <c r="AS141" i="52"/>
  <c r="R123" i="52"/>
  <c r="AV123" i="52" s="1"/>
  <c r="AW125" i="52" s="1"/>
  <c r="AJ115" i="52"/>
  <c r="AV92" i="52"/>
  <c r="AD68" i="52"/>
  <c r="AS24" i="52"/>
  <c r="AV14" i="52"/>
  <c r="AM50" i="52"/>
  <c r="Q66" i="32"/>
  <c r="Q68" i="32" s="1"/>
  <c r="L314" i="97" s="1"/>
  <c r="M337" i="97"/>
  <c r="Q122" i="8"/>
  <c r="Q124" i="8" s="1"/>
  <c r="F279" i="97" s="1"/>
  <c r="W90" i="32"/>
  <c r="N121" i="8"/>
  <c r="M120" i="8"/>
  <c r="E268" i="97"/>
  <c r="E180" i="97" s="1"/>
  <c r="G228" i="97"/>
  <c r="AI112" i="8"/>
  <c r="AO83" i="32"/>
  <c r="AI51" i="32"/>
  <c r="K30" i="32"/>
  <c r="U64" i="8"/>
  <c r="AB48" i="3"/>
  <c r="V64" i="8" s="1"/>
  <c r="M34" i="3"/>
  <c r="G61" i="8" s="1"/>
  <c r="C202" i="8"/>
  <c r="E202" i="8" s="1"/>
  <c r="E228" i="8" s="1"/>
  <c r="R188" i="8"/>
  <c r="T188" i="8" s="1"/>
  <c r="T214" i="8" s="1"/>
  <c r="G225" i="97" s="1"/>
  <c r="R91" i="8"/>
  <c r="G50" i="97"/>
  <c r="G110" i="97" s="1"/>
  <c r="H60" i="8"/>
  <c r="L117" i="116"/>
  <c r="N117" i="116" s="1"/>
  <c r="M117" i="116"/>
  <c r="N99" i="101"/>
  <c r="L99" i="101"/>
  <c r="O99" i="101" s="1"/>
  <c r="AI221" i="48"/>
  <c r="AJ221" i="48" s="1"/>
  <c r="AV221" i="48" s="1"/>
  <c r="AD72" i="48"/>
  <c r="AM54" i="48"/>
  <c r="AV54" i="48" s="1"/>
  <c r="AA52" i="48"/>
  <c r="AM43" i="48"/>
  <c r="O42" i="48"/>
  <c r="AA41" i="48"/>
  <c r="AG35" i="48"/>
  <c r="AC33" i="48"/>
  <c r="AD33" i="48" s="1"/>
  <c r="W33" i="48"/>
  <c r="X33" i="48" s="1"/>
  <c r="AI32" i="48"/>
  <c r="AJ32" i="48" s="1"/>
  <c r="Z32" i="48"/>
  <c r="AA32" i="48" s="1"/>
  <c r="K31" i="48"/>
  <c r="L31" i="48" s="1"/>
  <c r="AI31" i="48"/>
  <c r="AJ31" i="48" s="1"/>
  <c r="AC31" i="48"/>
  <c r="AD31" i="48" s="1"/>
  <c r="Z30" i="48"/>
  <c r="AA30" i="48" s="1"/>
  <c r="T30" i="48"/>
  <c r="U30" i="48" s="1"/>
  <c r="AR30" i="48"/>
  <c r="AS30" i="48" s="1"/>
  <c r="AV30" i="48" s="1"/>
  <c r="AP22" i="48"/>
  <c r="AV22" i="48" s="1"/>
  <c r="R21" i="48"/>
  <c r="AM16" i="48"/>
  <c r="AV151" i="52"/>
  <c r="AS139" i="52"/>
  <c r="AJ128" i="52"/>
  <c r="AV128" i="52" s="1"/>
  <c r="X124" i="52"/>
  <c r="AV124" i="52" s="1"/>
  <c r="AP111" i="52"/>
  <c r="AV111" i="52" s="1"/>
  <c r="AW112" i="52" s="1"/>
  <c r="AN164" i="52"/>
  <c r="AG80" i="52"/>
  <c r="AQ98" i="52"/>
  <c r="AJ73" i="52"/>
  <c r="AV73" i="52" s="1"/>
  <c r="AV68" i="52"/>
  <c r="AV65" i="52"/>
  <c r="AV62" i="52"/>
  <c r="U56" i="52"/>
  <c r="R31" i="52"/>
  <c r="R50" i="52" s="1"/>
  <c r="AG23" i="52"/>
  <c r="AV23" i="52" s="1"/>
  <c r="O50" i="52"/>
  <c r="T72" i="32"/>
  <c r="K48" i="32"/>
  <c r="T48" i="32" s="1"/>
  <c r="K52" i="32"/>
  <c r="T52" i="32" s="1"/>
  <c r="K54" i="32"/>
  <c r="T35" i="32"/>
  <c r="K343" i="97"/>
  <c r="C343" i="97"/>
  <c r="N331" i="97"/>
  <c r="L337" i="97"/>
  <c r="L343" i="97" s="1"/>
  <c r="D337" i="97"/>
  <c r="D343" i="97" s="1"/>
  <c r="K159" i="97"/>
  <c r="K244" i="97"/>
  <c r="H206" i="97"/>
  <c r="D110" i="97"/>
  <c r="G17" i="101"/>
  <c r="G17" i="114"/>
  <c r="B17" i="97"/>
  <c r="AL96" i="32"/>
  <c r="AL114" i="8"/>
  <c r="AU80" i="32"/>
  <c r="AF53" i="32"/>
  <c r="AU46" i="32"/>
  <c r="W30" i="32"/>
  <c r="Q61" i="8" s="1"/>
  <c r="J30" i="32"/>
  <c r="AN104" i="3"/>
  <c r="AH70" i="8" s="1"/>
  <c r="I70" i="8"/>
  <c r="K68" i="8"/>
  <c r="R177" i="8"/>
  <c r="R104" i="8"/>
  <c r="R227" i="8"/>
  <c r="C69" i="8"/>
  <c r="J86" i="3"/>
  <c r="D69" i="8" s="1"/>
  <c r="AO86" i="3"/>
  <c r="AI69" i="8" s="1"/>
  <c r="N80" i="3"/>
  <c r="Z80" i="3"/>
  <c r="Z86" i="3" s="1"/>
  <c r="T69" i="8" s="1"/>
  <c r="AL80" i="3"/>
  <c r="AL86" i="3" s="1"/>
  <c r="AF69" i="8" s="1"/>
  <c r="AF227" i="8" s="1"/>
  <c r="AC80" i="3"/>
  <c r="AC86" i="3" s="1"/>
  <c r="W69" i="8" s="1"/>
  <c r="Q80" i="3"/>
  <c r="Q86" i="3" s="1"/>
  <c r="K69" i="8" s="1"/>
  <c r="K227" i="8" s="1"/>
  <c r="AF80" i="3"/>
  <c r="AK69" i="3"/>
  <c r="N152" i="101"/>
  <c r="AP74" i="3"/>
  <c r="C66" i="8"/>
  <c r="J74" i="3"/>
  <c r="D66" i="8" s="1"/>
  <c r="T48" i="3"/>
  <c r="N64" i="8" s="1"/>
  <c r="F60" i="8"/>
  <c r="F94" i="8"/>
  <c r="F167" i="8"/>
  <c r="F217" i="8"/>
  <c r="C53" i="8"/>
  <c r="AN19" i="3"/>
  <c r="AK221" i="8"/>
  <c r="BL212" i="8"/>
  <c r="BK216" i="8"/>
  <c r="P212" i="8"/>
  <c r="F62" i="97"/>
  <c r="N62" i="97" s="1"/>
  <c r="BS190" i="8"/>
  <c r="BS211" i="8"/>
  <c r="BS216" i="8" s="1"/>
  <c r="BK179" i="8"/>
  <c r="K89" i="8"/>
  <c r="D241" i="97" s="1"/>
  <c r="D63" i="97"/>
  <c r="D66" i="97" s="1"/>
  <c r="BV93" i="8"/>
  <c r="N50" i="97"/>
  <c r="K96" i="32"/>
  <c r="Z33" i="3"/>
  <c r="Z34" i="3" s="1"/>
  <c r="AL33" i="3"/>
  <c r="AL34" i="3" s="1"/>
  <c r="AF61" i="8" s="1"/>
  <c r="AC33" i="3"/>
  <c r="AC34" i="3" s="1"/>
  <c r="W61" i="8" s="1"/>
  <c r="AF33" i="3"/>
  <c r="AF34" i="3" s="1"/>
  <c r="Z61" i="8" s="1"/>
  <c r="S33" i="3"/>
  <c r="S34" i="3" s="1"/>
  <c r="M61" i="8" s="1"/>
  <c r="T33" i="3"/>
  <c r="T34" i="3" s="1"/>
  <c r="N61" i="8" s="1"/>
  <c r="AI33" i="3"/>
  <c r="K59" i="8"/>
  <c r="P28" i="3"/>
  <c r="J59" i="8" s="1"/>
  <c r="AT226" i="8"/>
  <c r="AS229" i="8"/>
  <c r="BG185" i="8"/>
  <c r="BE190" i="8"/>
  <c r="BB179" i="8"/>
  <c r="BB202" i="8"/>
  <c r="BD202" i="8" s="1"/>
  <c r="BD228" i="8" s="1"/>
  <c r="AE120" i="8"/>
  <c r="AF121" i="8"/>
  <c r="AJ188" i="8"/>
  <c r="AL188" i="8" s="1"/>
  <c r="AL214" i="8" s="1"/>
  <c r="M225" i="97" s="1"/>
  <c r="M50" i="97"/>
  <c r="M110" i="97" s="1"/>
  <c r="U57" i="48"/>
  <c r="AA44" i="48"/>
  <c r="AS41" i="48"/>
  <c r="L38" i="48"/>
  <c r="AV38" i="48" s="1"/>
  <c r="AM33" i="48"/>
  <c r="AG28" i="48"/>
  <c r="AV28" i="48" s="1"/>
  <c r="U19" i="48"/>
  <c r="X18" i="48"/>
  <c r="AV18" i="48" s="1"/>
  <c r="R114" i="52"/>
  <c r="P164" i="52"/>
  <c r="AG83" i="52"/>
  <c r="AV83" i="52" s="1"/>
  <c r="AV66" i="52"/>
  <c r="AD65" i="52"/>
  <c r="X61" i="52"/>
  <c r="AV61" i="52" s="1"/>
  <c r="L48" i="32"/>
  <c r="L52" i="32"/>
  <c r="T29" i="32"/>
  <c r="L159" i="97"/>
  <c r="B51" i="97"/>
  <c r="AI125" i="8"/>
  <c r="AO96" i="32"/>
  <c r="AI90" i="32"/>
  <c r="K90" i="32"/>
  <c r="E122" i="8"/>
  <c r="E124" i="8" s="1"/>
  <c r="B279" i="97" s="1"/>
  <c r="W51" i="32"/>
  <c r="W53" i="32" s="1"/>
  <c r="S30" i="32"/>
  <c r="T29" i="32"/>
  <c r="Y104" i="3"/>
  <c r="S70" i="8" s="1"/>
  <c r="C68" i="8"/>
  <c r="J95" i="3"/>
  <c r="BT229" i="8"/>
  <c r="BS194" i="8"/>
  <c r="BS219" i="8"/>
  <c r="BS220" i="8" s="1"/>
  <c r="N7" i="101"/>
  <c r="L7" i="101" s="1"/>
  <c r="O7" i="101" s="1"/>
  <c r="AL225" i="48"/>
  <c r="AM225" i="48" s="1"/>
  <c r="AL219" i="48"/>
  <c r="AM219" i="48" s="1"/>
  <c r="W103" i="48"/>
  <c r="X103" i="48" s="1"/>
  <c r="T72" i="48"/>
  <c r="U72" i="48" s="1"/>
  <c r="N72" i="48"/>
  <c r="O72" i="48" s="1"/>
  <c r="O69" i="48"/>
  <c r="AV69" i="48" s="1"/>
  <c r="AS57" i="48"/>
  <c r="AS46" i="48"/>
  <c r="AV46" i="48" s="1"/>
  <c r="R30" i="48"/>
  <c r="AP26" i="48"/>
  <c r="AM24" i="48"/>
  <c r="L23" i="48"/>
  <c r="AS20" i="48"/>
  <c r="K19" i="48"/>
  <c r="L19" i="48" s="1"/>
  <c r="L60" i="48" s="1"/>
  <c r="AI19" i="48"/>
  <c r="AJ19" i="48" s="1"/>
  <c r="AC19" i="48"/>
  <c r="AD19" i="48" s="1"/>
  <c r="U16" i="48"/>
  <c r="AV16" i="48" s="1"/>
  <c r="AP149" i="52"/>
  <c r="AJ145" i="52"/>
  <c r="R127" i="52"/>
  <c r="AP94" i="52"/>
  <c r="AV94" i="52" s="1"/>
  <c r="AJ91" i="52"/>
  <c r="AJ98" i="52" s="1"/>
  <c r="O82" i="52"/>
  <c r="O79" i="52"/>
  <c r="O98" i="52" s="1"/>
  <c r="M98" i="52"/>
  <c r="R72" i="52"/>
  <c r="R64" i="52"/>
  <c r="AV64" i="52" s="1"/>
  <c r="AJ59" i="52"/>
  <c r="AV59" i="52" s="1"/>
  <c r="AP45" i="52"/>
  <c r="AV28" i="52"/>
  <c r="L28" i="52"/>
  <c r="AN50" i="52"/>
  <c r="AO50" i="52" s="1"/>
  <c r="AE50" i="52"/>
  <c r="AF50" i="52" s="1"/>
  <c r="R59" i="32"/>
  <c r="R57" i="32"/>
  <c r="R66" i="32" s="1"/>
  <c r="R68" i="32" s="1"/>
  <c r="M314" i="97" s="1"/>
  <c r="J59" i="32"/>
  <c r="T59" i="32" s="1"/>
  <c r="J57" i="32"/>
  <c r="R54" i="32"/>
  <c r="R51" i="32"/>
  <c r="J54" i="32"/>
  <c r="J51" i="32"/>
  <c r="T51" i="32" s="1"/>
  <c r="O66" i="32"/>
  <c r="O68" i="32" s="1"/>
  <c r="J314" i="97" s="1"/>
  <c r="J343" i="97"/>
  <c r="B343" i="97"/>
  <c r="K337" i="97"/>
  <c r="C337" i="97"/>
  <c r="N289" i="97"/>
  <c r="B168" i="97"/>
  <c r="J244" i="97"/>
  <c r="F148" i="97"/>
  <c r="L110" i="97"/>
  <c r="L17" i="101"/>
  <c r="L17" i="114"/>
  <c r="K51" i="97"/>
  <c r="Z120" i="8"/>
  <c r="Y120" i="8" s="1"/>
  <c r="AF87" i="32"/>
  <c r="K118" i="8"/>
  <c r="Q85" i="32"/>
  <c r="T51" i="32"/>
  <c r="T53" i="32" s="1"/>
  <c r="AP53" i="32"/>
  <c r="AQ53" i="32" s="1"/>
  <c r="AI30" i="32"/>
  <c r="AF18" i="32"/>
  <c r="AG178" i="8"/>
  <c r="AG202" i="8" s="1"/>
  <c r="AI202" i="8" s="1"/>
  <c r="AI228" i="8" s="1"/>
  <c r="AG105" i="8"/>
  <c r="AI105" i="8" s="1"/>
  <c r="AG228" i="8"/>
  <c r="AG68" i="8"/>
  <c r="AN95" i="3"/>
  <c r="AC68" i="8"/>
  <c r="I66" i="8"/>
  <c r="P69" i="3"/>
  <c r="M68" i="3"/>
  <c r="L72" i="3"/>
  <c r="L74" i="3" s="1"/>
  <c r="K65" i="3"/>
  <c r="W65" i="3"/>
  <c r="AI65" i="3"/>
  <c r="AI72" i="3" s="1"/>
  <c r="AI74" i="3" s="1"/>
  <c r="AC65" i="3"/>
  <c r="AC72" i="3" s="1"/>
  <c r="AC74" i="3" s="1"/>
  <c r="W66" i="8" s="1"/>
  <c r="Q65" i="3"/>
  <c r="Q72" i="3" s="1"/>
  <c r="Q74" i="3" s="1"/>
  <c r="K66" i="8" s="1"/>
  <c r="AF65" i="3"/>
  <c r="AU65" i="3" s="1"/>
  <c r="AF72" i="3"/>
  <c r="AF74" i="3" s="1"/>
  <c r="Z66" i="8" s="1"/>
  <c r="K41" i="3"/>
  <c r="K48" i="3" s="1"/>
  <c r="W41" i="3"/>
  <c r="W48" i="3" s="1"/>
  <c r="Q64" i="8" s="1"/>
  <c r="AI41" i="3"/>
  <c r="N41" i="3"/>
  <c r="Z41" i="3"/>
  <c r="AL41" i="3"/>
  <c r="Q41" i="3"/>
  <c r="AF41" i="3"/>
  <c r="AF48" i="3" s="1"/>
  <c r="Z64" i="8" s="1"/>
  <c r="AU38" i="3"/>
  <c r="L62" i="8"/>
  <c r="L169" i="8"/>
  <c r="L170" i="8" s="1"/>
  <c r="L96" i="8"/>
  <c r="L219" i="8"/>
  <c r="AD59" i="8"/>
  <c r="AK28" i="3"/>
  <c r="AE59" i="8" s="1"/>
  <c r="E60" i="8"/>
  <c r="BT216" i="8"/>
  <c r="AR194" i="8"/>
  <c r="AR219" i="8"/>
  <c r="AR220" i="8" s="1"/>
  <c r="L202" i="8"/>
  <c r="N202" i="8" s="1"/>
  <c r="E17" i="97"/>
  <c r="E110" i="97" s="1"/>
  <c r="AK118" i="8"/>
  <c r="AJ89" i="8"/>
  <c r="AJ186" i="8"/>
  <c r="AL186" i="8" s="1"/>
  <c r="AL212" i="8" s="1"/>
  <c r="M240" i="97" s="1"/>
  <c r="M65" i="97"/>
  <c r="M162" i="97" s="1"/>
  <c r="AK113" i="8"/>
  <c r="BD96" i="8"/>
  <c r="BD97" i="8" s="1"/>
  <c r="BB97" i="8"/>
  <c r="K92" i="8"/>
  <c r="D226" i="97" s="1"/>
  <c r="D48" i="97"/>
  <c r="D51" i="97" s="1"/>
  <c r="AU91" i="8"/>
  <c r="AS93" i="8"/>
  <c r="AL125" i="8"/>
  <c r="AU91" i="32"/>
  <c r="AR96" i="32"/>
  <c r="Z85" i="32"/>
  <c r="T118" i="8"/>
  <c r="AJ178" i="8"/>
  <c r="AJ105" i="8"/>
  <c r="AL105" i="8" s="1"/>
  <c r="C178" i="8"/>
  <c r="C228" i="8"/>
  <c r="AC70" i="8"/>
  <c r="AC228" i="8" s="1"/>
  <c r="AH104" i="3"/>
  <c r="AB70" i="8" s="1"/>
  <c r="AU80" i="3"/>
  <c r="AO74" i="3"/>
  <c r="AI66" i="8" s="1"/>
  <c r="AU68" i="3"/>
  <c r="AV71" i="3" s="1"/>
  <c r="AO28" i="3"/>
  <c r="AU25" i="3"/>
  <c r="AC98" i="8"/>
  <c r="U68" i="8"/>
  <c r="CX169" i="2"/>
  <c r="BZ169" i="2"/>
  <c r="BN169" i="2"/>
  <c r="L72" i="48"/>
  <c r="T32" i="48"/>
  <c r="U32" i="48" s="1"/>
  <c r="AR32" i="48"/>
  <c r="AS32" i="48" s="1"/>
  <c r="N32" i="48"/>
  <c r="O32" i="48" s="1"/>
  <c r="AL32" i="48"/>
  <c r="AM32" i="48" s="1"/>
  <c r="AS135" i="52"/>
  <c r="AV135" i="52" s="1"/>
  <c r="AZ135" i="52" s="1"/>
  <c r="AP125" i="52"/>
  <c r="AD111" i="52"/>
  <c r="AM86" i="52"/>
  <c r="AV86" i="52" s="1"/>
  <c r="U85" i="52"/>
  <c r="X50" i="52"/>
  <c r="E337" i="97"/>
  <c r="E343" i="97" s="1"/>
  <c r="H123" i="8"/>
  <c r="N90" i="32"/>
  <c r="L228" i="97"/>
  <c r="L150" i="97" s="1"/>
  <c r="AU84" i="3"/>
  <c r="AM72" i="3"/>
  <c r="AM74" i="3" s="1"/>
  <c r="AB69" i="3"/>
  <c r="AL62" i="3"/>
  <c r="AK52" i="3"/>
  <c r="I64" i="8"/>
  <c r="P48" i="3"/>
  <c r="J64" i="8" s="1"/>
  <c r="AK34" i="3"/>
  <c r="AE61" i="8" s="1"/>
  <c r="O61" i="8"/>
  <c r="AJ167" i="8"/>
  <c r="AJ168" i="8" s="1"/>
  <c r="AJ94" i="8"/>
  <c r="AJ60" i="8"/>
  <c r="AU26" i="3"/>
  <c r="AF28" i="3"/>
  <c r="Z59" i="8" s="1"/>
  <c r="BK229" i="8"/>
  <c r="BL217" i="8"/>
  <c r="BK218" i="8"/>
  <c r="F159" i="97"/>
  <c r="BD211" i="8"/>
  <c r="BD216" i="8" s="1"/>
  <c r="AI89" i="8"/>
  <c r="L241" i="97" s="1"/>
  <c r="L160" i="97" s="1"/>
  <c r="L63" i="97"/>
  <c r="L66" i="97" s="1"/>
  <c r="AL255" i="48"/>
  <c r="AM255" i="48" s="1"/>
  <c r="AV255" i="48" s="1"/>
  <c r="AX257" i="48" s="1"/>
  <c r="AL103" i="48"/>
  <c r="AI72" i="48"/>
  <c r="AJ72" i="48" s="1"/>
  <c r="Z72" i="48"/>
  <c r="AA72" i="48" s="1"/>
  <c r="Q72" i="48"/>
  <c r="R72" i="48" s="1"/>
  <c r="U71" i="48"/>
  <c r="AV71" i="48" s="1"/>
  <c r="U66" i="48"/>
  <c r="AG55" i="48"/>
  <c r="O48" i="48"/>
  <c r="AG44" i="48"/>
  <c r="AV44" i="48" s="1"/>
  <c r="AM42" i="48"/>
  <c r="AS33" i="48"/>
  <c r="N33" i="48"/>
  <c r="O33" i="48" s="1"/>
  <c r="AS31" i="48"/>
  <c r="AJ30" i="48"/>
  <c r="X26" i="48"/>
  <c r="AP21" i="48"/>
  <c r="AV21" i="48" s="1"/>
  <c r="AR19" i="48"/>
  <c r="AS19" i="48" s="1"/>
  <c r="AA19" i="48"/>
  <c r="AG160" i="52"/>
  <c r="AV160" i="52" s="1"/>
  <c r="AZ160" i="52" s="1"/>
  <c r="AM158" i="52"/>
  <c r="AV158" i="52" s="1"/>
  <c r="X148" i="52"/>
  <c r="R144" i="52"/>
  <c r="U133" i="52"/>
  <c r="U164" i="52" s="1"/>
  <c r="R121" i="52"/>
  <c r="AV121" i="52" s="1"/>
  <c r="AZ121" i="52" s="1"/>
  <c r="O116" i="52"/>
  <c r="AV116" i="52" s="1"/>
  <c r="AZ116" i="52" s="1"/>
  <c r="AS114" i="52"/>
  <c r="AV114" i="52" s="1"/>
  <c r="Y164" i="52"/>
  <c r="L95" i="52"/>
  <c r="AV95" i="52" s="1"/>
  <c r="X93" i="52"/>
  <c r="R90" i="52"/>
  <c r="AG87" i="52"/>
  <c r="AV87" i="52" s="1"/>
  <c r="AS85" i="52"/>
  <c r="AA98" i="52"/>
  <c r="Z98" i="52" s="1"/>
  <c r="AP69" i="52"/>
  <c r="AV69" i="52" s="1"/>
  <c r="L57" i="52"/>
  <c r="L75" i="52" s="1"/>
  <c r="AD47" i="52"/>
  <c r="AD50" i="52" s="1"/>
  <c r="L46" i="52"/>
  <c r="AD41" i="52"/>
  <c r="L54" i="32"/>
  <c r="O38" i="32"/>
  <c r="G38" i="32"/>
  <c r="I343" i="97"/>
  <c r="N334" i="97"/>
  <c r="F165" i="97"/>
  <c r="H162" i="97"/>
  <c r="E147" i="97"/>
  <c r="J159" i="97"/>
  <c r="N32" i="97"/>
  <c r="AU93" i="32"/>
  <c r="AI96" i="32"/>
  <c r="N125" i="8"/>
  <c r="T96" i="32"/>
  <c r="K83" i="32"/>
  <c r="AH30" i="32"/>
  <c r="T30" i="32"/>
  <c r="AO18" i="32"/>
  <c r="I176" i="8"/>
  <c r="I200" i="8" s="1"/>
  <c r="K200" i="8" s="1"/>
  <c r="I103" i="8"/>
  <c r="I226" i="8"/>
  <c r="L69" i="8"/>
  <c r="S86" i="3"/>
  <c r="M69" i="8" s="1"/>
  <c r="T80" i="3"/>
  <c r="T86" i="3" s="1"/>
  <c r="N69" i="8" s="1"/>
  <c r="AU64" i="3"/>
  <c r="AE64" i="3"/>
  <c r="AD99" i="8"/>
  <c r="AD222" i="8"/>
  <c r="AD172" i="8"/>
  <c r="F64" i="8"/>
  <c r="AU42" i="3"/>
  <c r="O60" i="8"/>
  <c r="O94" i="8"/>
  <c r="O217" i="8"/>
  <c r="O167" i="8"/>
  <c r="J28" i="3"/>
  <c r="D59" i="8" s="1"/>
  <c r="AJ53" i="8"/>
  <c r="N21" i="3"/>
  <c r="H53" i="8" s="1"/>
  <c r="AJ228" i="8"/>
  <c r="C29" i="97"/>
  <c r="N29" i="97" s="1"/>
  <c r="M215" i="8"/>
  <c r="BJ203" i="8"/>
  <c r="BJ224" i="8"/>
  <c r="BJ229" i="8" s="1"/>
  <c r="H195" i="8"/>
  <c r="BM217" i="8"/>
  <c r="BM218" i="8" s="1"/>
  <c r="BM192" i="8"/>
  <c r="AO192" i="8"/>
  <c r="AO217" i="8"/>
  <c r="AO218" i="8" s="1"/>
  <c r="AK123" i="8"/>
  <c r="BG117" i="8"/>
  <c r="AE112" i="8"/>
  <c r="AF117" i="8"/>
  <c r="AG53" i="8"/>
  <c r="P53" i="32"/>
  <c r="P66" i="32" s="1"/>
  <c r="P68" i="32" s="1"/>
  <c r="K314" i="97" s="1"/>
  <c r="H49" i="32"/>
  <c r="T49" i="32" s="1"/>
  <c r="D17" i="101"/>
  <c r="D17" i="114"/>
  <c r="L33" i="97"/>
  <c r="C33" i="97"/>
  <c r="AR90" i="32"/>
  <c r="AU88" i="32"/>
  <c r="T120" i="8"/>
  <c r="Z87" i="32"/>
  <c r="AL85" i="32"/>
  <c r="AF118" i="8"/>
  <c r="AU79" i="32"/>
  <c r="T117" i="8"/>
  <c r="S112" i="8"/>
  <c r="AU69" i="32"/>
  <c r="AT36" i="32"/>
  <c r="AT60" i="32" s="1"/>
  <c r="R178" i="8"/>
  <c r="R105" i="8"/>
  <c r="T105" i="8" s="1"/>
  <c r="R228" i="8"/>
  <c r="AJ177" i="8"/>
  <c r="AJ201" i="8" s="1"/>
  <c r="AL201" i="8" s="1"/>
  <c r="AJ104" i="8"/>
  <c r="AA177" i="8"/>
  <c r="AA201" i="8" s="1"/>
  <c r="AC201" i="8" s="1"/>
  <c r="AA227" i="8"/>
  <c r="N84" i="3"/>
  <c r="Z84" i="3"/>
  <c r="AL84" i="3"/>
  <c r="Q83" i="3"/>
  <c r="AC83" i="3"/>
  <c r="X72" i="3"/>
  <c r="X74" i="3" s="1"/>
  <c r="K152" i="101"/>
  <c r="AG74" i="3"/>
  <c r="AU61" i="3"/>
  <c r="AU60" i="3"/>
  <c r="AU59" i="3"/>
  <c r="AU58" i="3"/>
  <c r="AU57" i="3"/>
  <c r="X99" i="8"/>
  <c r="Z99" i="8" s="1"/>
  <c r="X65" i="8"/>
  <c r="X172" i="8"/>
  <c r="X173" i="8" s="1"/>
  <c r="O64" i="8"/>
  <c r="AU46" i="3"/>
  <c r="N44" i="3"/>
  <c r="Z44" i="3"/>
  <c r="AL44" i="3"/>
  <c r="Q44" i="3"/>
  <c r="AC44" i="3"/>
  <c r="AB28" i="3"/>
  <c r="V59" i="8" s="1"/>
  <c r="L59" i="8"/>
  <c r="X211" i="8"/>
  <c r="X161" i="8"/>
  <c r="X166" i="8" s="1"/>
  <c r="X88" i="8"/>
  <c r="X58" i="8"/>
  <c r="O53" i="8"/>
  <c r="AJ227" i="8"/>
  <c r="P225" i="8"/>
  <c r="BL219" i="8"/>
  <c r="D214" i="8"/>
  <c r="B47" i="97"/>
  <c r="L206" i="97"/>
  <c r="AH225" i="8"/>
  <c r="BJ197" i="8"/>
  <c r="BQ179" i="8"/>
  <c r="BQ198" i="8"/>
  <c r="AS179" i="8"/>
  <c r="AS198" i="8"/>
  <c r="Y129" i="8"/>
  <c r="R193" i="8"/>
  <c r="B89" i="97"/>
  <c r="N90" i="8"/>
  <c r="E248" i="97" s="1"/>
  <c r="E70" i="97"/>
  <c r="E73" i="97" s="1"/>
  <c r="Y112" i="8"/>
  <c r="X185" i="8"/>
  <c r="I58" i="97"/>
  <c r="I110" i="97" s="1"/>
  <c r="BJ89" i="8"/>
  <c r="BJ93" i="8" s="1"/>
  <c r="BH93" i="8"/>
  <c r="AR89" i="8"/>
  <c r="AR93" i="8" s="1"/>
  <c r="N95" i="114"/>
  <c r="AJ24" i="72"/>
  <c r="K67" i="114"/>
  <c r="K139" i="114"/>
  <c r="L24" i="72"/>
  <c r="L25" i="72" s="1"/>
  <c r="L27" i="72" s="1"/>
  <c r="C139" i="114"/>
  <c r="O75" i="114"/>
  <c r="C67" i="114"/>
  <c r="C78" i="114"/>
  <c r="B166" i="97"/>
  <c r="N72" i="97"/>
  <c r="I51" i="97"/>
  <c r="AU95" i="32"/>
  <c r="AL124" i="8"/>
  <c r="M279" i="97" s="1"/>
  <c r="N124" i="8"/>
  <c r="E279" i="97" s="1"/>
  <c r="Q121" i="8"/>
  <c r="P120" i="8"/>
  <c r="AR30" i="32"/>
  <c r="Q70" i="8"/>
  <c r="O68" i="8"/>
  <c r="O104" i="8"/>
  <c r="O177" i="8"/>
  <c r="O201" i="8" s="1"/>
  <c r="Q201" i="8" s="1"/>
  <c r="AU82" i="3"/>
  <c r="AR86" i="3"/>
  <c r="AL69" i="8" s="1"/>
  <c r="AU56" i="3"/>
  <c r="AG64" i="8"/>
  <c r="AN48" i="3"/>
  <c r="AH64" i="8" s="1"/>
  <c r="AQ34" i="3"/>
  <c r="AK61" i="8" s="1"/>
  <c r="AI34" i="3"/>
  <c r="U96" i="8"/>
  <c r="U219" i="8"/>
  <c r="U169" i="8"/>
  <c r="U170" i="8" s="1"/>
  <c r="K34" i="3"/>
  <c r="E61" i="8" s="1"/>
  <c r="U60" i="8"/>
  <c r="U217" i="8"/>
  <c r="U94" i="8"/>
  <c r="Q59" i="8"/>
  <c r="AU16" i="3"/>
  <c r="T21" i="3"/>
  <c r="N53" i="8" s="1"/>
  <c r="AI21" i="3"/>
  <c r="AC53" i="8" s="1"/>
  <c r="AZ224" i="8"/>
  <c r="AY229" i="8"/>
  <c r="X222" i="8"/>
  <c r="BF217" i="8"/>
  <c r="BE218" i="8"/>
  <c r="AM216" i="8"/>
  <c r="Y214" i="8"/>
  <c r="I47" i="97"/>
  <c r="BF212" i="8"/>
  <c r="BE216" i="8"/>
  <c r="BJ216" i="8"/>
  <c r="AO203" i="8"/>
  <c r="AO197" i="8"/>
  <c r="AO221" i="8"/>
  <c r="AO223" i="8" s="1"/>
  <c r="AF195" i="8"/>
  <c r="BK185" i="8"/>
  <c r="BK166" i="8"/>
  <c r="AO185" i="8"/>
  <c r="AM190" i="8"/>
  <c r="V129" i="8"/>
  <c r="R195" i="8"/>
  <c r="R98" i="8"/>
  <c r="S122" i="8"/>
  <c r="H58" i="97"/>
  <c r="H110" i="97" s="1"/>
  <c r="BD94" i="8"/>
  <c r="BD95" i="8" s="1"/>
  <c r="BB95" i="8"/>
  <c r="BG89" i="8"/>
  <c r="BG93" i="8" s="1"/>
  <c r="BE93" i="8"/>
  <c r="N58" i="74"/>
  <c r="F58" i="74"/>
  <c r="O82" i="114"/>
  <c r="K95" i="114"/>
  <c r="L20" i="80"/>
  <c r="K120" i="8"/>
  <c r="F18" i="80"/>
  <c r="E118" i="8"/>
  <c r="N107" i="97"/>
  <c r="N83" i="32"/>
  <c r="E53" i="32"/>
  <c r="AA105" i="8"/>
  <c r="AC105" i="8" s="1"/>
  <c r="AA178" i="8"/>
  <c r="AA202" i="8" s="1"/>
  <c r="AC202" i="8" s="1"/>
  <c r="AA228" i="8"/>
  <c r="AF99" i="3"/>
  <c r="AF104" i="3" s="1"/>
  <c r="Z70" i="8" s="1"/>
  <c r="AD104" i="3"/>
  <c r="X103" i="8"/>
  <c r="X176" i="8"/>
  <c r="X200" i="8" s="1"/>
  <c r="Z200" i="8" s="1"/>
  <c r="X226" i="8"/>
  <c r="AU90" i="3"/>
  <c r="AU95" i="3" s="1"/>
  <c r="AR95" i="3"/>
  <c r="AL68" i="8" s="1"/>
  <c r="N68" i="8"/>
  <c r="AF84" i="3"/>
  <c r="AF83" i="3"/>
  <c r="AU83" i="3" s="1"/>
  <c r="AE68" i="3"/>
  <c r="W72" i="3"/>
  <c r="W74" i="3" s="1"/>
  <c r="Q66" i="8" s="1"/>
  <c r="AN56" i="3"/>
  <c r="AI44" i="3"/>
  <c r="T44" i="3"/>
  <c r="N40" i="3"/>
  <c r="Z40" i="3"/>
  <c r="Z48" i="3" s="1"/>
  <c r="T64" i="8" s="1"/>
  <c r="AL40" i="3"/>
  <c r="Q40" i="3"/>
  <c r="AC40" i="3"/>
  <c r="Q48" i="3"/>
  <c r="K64" i="8" s="1"/>
  <c r="AJ169" i="8"/>
  <c r="AJ96" i="8"/>
  <c r="AJ62" i="8"/>
  <c r="T59" i="8"/>
  <c r="AA59" i="8"/>
  <c r="AU18" i="3"/>
  <c r="AR15" i="3"/>
  <c r="AU15" i="3" s="1"/>
  <c r="AH12" i="3"/>
  <c r="M29" i="97"/>
  <c r="E29" i="97"/>
  <c r="D221" i="8"/>
  <c r="BB218" i="8"/>
  <c r="BC217" i="8"/>
  <c r="AH215" i="8"/>
  <c r="L225" i="97"/>
  <c r="AK213" i="8"/>
  <c r="BM198" i="8"/>
  <c r="BK203" i="8"/>
  <c r="AM203" i="8"/>
  <c r="K189" i="8"/>
  <c r="K215" i="8" s="1"/>
  <c r="D225" i="97" s="1"/>
  <c r="AM179" i="8"/>
  <c r="BG130" i="8"/>
  <c r="M25" i="97"/>
  <c r="N25" i="97" s="1"/>
  <c r="AB114" i="8"/>
  <c r="AA187" i="8"/>
  <c r="AC187" i="8" s="1"/>
  <c r="AC213" i="8" s="1"/>
  <c r="J247" i="97" s="1"/>
  <c r="AA90" i="8"/>
  <c r="K90" i="8"/>
  <c r="D248" i="97" s="1"/>
  <c r="D166" i="97" s="1"/>
  <c r="D70" i="97"/>
  <c r="D73" i="97" s="1"/>
  <c r="AA104" i="8"/>
  <c r="BD93" i="8"/>
  <c r="U62" i="8"/>
  <c r="J95" i="114"/>
  <c r="W96" i="32"/>
  <c r="AO85" i="32"/>
  <c r="AU82" i="32"/>
  <c r="H70" i="8"/>
  <c r="AD68" i="8"/>
  <c r="F68" i="8"/>
  <c r="V86" i="3"/>
  <c r="P69" i="8" s="1"/>
  <c r="AL72" i="3"/>
  <c r="AL74" i="3" s="1"/>
  <c r="AF66" i="8" s="1"/>
  <c r="Z72" i="3"/>
  <c r="Z74" i="3" s="1"/>
  <c r="T66" i="8" s="1"/>
  <c r="AU52" i="3"/>
  <c r="AU62" i="3" s="1"/>
  <c r="AJ64" i="8"/>
  <c r="L64" i="8"/>
  <c r="C59" i="8"/>
  <c r="AP223" i="8"/>
  <c r="AT211" i="8"/>
  <c r="AS216" i="8"/>
  <c r="BG196" i="8"/>
  <c r="AO193" i="8"/>
  <c r="AM194" i="8"/>
  <c r="BQ190" i="8"/>
  <c r="BP130" i="8"/>
  <c r="AR130" i="8"/>
  <c r="BD130" i="8"/>
  <c r="AJ98" i="8"/>
  <c r="AJ195" i="8"/>
  <c r="L193" i="8"/>
  <c r="BD101" i="8"/>
  <c r="BD106" i="8" s="1"/>
  <c r="BB106" i="8"/>
  <c r="AP26" i="80"/>
  <c r="AM29" i="80"/>
  <c r="AL127" i="8"/>
  <c r="M217" i="97" s="1"/>
  <c r="O29" i="80"/>
  <c r="N127" i="8"/>
  <c r="E217" i="97" s="1"/>
  <c r="L29" i="80"/>
  <c r="K126" i="8"/>
  <c r="D209" i="97" s="1"/>
  <c r="D138" i="97" s="1"/>
  <c r="AF125" i="8"/>
  <c r="I29" i="80"/>
  <c r="H125" i="8"/>
  <c r="Z123" i="8"/>
  <c r="Z124" i="8" s="1"/>
  <c r="I279" i="97" s="1"/>
  <c r="BW23" i="80"/>
  <c r="AY23" i="80"/>
  <c r="W120" i="8"/>
  <c r="H120" i="8"/>
  <c r="I20" i="80"/>
  <c r="N36" i="76"/>
  <c r="N38" i="76" s="1"/>
  <c r="N34" i="76"/>
  <c r="N35" i="76"/>
  <c r="F36" i="76"/>
  <c r="F38" i="76" s="1"/>
  <c r="F34" i="76"/>
  <c r="F35" i="76"/>
  <c r="N106" i="101"/>
  <c r="L106" i="101"/>
  <c r="O106" i="101" s="1"/>
  <c r="N73" i="101"/>
  <c r="L73" i="101" s="1"/>
  <c r="O73" i="101" s="1"/>
  <c r="Q130" i="8"/>
  <c r="T124" i="8"/>
  <c r="G279" i="97" s="1"/>
  <c r="H124" i="8"/>
  <c r="C279" i="97" s="1"/>
  <c r="AI119" i="8"/>
  <c r="AH118" i="8"/>
  <c r="O70" i="8"/>
  <c r="E68" i="8"/>
  <c r="AA64" i="8"/>
  <c r="C64" i="8"/>
  <c r="AD61" i="8"/>
  <c r="F61" i="8"/>
  <c r="R59" i="8"/>
  <c r="F53" i="8"/>
  <c r="AP220" i="8"/>
  <c r="AQ219" i="8"/>
  <c r="BB216" i="8"/>
  <c r="AR203" i="8"/>
  <c r="BM197" i="8"/>
  <c r="BG193" i="8"/>
  <c r="BE194" i="8"/>
  <c r="BA191" i="8"/>
  <c r="AY192" i="8"/>
  <c r="BP190" i="8"/>
  <c r="AR185" i="8"/>
  <c r="AP190" i="8"/>
  <c r="AY198" i="8"/>
  <c r="AY179" i="8"/>
  <c r="BQ173" i="8"/>
  <c r="AS173" i="8"/>
  <c r="AS195" i="8"/>
  <c r="BK170" i="8"/>
  <c r="BK193" i="8"/>
  <c r="BT185" i="8"/>
  <c r="BT166" i="8"/>
  <c r="AV185" i="8"/>
  <c r="AV166" i="8"/>
  <c r="AA199" i="8"/>
  <c r="AC199" i="8" s="1"/>
  <c r="AC225" i="8" s="1"/>
  <c r="AA102" i="8"/>
  <c r="C199" i="8"/>
  <c r="E199" i="8" s="1"/>
  <c r="E225" i="8" s="1"/>
  <c r="C102" i="8"/>
  <c r="BA130" i="8"/>
  <c r="AB120" i="8"/>
  <c r="V116" i="8"/>
  <c r="U189" i="8"/>
  <c r="W189" i="8" s="1"/>
  <c r="W215" i="8" s="1"/>
  <c r="V215" i="8" s="1"/>
  <c r="U92" i="8"/>
  <c r="W92" i="8" s="1"/>
  <c r="R186" i="8"/>
  <c r="T186" i="8" s="1"/>
  <c r="T212" i="8" s="1"/>
  <c r="G240" i="97" s="1"/>
  <c r="R89" i="8"/>
  <c r="D112" i="8"/>
  <c r="BP101" i="8"/>
  <c r="BP106" i="8" s="1"/>
  <c r="BN106" i="8"/>
  <c r="BA106" i="8"/>
  <c r="AM106" i="8"/>
  <c r="L21" i="101"/>
  <c r="L147" i="101" s="1"/>
  <c r="L148" i="101" s="1"/>
  <c r="AL22" i="72"/>
  <c r="L21" i="114"/>
  <c r="AL118" i="8"/>
  <c r="AP17" i="80"/>
  <c r="L44" i="116"/>
  <c r="M44" i="116"/>
  <c r="N48" i="101"/>
  <c r="L48" i="101" s="1"/>
  <c r="O48" i="101" s="1"/>
  <c r="AN28" i="32"/>
  <c r="AN30" i="32" s="1"/>
  <c r="AB28" i="32"/>
  <c r="AB30" i="32" s="1"/>
  <c r="N70" i="8"/>
  <c r="F70" i="8"/>
  <c r="AD177" i="8"/>
  <c r="AD201" i="8" s="1"/>
  <c r="AF201" i="8" s="1"/>
  <c r="AD104" i="8"/>
  <c r="F177" i="8"/>
  <c r="F201" i="8" s="1"/>
  <c r="H201" i="8" s="1"/>
  <c r="F104" i="8"/>
  <c r="R64" i="8"/>
  <c r="AC43" i="3"/>
  <c r="AC39" i="3"/>
  <c r="AG59" i="8"/>
  <c r="I59" i="8"/>
  <c r="BN223" i="8"/>
  <c r="BK197" i="8"/>
  <c r="BT191" i="8"/>
  <c r="AX191" i="8"/>
  <c r="BT179" i="8"/>
  <c r="AV198" i="8"/>
  <c r="AV179" i="8"/>
  <c r="BQ166" i="8"/>
  <c r="AS166" i="8"/>
  <c r="AS185" i="8"/>
  <c r="AJ102" i="8"/>
  <c r="AK126" i="8"/>
  <c r="AJ199" i="8"/>
  <c r="AL199" i="8" s="1"/>
  <c r="AL225" i="8" s="1"/>
  <c r="M206" i="97" s="1"/>
  <c r="L102" i="8"/>
  <c r="L199" i="8"/>
  <c r="N199" i="8" s="1"/>
  <c r="N225" i="8" s="1"/>
  <c r="E206" i="97" s="1"/>
  <c r="D118" i="8"/>
  <c r="AR96" i="8"/>
  <c r="AR97" i="8" s="1"/>
  <c r="AP97" i="8"/>
  <c r="AR94" i="8"/>
  <c r="AR95" i="8" s="1"/>
  <c r="AP95" i="8"/>
  <c r="BM93" i="8"/>
  <c r="AX93" i="8"/>
  <c r="L59" i="74"/>
  <c r="T59" i="74" s="1"/>
  <c r="D59" i="74"/>
  <c r="F21" i="101"/>
  <c r="F147" i="101" s="1"/>
  <c r="F148" i="101" s="1"/>
  <c r="F21" i="114"/>
  <c r="T22" i="72"/>
  <c r="AG29" i="80"/>
  <c r="AP28" i="80"/>
  <c r="AL129" i="8"/>
  <c r="M194" i="97" s="1"/>
  <c r="N129" i="8"/>
  <c r="E194" i="97" s="1"/>
  <c r="E126" i="97" s="1"/>
  <c r="H127" i="8"/>
  <c r="C217" i="97" s="1"/>
  <c r="N217" i="97" s="1"/>
  <c r="AD29" i="80"/>
  <c r="AC126" i="8"/>
  <c r="AA23" i="80"/>
  <c r="X20" i="80"/>
  <c r="N50" i="116"/>
  <c r="L57" i="116"/>
  <c r="I57" i="116" s="1"/>
  <c r="L29" i="116"/>
  <c r="I29" i="116" s="1"/>
  <c r="N27" i="116"/>
  <c r="T199" i="8"/>
  <c r="T225" i="8" s="1"/>
  <c r="BA194" i="8"/>
  <c r="BA219" i="8"/>
  <c r="BA220" i="8" s="1"/>
  <c r="T189" i="8"/>
  <c r="T215" i="8" s="1"/>
  <c r="S215" i="8" s="1"/>
  <c r="BJ190" i="8"/>
  <c r="Y128" i="8"/>
  <c r="X201" i="8"/>
  <c r="Z201" i="8" s="1"/>
  <c r="X102" i="8"/>
  <c r="Y126" i="8"/>
  <c r="X199" i="8"/>
  <c r="Z199" i="8" s="1"/>
  <c r="Z225" i="8" s="1"/>
  <c r="AK120" i="8"/>
  <c r="X193" i="8"/>
  <c r="M118" i="8"/>
  <c r="R90" i="8"/>
  <c r="R187" i="8"/>
  <c r="T187" i="8" s="1"/>
  <c r="T213" i="8" s="1"/>
  <c r="BV117" i="8"/>
  <c r="AX117" i="8"/>
  <c r="BM106" i="8"/>
  <c r="AY106" i="8"/>
  <c r="AJ92" i="8"/>
  <c r="AL92" i="8" s="1"/>
  <c r="L84" i="116"/>
  <c r="M84" i="116"/>
  <c r="L16" i="116"/>
  <c r="M16" i="116"/>
  <c r="BN203" i="8"/>
  <c r="Z195" i="8"/>
  <c r="BN190" i="8"/>
  <c r="BB173" i="8"/>
  <c r="V126" i="8"/>
  <c r="U102" i="8"/>
  <c r="Y123" i="8"/>
  <c r="X196" i="8"/>
  <c r="Z196" i="8" s="1"/>
  <c r="BV124" i="8"/>
  <c r="AX124" i="8"/>
  <c r="D114" i="8"/>
  <c r="U89" i="8"/>
  <c r="V113" i="8"/>
  <c r="M112" i="8"/>
  <c r="BK106" i="8"/>
  <c r="AX106" i="8"/>
  <c r="BB100" i="8"/>
  <c r="BS88" i="8"/>
  <c r="BS93" i="8" s="1"/>
  <c r="BQ93" i="8"/>
  <c r="BB93" i="8"/>
  <c r="M111" i="116"/>
  <c r="L111" i="116"/>
  <c r="N111" i="116" s="1"/>
  <c r="L91" i="116"/>
  <c r="M91" i="116"/>
  <c r="L43" i="116"/>
  <c r="N43" i="116" s="1"/>
  <c r="M43" i="116"/>
  <c r="L18" i="116"/>
  <c r="M18" i="116"/>
  <c r="BN216" i="8"/>
  <c r="H199" i="8"/>
  <c r="H225" i="8" s="1"/>
  <c r="C206" i="97" s="1"/>
  <c r="BQ168" i="8"/>
  <c r="AY166" i="8"/>
  <c r="AY185" i="8"/>
  <c r="R202" i="8"/>
  <c r="T202" i="8" s="1"/>
  <c r="T228" i="8" s="1"/>
  <c r="BV130" i="8"/>
  <c r="AX130" i="8"/>
  <c r="V123" i="8"/>
  <c r="Y116" i="8"/>
  <c r="X189" i="8"/>
  <c r="Z189" i="8" s="1"/>
  <c r="Z215" i="8" s="1"/>
  <c r="AB112" i="8"/>
  <c r="BD100" i="8"/>
  <c r="BP93" i="8"/>
  <c r="BA88" i="8"/>
  <c r="BA93" i="8" s="1"/>
  <c r="AY93" i="8"/>
  <c r="R16" i="80"/>
  <c r="Q112" i="8"/>
  <c r="N52" i="117"/>
  <c r="L52" i="117" s="1"/>
  <c r="BT194" i="8"/>
  <c r="BV193" i="8"/>
  <c r="AV194" i="8"/>
  <c r="AX193" i="8"/>
  <c r="X98" i="8"/>
  <c r="Y122" i="8"/>
  <c r="L98" i="8"/>
  <c r="L195" i="8"/>
  <c r="D122" i="8"/>
  <c r="S120" i="8"/>
  <c r="D115" i="8"/>
  <c r="M114" i="8"/>
  <c r="U91" i="8"/>
  <c r="BK93" i="8"/>
  <c r="H95" i="114"/>
  <c r="AP21" i="80"/>
  <c r="AJ23" i="80"/>
  <c r="W115" i="8"/>
  <c r="H228" i="97" s="1"/>
  <c r="H150" i="97" s="1"/>
  <c r="AM16" i="80"/>
  <c r="AP11" i="80"/>
  <c r="AL112" i="8"/>
  <c r="W112" i="8"/>
  <c r="V112" i="8" s="1"/>
  <c r="M105" i="116"/>
  <c r="L105" i="116"/>
  <c r="N105" i="116" s="1"/>
  <c r="L76" i="116"/>
  <c r="M76" i="116"/>
  <c r="N40" i="116"/>
  <c r="N32" i="116"/>
  <c r="L34" i="116"/>
  <c r="I34" i="116" s="1"/>
  <c r="AJ202" i="8"/>
  <c r="AL202" i="8" s="1"/>
  <c r="AJ200" i="8"/>
  <c r="AL200" i="8" s="1"/>
  <c r="V122" i="8"/>
  <c r="U98" i="8"/>
  <c r="Y118" i="8"/>
  <c r="X90" i="8"/>
  <c r="Y114" i="8"/>
  <c r="X187" i="8"/>
  <c r="Z187" i="8" s="1"/>
  <c r="Z213" i="8" s="1"/>
  <c r="BN93" i="8"/>
  <c r="AU93" i="8"/>
  <c r="L97" i="116"/>
  <c r="M97" i="116"/>
  <c r="L95" i="116"/>
  <c r="M95" i="116"/>
  <c r="L68" i="116"/>
  <c r="M68" i="116"/>
  <c r="L56" i="116"/>
  <c r="M56" i="116"/>
  <c r="N135" i="101"/>
  <c r="L135" i="101" s="1"/>
  <c r="O135" i="101" s="1"/>
  <c r="P213" i="8"/>
  <c r="U188" i="8"/>
  <c r="W188" i="8" s="1"/>
  <c r="W214" i="8" s="1"/>
  <c r="H225" i="97" s="1"/>
  <c r="AF189" i="8"/>
  <c r="AF215" i="8" s="1"/>
  <c r="H189" i="8"/>
  <c r="H215" i="8" s="1"/>
  <c r="AF187" i="8"/>
  <c r="AF213" i="8" s="1"/>
  <c r="K247" i="97" s="1"/>
  <c r="H187" i="8"/>
  <c r="H213" i="8" s="1"/>
  <c r="V114" i="8"/>
  <c r="U187" i="8"/>
  <c r="W187" i="8" s="1"/>
  <c r="W213" i="8" s="1"/>
  <c r="X89" i="8"/>
  <c r="Y113" i="8"/>
  <c r="AR106" i="8"/>
  <c r="AI98" i="8"/>
  <c r="U24" i="72"/>
  <c r="F78" i="114"/>
  <c r="F67" i="114"/>
  <c r="L17" i="116"/>
  <c r="M17" i="116"/>
  <c r="N121" i="117"/>
  <c r="L121" i="117"/>
  <c r="O121" i="117" s="1"/>
  <c r="AO93" i="8"/>
  <c r="O104" i="114"/>
  <c r="I58" i="74"/>
  <c r="AP24" i="72"/>
  <c r="AP25" i="72" s="1"/>
  <c r="M78" i="114"/>
  <c r="M67" i="114"/>
  <c r="AP17" i="72"/>
  <c r="AP18" i="72" s="1"/>
  <c r="M139" i="114"/>
  <c r="E78" i="114"/>
  <c r="R24" i="72"/>
  <c r="E139" i="114"/>
  <c r="E67" i="114"/>
  <c r="L42" i="116"/>
  <c r="L47" i="116" s="1"/>
  <c r="I47" i="116" s="1"/>
  <c r="M42" i="116"/>
  <c r="M19" i="116"/>
  <c r="L19" i="116"/>
  <c r="L6" i="116"/>
  <c r="M6" i="116"/>
  <c r="Q41" i="114"/>
  <c r="Q45" i="114" s="1"/>
  <c r="Q48" i="114" s="1"/>
  <c r="Q94" i="114" s="1"/>
  <c r="Q96" i="114" s="1"/>
  <c r="J21" i="101"/>
  <c r="J147" i="101" s="1"/>
  <c r="J148" i="101" s="1"/>
  <c r="AF22" i="72"/>
  <c r="J21" i="114"/>
  <c r="L98" i="116"/>
  <c r="N98" i="116" s="1"/>
  <c r="M98" i="116"/>
  <c r="M82" i="116"/>
  <c r="L82" i="116"/>
  <c r="N82" i="116" s="1"/>
  <c r="L9" i="116"/>
  <c r="M9" i="116"/>
  <c r="AA169" i="2"/>
  <c r="O49" i="117"/>
  <c r="L41" i="117"/>
  <c r="O41" i="117" s="1"/>
  <c r="H67" i="114"/>
  <c r="AA24" i="72"/>
  <c r="O68" i="114"/>
  <c r="P8" i="76"/>
  <c r="P10" i="76" s="1"/>
  <c r="D35" i="76"/>
  <c r="D36" i="76"/>
  <c r="L110" i="116"/>
  <c r="M110" i="116"/>
  <c r="L86" i="116"/>
  <c r="M86" i="116"/>
  <c r="L62" i="116"/>
  <c r="M62" i="116"/>
  <c r="CJ169" i="2"/>
  <c r="BL169" i="2"/>
  <c r="AZ169" i="2"/>
  <c r="N117" i="101"/>
  <c r="L117" i="101"/>
  <c r="O117" i="101" s="1"/>
  <c r="G58" i="74"/>
  <c r="X24" i="72"/>
  <c r="X25" i="72" s="1"/>
  <c r="X27" i="72" s="1"/>
  <c r="Q19" i="8" s="1"/>
  <c r="G139" i="114"/>
  <c r="H21" i="101"/>
  <c r="H147" i="101" s="1"/>
  <c r="H148" i="101" s="1"/>
  <c r="H21" i="114"/>
  <c r="Z22" i="72"/>
  <c r="M69" i="116"/>
  <c r="L69" i="116"/>
  <c r="N69" i="116" s="1"/>
  <c r="L67" i="116"/>
  <c r="M67" i="116"/>
  <c r="L55" i="116"/>
  <c r="M55" i="116"/>
  <c r="L46" i="116"/>
  <c r="M46" i="116"/>
  <c r="DS169" i="2"/>
  <c r="DG169" i="2"/>
  <c r="CU169" i="2"/>
  <c r="CI169" i="2"/>
  <c r="BW169" i="2"/>
  <c r="BK169" i="2"/>
  <c r="AY169" i="2"/>
  <c r="N26" i="101"/>
  <c r="L26" i="101" s="1"/>
  <c r="O26" i="101" s="1"/>
  <c r="N13" i="117"/>
  <c r="L13" i="117" s="1"/>
  <c r="O13" i="117" s="1"/>
  <c r="Q58" i="74"/>
  <c r="O58" i="74"/>
  <c r="U22" i="72"/>
  <c r="U25" i="72" s="1"/>
  <c r="U27" i="72" s="1"/>
  <c r="N19" i="8" s="1"/>
  <c r="AD22" i="72"/>
  <c r="AD25" i="72" s="1"/>
  <c r="AD27" i="72" s="1"/>
  <c r="W19" i="8" s="1"/>
  <c r="AM22" i="72"/>
  <c r="AM25" i="72" s="1"/>
  <c r="AM27" i="72" s="1"/>
  <c r="AF19" i="8" s="1"/>
  <c r="X22" i="72"/>
  <c r="R22" i="72"/>
  <c r="L22" i="72"/>
  <c r="AJ22" i="72"/>
  <c r="AJ25" i="72" s="1"/>
  <c r="AJ27" i="72" s="1"/>
  <c r="AC19" i="8" s="1"/>
  <c r="O22" i="72"/>
  <c r="O25" i="72" s="1"/>
  <c r="O27" i="72" s="1"/>
  <c r="H19" i="8" s="1"/>
  <c r="AS25" i="72"/>
  <c r="AG25" i="72"/>
  <c r="AG27" i="72" s="1"/>
  <c r="Z19" i="8" s="1"/>
  <c r="AJ20" i="80"/>
  <c r="AP19" i="80"/>
  <c r="AY16" i="80"/>
  <c r="N106" i="116"/>
  <c r="L104" i="116"/>
  <c r="M104" i="116"/>
  <c r="L77" i="116"/>
  <c r="N77" i="116" s="1"/>
  <c r="M77" i="116"/>
  <c r="M15" i="116"/>
  <c r="N15" i="116" s="1"/>
  <c r="N94" i="101"/>
  <c r="L94" i="101"/>
  <c r="O94" i="101" s="1"/>
  <c r="N46" i="101"/>
  <c r="L46" i="101" s="1"/>
  <c r="O46" i="101" s="1"/>
  <c r="C59" i="74"/>
  <c r="O83" i="114"/>
  <c r="H58" i="74"/>
  <c r="AP13" i="80"/>
  <c r="L35" i="76"/>
  <c r="L36" i="76"/>
  <c r="L38" i="76" s="1"/>
  <c r="L34" i="76"/>
  <c r="P6" i="76"/>
  <c r="I34" i="76"/>
  <c r="I35" i="76"/>
  <c r="M36" i="76"/>
  <c r="M38" i="76" s="1"/>
  <c r="M35" i="76"/>
  <c r="M34" i="76"/>
  <c r="P4" i="76"/>
  <c r="L103" i="116"/>
  <c r="M103" i="116"/>
  <c r="N100" i="116"/>
  <c r="L85" i="116"/>
  <c r="M85" i="116"/>
  <c r="N80" i="101"/>
  <c r="L80" i="101"/>
  <c r="O80" i="101" s="1"/>
  <c r="N55" i="101"/>
  <c r="L55" i="101" s="1"/>
  <c r="O55" i="101" s="1"/>
  <c r="L41" i="101"/>
  <c r="O40" i="101"/>
  <c r="N117" i="117"/>
  <c r="L117" i="117" s="1"/>
  <c r="O117" i="117" s="1"/>
  <c r="N112" i="117"/>
  <c r="L112" i="117"/>
  <c r="O112" i="117" s="1"/>
  <c r="AA25" i="72"/>
  <c r="AA27" i="72" s="1"/>
  <c r="T19" i="8" s="1"/>
  <c r="BB23" i="80"/>
  <c r="AG16" i="80"/>
  <c r="E36" i="76"/>
  <c r="E38" i="76" s="1"/>
  <c r="E35" i="76"/>
  <c r="M78" i="116"/>
  <c r="L78" i="116"/>
  <c r="N78" i="116" s="1"/>
  <c r="L37" i="116"/>
  <c r="N36" i="116"/>
  <c r="AN169" i="2"/>
  <c r="L131" i="101"/>
  <c r="O131" i="101" s="1"/>
  <c r="N131" i="101"/>
  <c r="L119" i="117"/>
  <c r="O119" i="117" s="1"/>
  <c r="N119" i="117"/>
  <c r="N97" i="117"/>
  <c r="L97" i="117" s="1"/>
  <c r="O97" i="117" s="1"/>
  <c r="N79" i="117"/>
  <c r="L79" i="117"/>
  <c r="O79" i="117" s="1"/>
  <c r="D67" i="114"/>
  <c r="R25" i="72"/>
  <c r="R27" i="72" s="1"/>
  <c r="K19" i="8" s="1"/>
  <c r="BQ16" i="80"/>
  <c r="AS16" i="80"/>
  <c r="BN16" i="80"/>
  <c r="O34" i="76"/>
  <c r="O36" i="76"/>
  <c r="O38" i="76" s="1"/>
  <c r="K8" i="76"/>
  <c r="N112" i="116"/>
  <c r="L96" i="116"/>
  <c r="M96" i="116"/>
  <c r="M87" i="116"/>
  <c r="L87" i="116"/>
  <c r="N87" i="116" s="1"/>
  <c r="N20" i="116"/>
  <c r="M21" i="114"/>
  <c r="O24" i="72"/>
  <c r="AR15" i="72"/>
  <c r="AP24" i="80"/>
  <c r="AP29" i="80" s="1"/>
  <c r="AP22" i="80"/>
  <c r="BH16" i="80"/>
  <c r="AJ16" i="80"/>
  <c r="I16" i="80"/>
  <c r="L74" i="116"/>
  <c r="N74" i="116" s="1"/>
  <c r="M74" i="116"/>
  <c r="L66" i="116"/>
  <c r="M66" i="116"/>
  <c r="N53" i="116"/>
  <c r="N152" i="101"/>
  <c r="L152" i="101" s="1"/>
  <c r="O152" i="101" s="1"/>
  <c r="N89" i="117"/>
  <c r="L89" i="117" s="1"/>
  <c r="O89" i="117" s="1"/>
  <c r="N82" i="117"/>
  <c r="L82" i="117" s="1"/>
  <c r="O82" i="117" s="1"/>
  <c r="T58" i="74"/>
  <c r="L78" i="114"/>
  <c r="K148" i="101"/>
  <c r="AP25" i="80"/>
  <c r="AP15" i="80"/>
  <c r="H30" i="76"/>
  <c r="H8" i="76"/>
  <c r="L116" i="116"/>
  <c r="M116" i="116"/>
  <c r="M99" i="116"/>
  <c r="L99" i="116"/>
  <c r="N99" i="116" s="1"/>
  <c r="L61" i="116"/>
  <c r="M61" i="116"/>
  <c r="N41" i="116"/>
  <c r="L10" i="116"/>
  <c r="M10" i="116"/>
  <c r="L8" i="116"/>
  <c r="N8" i="116" s="1"/>
  <c r="M8" i="116"/>
  <c r="L145" i="101"/>
  <c r="O145" i="101" s="1"/>
  <c r="I145" i="101"/>
  <c r="H145" i="101" s="1"/>
  <c r="L121" i="101"/>
  <c r="O121" i="101" s="1"/>
  <c r="N101" i="101"/>
  <c r="L101" i="101"/>
  <c r="O101" i="101" s="1"/>
  <c r="O59" i="101"/>
  <c r="L136" i="117"/>
  <c r="O136" i="117" s="1"/>
  <c r="N136" i="117"/>
  <c r="L53" i="117"/>
  <c r="O53" i="117" s="1"/>
  <c r="N53" i="117"/>
  <c r="I21" i="101"/>
  <c r="I147" i="101" s="1"/>
  <c r="I148" i="101" s="1"/>
  <c r="AC22" i="72"/>
  <c r="M21" i="101"/>
  <c r="M147" i="101" s="1"/>
  <c r="M148" i="101" s="1"/>
  <c r="AO15" i="72"/>
  <c r="AP27" i="80"/>
  <c r="AP14" i="80"/>
  <c r="BK16" i="80"/>
  <c r="L16" i="80"/>
  <c r="E30" i="76"/>
  <c r="G34" i="76"/>
  <c r="G36" i="76"/>
  <c r="G38" i="76" s="1"/>
  <c r="J35" i="76"/>
  <c r="J34" i="76"/>
  <c r="L11" i="116"/>
  <c r="N11" i="116" s="1"/>
  <c r="L89" i="101"/>
  <c r="O89" i="101" s="1"/>
  <c r="N66" i="101"/>
  <c r="L66" i="101"/>
  <c r="O66" i="101" s="1"/>
  <c r="N21" i="101"/>
  <c r="L21" i="101"/>
  <c r="O21" i="101" s="1"/>
  <c r="N126" i="117"/>
  <c r="L126" i="117" s="1"/>
  <c r="O126" i="117" s="1"/>
  <c r="L93" i="117"/>
  <c r="O93" i="117" s="1"/>
  <c r="N93" i="117"/>
  <c r="N68" i="117"/>
  <c r="L68" i="117" s="1"/>
  <c r="O68" i="117" s="1"/>
  <c r="O59" i="117"/>
  <c r="N22" i="117"/>
  <c r="L22" i="117" s="1"/>
  <c r="O22" i="117" s="1"/>
  <c r="I143" i="101"/>
  <c r="H143" i="101" s="1"/>
  <c r="L143" i="101"/>
  <c r="O143" i="101" s="1"/>
  <c r="L14" i="101"/>
  <c r="O14" i="101" s="1"/>
  <c r="N6" i="101"/>
  <c r="L6" i="101" s="1"/>
  <c r="N116" i="117"/>
  <c r="L116" i="117" s="1"/>
  <c r="O116" i="117" s="1"/>
  <c r="N111" i="117"/>
  <c r="L111" i="117" s="1"/>
  <c r="O111" i="117" s="1"/>
  <c r="N84" i="117"/>
  <c r="L84" i="117" s="1"/>
  <c r="O84" i="117" s="1"/>
  <c r="N72" i="117"/>
  <c r="L72" i="117" s="1"/>
  <c r="O72" i="117" s="1"/>
  <c r="N110" i="101"/>
  <c r="L110" i="101" s="1"/>
  <c r="O110" i="101" s="1"/>
  <c r="N58" i="101"/>
  <c r="L58" i="101" s="1"/>
  <c r="O58" i="101" s="1"/>
  <c r="N15" i="101"/>
  <c r="L15" i="101"/>
  <c r="O15" i="101" s="1"/>
  <c r="L129" i="117"/>
  <c r="O129" i="117" s="1"/>
  <c r="L127" i="117"/>
  <c r="O127" i="117" s="1"/>
  <c r="N120" i="117"/>
  <c r="L120" i="117" s="1"/>
  <c r="O120" i="117" s="1"/>
  <c r="N108" i="117"/>
  <c r="L108" i="117"/>
  <c r="O108" i="117" s="1"/>
  <c r="N103" i="117"/>
  <c r="L103" i="117" s="1"/>
  <c r="O103" i="117" s="1"/>
  <c r="N77" i="117"/>
  <c r="N61" i="117"/>
  <c r="N74" i="117" s="1"/>
  <c r="O54" i="117"/>
  <c r="N14" i="117"/>
  <c r="L14" i="117" s="1"/>
  <c r="O14" i="117" s="1"/>
  <c r="C148" i="101"/>
  <c r="N150" i="101"/>
  <c r="L150" i="101" s="1"/>
  <c r="O150" i="101" s="1"/>
  <c r="N130" i="101"/>
  <c r="L130" i="101" s="1"/>
  <c r="O130" i="101" s="1"/>
  <c r="N126" i="101"/>
  <c r="L126" i="101" s="1"/>
  <c r="O126" i="101" s="1"/>
  <c r="N17" i="101"/>
  <c r="L17" i="101" s="1"/>
  <c r="O17" i="101" s="1"/>
  <c r="L141" i="117"/>
  <c r="N141" i="117"/>
  <c r="N115" i="117"/>
  <c r="L115" i="117" s="1"/>
  <c r="O115" i="117" s="1"/>
  <c r="N83" i="117"/>
  <c r="L83" i="117" s="1"/>
  <c r="O83" i="117" s="1"/>
  <c r="K82" i="116"/>
  <c r="L134" i="101"/>
  <c r="O134" i="101" s="1"/>
  <c r="L109" i="101"/>
  <c r="O109" i="101" s="1"/>
  <c r="N95" i="101"/>
  <c r="L95" i="101" s="1"/>
  <c r="O95" i="101" s="1"/>
  <c r="L81" i="101"/>
  <c r="O81" i="101" s="1"/>
  <c r="N81" i="101"/>
  <c r="L72" i="101"/>
  <c r="O72" i="101" s="1"/>
  <c r="L69" i="101"/>
  <c r="O69" i="101" s="1"/>
  <c r="O32" i="101"/>
  <c r="L25" i="101"/>
  <c r="O25" i="101" s="1"/>
  <c r="L16" i="101"/>
  <c r="O16" i="101" s="1"/>
  <c r="N107" i="117"/>
  <c r="N122" i="117" s="1"/>
  <c r="N78" i="117"/>
  <c r="L78" i="117" s="1"/>
  <c r="O78" i="117" s="1"/>
  <c r="L60" i="117"/>
  <c r="O60" i="117" s="1"/>
  <c r="O26" i="117"/>
  <c r="N19" i="117"/>
  <c r="L19" i="117" s="1"/>
  <c r="O19" i="117" s="1"/>
  <c r="L17" i="117"/>
  <c r="O17" i="117" s="1"/>
  <c r="L7" i="117"/>
  <c r="O7" i="117" s="1"/>
  <c r="N7" i="117"/>
  <c r="O68" i="101"/>
  <c r="L105" i="101"/>
  <c r="O105" i="101" s="1"/>
  <c r="N100" i="101"/>
  <c r="L100" i="101" s="1"/>
  <c r="O100" i="101" s="1"/>
  <c r="I85" i="101"/>
  <c r="H85" i="101" s="1"/>
  <c r="L65" i="101"/>
  <c r="O65" i="101" s="1"/>
  <c r="L22" i="101"/>
  <c r="O22" i="101" s="1"/>
  <c r="N22" i="101"/>
  <c r="L98" i="117"/>
  <c r="O98" i="117" s="1"/>
  <c r="N98" i="117"/>
  <c r="L96" i="117"/>
  <c r="O96" i="117" s="1"/>
  <c r="L92" i="117"/>
  <c r="O92" i="117" s="1"/>
  <c r="N73" i="117"/>
  <c r="L73" i="117" s="1"/>
  <c r="O73" i="117" s="1"/>
  <c r="N44" i="117"/>
  <c r="L44" i="117" s="1"/>
  <c r="O44" i="117" s="1"/>
  <c r="N40" i="117"/>
  <c r="L40" i="117" s="1"/>
  <c r="O40" i="117" s="1"/>
  <c r="O31" i="117"/>
  <c r="N122" i="101"/>
  <c r="L122" i="101" s="1"/>
  <c r="O122" i="101" s="1"/>
  <c r="N90" i="101"/>
  <c r="L90" i="101" s="1"/>
  <c r="O90" i="101" s="1"/>
  <c r="N37" i="101"/>
  <c r="L37" i="101" s="1"/>
  <c r="O37" i="101" s="1"/>
  <c r="N137" i="117"/>
  <c r="L137" i="117" s="1"/>
  <c r="O137" i="117" s="1"/>
  <c r="N125" i="117"/>
  <c r="N88" i="117"/>
  <c r="L88" i="117" s="1"/>
  <c r="O88" i="117" s="1"/>
  <c r="N69" i="117"/>
  <c r="L69" i="117" s="1"/>
  <c r="O69" i="117" s="1"/>
  <c r="N16" i="117"/>
  <c r="L16" i="117" s="1"/>
  <c r="O16" i="117" s="1"/>
  <c r="O83" i="101"/>
  <c r="J96" i="101"/>
  <c r="L144" i="101"/>
  <c r="O144" i="101" s="1"/>
  <c r="L88" i="101"/>
  <c r="O88" i="101" s="1"/>
  <c r="N77" i="101"/>
  <c r="L77" i="101" s="1"/>
  <c r="O77" i="101" s="1"/>
  <c r="L45" i="101"/>
  <c r="O45" i="101" s="1"/>
  <c r="N11" i="101"/>
  <c r="L11" i="101" s="1"/>
  <c r="O11" i="101" s="1"/>
  <c r="N132" i="117"/>
  <c r="L132" i="117" s="1"/>
  <c r="O132" i="117" s="1"/>
  <c r="L130" i="117"/>
  <c r="O130" i="117" s="1"/>
  <c r="L114" i="117"/>
  <c r="O114" i="117" s="1"/>
  <c r="L110" i="117"/>
  <c r="O110" i="117" s="1"/>
  <c r="L65" i="117"/>
  <c r="O65" i="117" s="1"/>
  <c r="N65" i="117"/>
  <c r="L6" i="117"/>
  <c r="L11" i="117"/>
  <c r="O11" i="117" s="1"/>
  <c r="O105" i="101"/>
  <c r="C96" i="101"/>
  <c r="H78" i="101"/>
  <c r="H67" i="101"/>
  <c r="L39" i="117"/>
  <c r="L12" i="117"/>
  <c r="O12" i="117" s="1"/>
  <c r="G78" i="101"/>
  <c r="G67" i="101"/>
  <c r="M96" i="101"/>
  <c r="L96" i="101"/>
  <c r="N56" i="117"/>
  <c r="L21" i="117"/>
  <c r="O21" i="117" s="1"/>
  <c r="O140" i="101"/>
  <c r="G140" i="101"/>
  <c r="G148" i="101" s="1"/>
  <c r="K96" i="101"/>
  <c r="O82" i="101"/>
  <c r="D96" i="101"/>
  <c r="R41" i="101"/>
  <c r="R45" i="101" s="1"/>
  <c r="R48" i="101" s="1"/>
  <c r="R95" i="101" s="1"/>
  <c r="R97" i="101" s="1"/>
  <c r="Q41" i="101"/>
  <c r="Q45" i="101" s="1"/>
  <c r="Q48" i="101" s="1"/>
  <c r="Q95" i="101" s="1"/>
  <c r="Q97" i="101" s="1"/>
  <c r="E64" i="8" l="1"/>
  <c r="Z65" i="8"/>
  <c r="Z222" i="8"/>
  <c r="Z62" i="8"/>
  <c r="AX280" i="48"/>
  <c r="BD280" i="48" s="1"/>
  <c r="W62" i="8"/>
  <c r="AV35" i="48"/>
  <c r="O52" i="117"/>
  <c r="L56" i="117"/>
  <c r="O56" i="117" s="1"/>
  <c r="AZ158" i="52"/>
  <c r="AW161" i="52"/>
  <c r="AG66" i="8"/>
  <c r="AN74" i="3"/>
  <c r="AH66" i="8" s="1"/>
  <c r="AF62" i="8"/>
  <c r="P227" i="8"/>
  <c r="U345" i="48"/>
  <c r="AX245" i="48"/>
  <c r="L345" i="48"/>
  <c r="AL71" i="8"/>
  <c r="AW154" i="52"/>
  <c r="AZ154" i="52"/>
  <c r="I186" i="97"/>
  <c r="I291" i="97"/>
  <c r="AJ345" i="48"/>
  <c r="AV72" i="48"/>
  <c r="AC66" i="8"/>
  <c r="L66" i="8"/>
  <c r="S74" i="3"/>
  <c r="M66" i="8" s="1"/>
  <c r="AM345" i="48"/>
  <c r="E19" i="8"/>
  <c r="T65" i="8"/>
  <c r="L158" i="101"/>
  <c r="O6" i="101"/>
  <c r="O158" i="101" s="1"/>
  <c r="AV19" i="48"/>
  <c r="AX60" i="48" s="1"/>
  <c r="Q62" i="8"/>
  <c r="AW121" i="52"/>
  <c r="R345" i="48"/>
  <c r="Q345" i="48" s="1"/>
  <c r="H96" i="101"/>
  <c r="G215" i="8"/>
  <c r="C225" i="97"/>
  <c r="N91" i="116"/>
  <c r="L92" i="116"/>
  <c r="I92" i="116" s="1"/>
  <c r="T90" i="8"/>
  <c r="G248" i="97" s="1"/>
  <c r="G166" i="97" s="1"/>
  <c r="G70" i="97"/>
  <c r="AL102" i="8"/>
  <c r="M207" i="97" s="1"/>
  <c r="M30" i="97"/>
  <c r="M33" i="97" s="1"/>
  <c r="H104" i="8"/>
  <c r="C192" i="97" s="1"/>
  <c r="C15" i="97"/>
  <c r="C18" i="97" s="1"/>
  <c r="BM193" i="8"/>
  <c r="BK194" i="8"/>
  <c r="D147" i="97"/>
  <c r="D229" i="97"/>
  <c r="T195" i="8"/>
  <c r="O176" i="8"/>
  <c r="O200" i="8" s="1"/>
  <c r="Q200" i="8" s="1"/>
  <c r="Q226" i="8" s="1"/>
  <c r="F213" i="97" s="1"/>
  <c r="O226" i="8"/>
  <c r="O103" i="8"/>
  <c r="O58" i="8"/>
  <c r="O161" i="8"/>
  <c r="O88" i="8"/>
  <c r="O211" i="8"/>
  <c r="AG58" i="8"/>
  <c r="AG161" i="8"/>
  <c r="AG88" i="8"/>
  <c r="AG211" i="8"/>
  <c r="O218" i="8"/>
  <c r="F79" i="97"/>
  <c r="AJ95" i="8"/>
  <c r="AL94" i="8"/>
  <c r="M80" i="97"/>
  <c r="M83" i="97" s="1"/>
  <c r="U103" i="8"/>
  <c r="U226" i="8"/>
  <c r="U176" i="8"/>
  <c r="U200" i="8" s="1"/>
  <c r="W200" i="8" s="1"/>
  <c r="W226" i="8" s="1"/>
  <c r="H213" i="97" s="1"/>
  <c r="F66" i="8"/>
  <c r="M74" i="3"/>
  <c r="G66" i="8" s="1"/>
  <c r="J118" i="8"/>
  <c r="K119" i="8"/>
  <c r="D261" i="97"/>
  <c r="D174" i="97" s="1"/>
  <c r="N62" i="8"/>
  <c r="N65" i="8"/>
  <c r="T96" i="8"/>
  <c r="G87" i="97"/>
  <c r="G90" i="97" s="1"/>
  <c r="R97" i="8"/>
  <c r="AV230" i="48"/>
  <c r="AX232" i="48" s="1"/>
  <c r="Z53" i="8"/>
  <c r="AE21" i="3"/>
  <c r="Y53" i="8" s="1"/>
  <c r="G68" i="32"/>
  <c r="B314" i="97" s="1"/>
  <c r="X161" i="48"/>
  <c r="AV239" i="48"/>
  <c r="AX241" i="48" s="1"/>
  <c r="BD241" i="48" s="1"/>
  <c r="AC91" i="8"/>
  <c r="J226" i="97" s="1"/>
  <c r="J48" i="97"/>
  <c r="J51" i="97" s="1"/>
  <c r="J74" i="97" s="1"/>
  <c r="K35" i="74" s="1"/>
  <c r="AV183" i="48"/>
  <c r="AX185" i="48" s="1"/>
  <c r="N240" i="97"/>
  <c r="B244" i="97"/>
  <c r="B159" i="97"/>
  <c r="N159" i="97" s="1"/>
  <c r="M36" i="97"/>
  <c r="N116" i="116"/>
  <c r="N68" i="116"/>
  <c r="N84" i="116"/>
  <c r="BG197" i="8"/>
  <c r="BG222" i="8"/>
  <c r="BG223" i="8" s="1"/>
  <c r="Q71" i="8"/>
  <c r="AF221" i="8"/>
  <c r="AG65" i="8"/>
  <c r="AG172" i="8"/>
  <c r="AG99" i="8"/>
  <c r="AG222" i="8"/>
  <c r="AU72" i="3"/>
  <c r="D148" i="97"/>
  <c r="AV91" i="52"/>
  <c r="N17" i="97"/>
  <c r="AI53" i="8"/>
  <c r="R164" i="52"/>
  <c r="AG177" i="8"/>
  <c r="AG201" i="8" s="1"/>
  <c r="AI201" i="8" s="1"/>
  <c r="AG104" i="8"/>
  <c r="AG227" i="8"/>
  <c r="J227" i="8"/>
  <c r="AC164" i="52"/>
  <c r="AL104" i="3"/>
  <c r="AU99" i="3"/>
  <c r="AU104" i="3" s="1"/>
  <c r="AM164" i="52"/>
  <c r="AL164" i="52" s="1"/>
  <c r="N99" i="117"/>
  <c r="N10" i="116"/>
  <c r="N9" i="116"/>
  <c r="H229" i="97"/>
  <c r="H147" i="97"/>
  <c r="N195" i="8"/>
  <c r="M126" i="97"/>
  <c r="J30" i="97"/>
  <c r="J33" i="97" s="1"/>
  <c r="AC102" i="8"/>
  <c r="J207" i="97" s="1"/>
  <c r="J136" i="97" s="1"/>
  <c r="Z88" i="8"/>
  <c r="X93" i="8"/>
  <c r="I55" i="97"/>
  <c r="I59" i="97" s="1"/>
  <c r="I74" i="97" s="1"/>
  <c r="J35" i="74" s="1"/>
  <c r="AW116" i="52"/>
  <c r="AW173" i="52" s="1"/>
  <c r="O62" i="8"/>
  <c r="O96" i="8"/>
  <c r="O169" i="8"/>
  <c r="O219" i="8"/>
  <c r="E17" i="101"/>
  <c r="E17" i="114"/>
  <c r="C101" i="8"/>
  <c r="C224" i="8"/>
  <c r="C71" i="8"/>
  <c r="C174" i="8"/>
  <c r="AB213" i="8"/>
  <c r="AU33" i="3"/>
  <c r="AD164" i="52"/>
  <c r="BS197" i="8"/>
  <c r="BS221" i="8"/>
  <c r="BS223" i="8" s="1"/>
  <c r="R161" i="48"/>
  <c r="W58" i="8"/>
  <c r="K161" i="48"/>
  <c r="AD66" i="8"/>
  <c r="AK74" i="3"/>
  <c r="AE66" i="8" s="1"/>
  <c r="AJ161" i="48"/>
  <c r="AI161" i="48" s="1"/>
  <c r="B126" i="97"/>
  <c r="N126" i="97" s="1"/>
  <c r="H186" i="97"/>
  <c r="AW149" i="52"/>
  <c r="AS345" i="48"/>
  <c r="N23" i="117"/>
  <c r="O141" i="117"/>
  <c r="L77" i="117"/>
  <c r="N46" i="116"/>
  <c r="N17" i="116"/>
  <c r="Z90" i="8"/>
  <c r="I248" i="97" s="1"/>
  <c r="I166" i="97" s="1"/>
  <c r="I70" i="97"/>
  <c r="I73" i="97" s="1"/>
  <c r="AL117" i="8"/>
  <c r="M236" i="97"/>
  <c r="J206" i="97"/>
  <c r="AB225" i="8"/>
  <c r="E226" i="8"/>
  <c r="B213" i="97" s="1"/>
  <c r="AL48" i="3"/>
  <c r="AF64" i="8" s="1"/>
  <c r="N58" i="8"/>
  <c r="AU198" i="8"/>
  <c r="AS203" i="8"/>
  <c r="S228" i="8"/>
  <c r="M21" i="3"/>
  <c r="G53" i="8" s="1"/>
  <c r="E86" i="97"/>
  <c r="L220" i="8"/>
  <c r="P74" i="3"/>
  <c r="J66" i="8" s="1"/>
  <c r="X164" i="52"/>
  <c r="W164" i="52" s="1"/>
  <c r="AV57" i="48"/>
  <c r="AX58" i="48" s="1"/>
  <c r="D160" i="97"/>
  <c r="D244" i="97"/>
  <c r="F218" i="8"/>
  <c r="C79" i="97"/>
  <c r="AJ66" i="8"/>
  <c r="AQ74" i="3"/>
  <c r="AK66" i="8" s="1"/>
  <c r="G39" i="101"/>
  <c r="G57" i="101" s="1"/>
  <c r="U105" i="8"/>
  <c r="W105" i="8" s="1"/>
  <c r="U178" i="8"/>
  <c r="U202" i="8" s="1"/>
  <c r="W202" i="8" s="1"/>
  <c r="W228" i="8" s="1"/>
  <c r="U228" i="8"/>
  <c r="AL61" i="8"/>
  <c r="L176" i="8"/>
  <c r="L200" i="8" s="1"/>
  <c r="N200" i="8" s="1"/>
  <c r="L103" i="8"/>
  <c r="L226" i="8"/>
  <c r="O164" i="52"/>
  <c r="AV206" i="48"/>
  <c r="AX206" i="48" s="1"/>
  <c r="AX319" i="48"/>
  <c r="AZ319" i="48" s="1"/>
  <c r="E58" i="8"/>
  <c r="W119" i="8"/>
  <c r="H261" i="97"/>
  <c r="H174" i="97" s="1"/>
  <c r="N58" i="97"/>
  <c r="L161" i="48"/>
  <c r="L88" i="8"/>
  <c r="L161" i="8"/>
  <c r="L58" i="8"/>
  <c r="L211" i="8"/>
  <c r="AV222" i="48"/>
  <c r="U58" i="8"/>
  <c r="U88" i="8"/>
  <c r="U161" i="8"/>
  <c r="U211" i="8"/>
  <c r="K130" i="8"/>
  <c r="D202" i="97"/>
  <c r="AI98" i="52"/>
  <c r="E89" i="8"/>
  <c r="B241" i="97" s="1"/>
  <c r="B63" i="97"/>
  <c r="R176" i="8"/>
  <c r="R200" i="8" s="1"/>
  <c r="T200" i="8" s="1"/>
  <c r="T226" i="8" s="1"/>
  <c r="G213" i="97" s="1"/>
  <c r="R103" i="8"/>
  <c r="R226" i="8"/>
  <c r="AV47" i="52"/>
  <c r="AV82" i="52"/>
  <c r="W91" i="8"/>
  <c r="H226" i="97" s="1"/>
  <c r="H48" i="97"/>
  <c r="H51" i="97" s="1"/>
  <c r="W89" i="8"/>
  <c r="H241" i="97" s="1"/>
  <c r="H63" i="97"/>
  <c r="H66" i="97" s="1"/>
  <c r="X197" i="8"/>
  <c r="F105" i="8"/>
  <c r="H105" i="8" s="1"/>
  <c r="F178" i="8"/>
  <c r="F202" i="8" s="1"/>
  <c r="H202" i="8" s="1"/>
  <c r="F228" i="8"/>
  <c r="BA217" i="8"/>
  <c r="BA218" i="8" s="1"/>
  <c r="BA192" i="8"/>
  <c r="AF130" i="8"/>
  <c r="K202" i="97"/>
  <c r="F176" i="8"/>
  <c r="F200" i="8" s="1"/>
  <c r="H200" i="8" s="1"/>
  <c r="H226" i="8" s="1"/>
  <c r="C213" i="97" s="1"/>
  <c r="F103" i="8"/>
  <c r="F226" i="8"/>
  <c r="BM203" i="8"/>
  <c r="BM224" i="8"/>
  <c r="BM229" i="8" s="1"/>
  <c r="R58" i="74"/>
  <c r="U220" i="8"/>
  <c r="H86" i="97"/>
  <c r="J215" i="8"/>
  <c r="L177" i="8"/>
  <c r="L201" i="8" s="1"/>
  <c r="N201" i="8" s="1"/>
  <c r="N227" i="8" s="1"/>
  <c r="E191" i="97" s="1"/>
  <c r="L104" i="8"/>
  <c r="L227" i="8"/>
  <c r="L97" i="8"/>
  <c r="N96" i="8"/>
  <c r="E87" i="97"/>
  <c r="E90" i="97" s="1"/>
  <c r="I174" i="8"/>
  <c r="I101" i="8"/>
  <c r="I224" i="8"/>
  <c r="I71" i="8"/>
  <c r="AV20" i="48"/>
  <c r="AJ164" i="52"/>
  <c r="AR21" i="3"/>
  <c r="AI164" i="52"/>
  <c r="K86" i="3"/>
  <c r="E69" i="8" s="1"/>
  <c r="AV280" i="48"/>
  <c r="AU40" i="3"/>
  <c r="AV244" i="48"/>
  <c r="AV339" i="48"/>
  <c r="AX339" i="48" s="1"/>
  <c r="BD339" i="48" s="1"/>
  <c r="W98" i="52"/>
  <c r="L45" i="117"/>
  <c r="O45" i="117" s="1"/>
  <c r="O39" i="117"/>
  <c r="N61" i="116"/>
  <c r="L70" i="116"/>
  <c r="I70" i="116" s="1"/>
  <c r="N96" i="116"/>
  <c r="N55" i="116"/>
  <c r="S58" i="74"/>
  <c r="F95" i="114"/>
  <c r="V118" i="8"/>
  <c r="N97" i="116"/>
  <c r="X100" i="8"/>
  <c r="I97" i="97" s="1"/>
  <c r="Z98" i="8"/>
  <c r="Z100" i="8" s="1"/>
  <c r="I277" i="97" s="1"/>
  <c r="Y215" i="8"/>
  <c r="I225" i="97"/>
  <c r="W102" i="8"/>
  <c r="H207" i="97" s="1"/>
  <c r="H136" i="97" s="1"/>
  <c r="H30" i="97"/>
  <c r="H33" i="97" s="1"/>
  <c r="Y225" i="8"/>
  <c r="I206" i="97"/>
  <c r="N102" i="8"/>
  <c r="E207" i="97" s="1"/>
  <c r="E30" i="97"/>
  <c r="E33" i="97" s="1"/>
  <c r="AX198" i="8"/>
  <c r="AV203" i="8"/>
  <c r="AC48" i="3"/>
  <c r="W64" i="8" s="1"/>
  <c r="AU39" i="3"/>
  <c r="N228" i="8"/>
  <c r="AL119" i="8"/>
  <c r="M261" i="97"/>
  <c r="M174" i="97" s="1"/>
  <c r="AV190" i="8"/>
  <c r="AX185" i="8"/>
  <c r="F88" i="8"/>
  <c r="F211" i="8"/>
  <c r="F161" i="8"/>
  <c r="F58" i="8"/>
  <c r="G120" i="8"/>
  <c r="H121" i="8"/>
  <c r="C268" i="97"/>
  <c r="C180" i="97" s="1"/>
  <c r="C60" i="8"/>
  <c r="C167" i="8"/>
  <c r="C217" i="8"/>
  <c r="C94" i="8"/>
  <c r="AD176" i="8"/>
  <c r="AD200" i="8" s="1"/>
  <c r="AF200" i="8" s="1"/>
  <c r="AF226" i="8" s="1"/>
  <c r="K213" i="97" s="1"/>
  <c r="AD103" i="8"/>
  <c r="AD226" i="8"/>
  <c r="M225" i="8"/>
  <c r="N48" i="3"/>
  <c r="H64" i="8" s="1"/>
  <c r="E119" i="8"/>
  <c r="B261" i="97"/>
  <c r="AO190" i="8"/>
  <c r="AO211" i="8"/>
  <c r="AO216" i="8" s="1"/>
  <c r="Q60" i="8"/>
  <c r="U97" i="8"/>
  <c r="W96" i="8"/>
  <c r="H87" i="97"/>
  <c r="H90" i="97" s="1"/>
  <c r="E186" i="97"/>
  <c r="O67" i="114"/>
  <c r="E166" i="97"/>
  <c r="E251" i="97"/>
  <c r="BS198" i="8"/>
  <c r="BQ203" i="8"/>
  <c r="L167" i="8"/>
  <c r="L60" i="8"/>
  <c r="L217" i="8"/>
  <c r="L94" i="8"/>
  <c r="O65" i="8"/>
  <c r="O172" i="8"/>
  <c r="O99" i="8"/>
  <c r="O222" i="8"/>
  <c r="AJ161" i="8"/>
  <c r="AJ58" i="8"/>
  <c r="AJ88" i="8"/>
  <c r="AJ211" i="8"/>
  <c r="AD196" i="8"/>
  <c r="AD173" i="8"/>
  <c r="D36" i="97"/>
  <c r="J226" i="8"/>
  <c r="N130" i="8"/>
  <c r="E202" i="97"/>
  <c r="M17" i="101"/>
  <c r="M17" i="114"/>
  <c r="Z60" i="8"/>
  <c r="I65" i="8"/>
  <c r="I172" i="8"/>
  <c r="I99" i="8"/>
  <c r="I222" i="8"/>
  <c r="AY115" i="52"/>
  <c r="AZ115" i="52" s="1"/>
  <c r="AI59" i="8"/>
  <c r="AN28" i="3"/>
  <c r="AH59" i="8" s="1"/>
  <c r="AI48" i="3"/>
  <c r="AC64" i="8" s="1"/>
  <c r="AC226" i="8"/>
  <c r="J213" i="97" s="1"/>
  <c r="L39" i="101"/>
  <c r="L57" i="101" s="1"/>
  <c r="N98" i="52"/>
  <c r="L244" i="97"/>
  <c r="T61" i="8"/>
  <c r="F95" i="8"/>
  <c r="H94" i="8"/>
  <c r="C80" i="97"/>
  <c r="C83" i="97" s="1"/>
  <c r="H135" i="97"/>
  <c r="AW151" i="52"/>
  <c r="AZ151" i="52"/>
  <c r="N73" i="116"/>
  <c r="L88" i="116"/>
  <c r="I88" i="116" s="1"/>
  <c r="AL228" i="8"/>
  <c r="X220" i="8"/>
  <c r="I86" i="97"/>
  <c r="Q50" i="52"/>
  <c r="AM161" i="48"/>
  <c r="T43" i="32"/>
  <c r="AC221" i="8"/>
  <c r="N86" i="3"/>
  <c r="H69" i="8" s="1"/>
  <c r="AU78" i="3"/>
  <c r="AU86" i="3" s="1"/>
  <c r="D186" i="97"/>
  <c r="AV325" i="48"/>
  <c r="AX327" i="48" s="1"/>
  <c r="AZ327" i="48" s="1"/>
  <c r="K117" i="8"/>
  <c r="D236" i="97"/>
  <c r="J112" i="8"/>
  <c r="N164" i="52"/>
  <c r="AV177" i="48"/>
  <c r="AV346" i="48" s="1"/>
  <c r="AV224" i="48"/>
  <c r="U104" i="8"/>
  <c r="U177" i="8"/>
  <c r="U201" i="8" s="1"/>
  <c r="W201" i="8" s="1"/>
  <c r="U227" i="8"/>
  <c r="AP161" i="48"/>
  <c r="Z345" i="48"/>
  <c r="AL60" i="8"/>
  <c r="AC117" i="8"/>
  <c r="J236" i="97"/>
  <c r="W345" i="48"/>
  <c r="AE213" i="8"/>
  <c r="AA216" i="8"/>
  <c r="J54" i="97"/>
  <c r="T53" i="32"/>
  <c r="T66" i="32" s="1"/>
  <c r="T68" i="32" s="1"/>
  <c r="AD58" i="8"/>
  <c r="AD88" i="8"/>
  <c r="AD161" i="8"/>
  <c r="AD211" i="8"/>
  <c r="AI345" i="48"/>
  <c r="Z117" i="8"/>
  <c r="I236" i="97"/>
  <c r="AV106" i="48"/>
  <c r="AX283" i="48"/>
  <c r="BD283" i="48" s="1"/>
  <c r="AV57" i="52"/>
  <c r="AX201" i="48"/>
  <c r="AE215" i="8"/>
  <c r="K225" i="97"/>
  <c r="AS190" i="8"/>
  <c r="AU185" i="8"/>
  <c r="B206" i="97"/>
  <c r="D225" i="8"/>
  <c r="T71" i="8"/>
  <c r="I36" i="97"/>
  <c r="E62" i="8"/>
  <c r="L210" i="97"/>
  <c r="L135" i="97"/>
  <c r="AL104" i="8"/>
  <c r="M192" i="97" s="1"/>
  <c r="M15" i="97"/>
  <c r="M18" i="97" s="1"/>
  <c r="Q94" i="8"/>
  <c r="F80" i="97"/>
  <c r="F83" i="97" s="1"/>
  <c r="O95" i="8"/>
  <c r="Z164" i="52"/>
  <c r="C103" i="8"/>
  <c r="C176" i="8"/>
  <c r="C200" i="8" s="1"/>
  <c r="E200" i="8" s="1"/>
  <c r="C226" i="8"/>
  <c r="AT86" i="3"/>
  <c r="AV24" i="52"/>
  <c r="AV50" i="52" s="1"/>
  <c r="M150" i="97"/>
  <c r="N228" i="97"/>
  <c r="B150" i="97"/>
  <c r="N150" i="97" s="1"/>
  <c r="T57" i="32"/>
  <c r="Z130" i="8"/>
  <c r="I202" i="97"/>
  <c r="AA220" i="8"/>
  <c r="J86" i="97"/>
  <c r="AV270" i="48"/>
  <c r="AX271" i="48" s="1"/>
  <c r="BD271" i="48" s="1"/>
  <c r="B229" i="97"/>
  <c r="O78" i="101"/>
  <c r="N138" i="117"/>
  <c r="N158" i="101"/>
  <c r="N62" i="116"/>
  <c r="N42" i="116"/>
  <c r="M95" i="114"/>
  <c r="Z89" i="8"/>
  <c r="I241" i="97" s="1"/>
  <c r="I63" i="97"/>
  <c r="I66" i="97" s="1"/>
  <c r="W117" i="8"/>
  <c r="H236" i="97"/>
  <c r="H291" i="97" s="1"/>
  <c r="BV194" i="8"/>
  <c r="BV219" i="8"/>
  <c r="BV220" i="8" s="1"/>
  <c r="G159" i="97"/>
  <c r="AA65" i="8"/>
  <c r="AA99" i="8"/>
  <c r="AA172" i="8"/>
  <c r="AA222" i="8"/>
  <c r="H130" i="8"/>
  <c r="C202" i="97"/>
  <c r="N202" i="97" s="1"/>
  <c r="AL98" i="8"/>
  <c r="AC58" i="8"/>
  <c r="X190" i="8"/>
  <c r="Z185" i="8"/>
  <c r="Z190" i="8" s="1"/>
  <c r="N47" i="97"/>
  <c r="H221" i="8"/>
  <c r="AV32" i="48"/>
  <c r="AD167" i="8"/>
  <c r="AD60" i="8"/>
  <c r="AD217" i="8"/>
  <c r="AD94" i="8"/>
  <c r="AI130" i="8"/>
  <c r="L202" i="97"/>
  <c r="C58" i="8"/>
  <c r="C88" i="8"/>
  <c r="C161" i="8"/>
  <c r="C211" i="8"/>
  <c r="C177" i="8"/>
  <c r="C201" i="8" s="1"/>
  <c r="E201" i="8" s="1"/>
  <c r="C227" i="8"/>
  <c r="C104" i="8"/>
  <c r="G147" i="97"/>
  <c r="B86" i="97"/>
  <c r="C220" i="8"/>
  <c r="AV309" i="48"/>
  <c r="AX311" i="48" s="1"/>
  <c r="AZ311" i="48" s="1"/>
  <c r="AZ346" i="48" s="1"/>
  <c r="AV19" i="52"/>
  <c r="AV219" i="48"/>
  <c r="K104" i="8"/>
  <c r="K345" i="48"/>
  <c r="AB21" i="3"/>
  <c r="V53" i="8" s="1"/>
  <c r="AV329" i="48"/>
  <c r="AX331" i="48" s="1"/>
  <c r="AZ331" i="48" s="1"/>
  <c r="AX323" i="48"/>
  <c r="AZ323" i="48" s="1"/>
  <c r="N117" i="8"/>
  <c r="E236" i="97"/>
  <c r="E291" i="97" s="1"/>
  <c r="BF346" i="48"/>
  <c r="V213" i="8"/>
  <c r="H247" i="97"/>
  <c r="L107" i="116"/>
  <c r="I107" i="116" s="1"/>
  <c r="N95" i="116"/>
  <c r="Z103" i="8"/>
  <c r="I214" i="97" s="1"/>
  <c r="I142" i="97" s="1"/>
  <c r="I37" i="97"/>
  <c r="I41" i="97" s="1"/>
  <c r="D39" i="114"/>
  <c r="D57" i="114" s="1"/>
  <c r="AL130" i="8"/>
  <c r="M202" i="97"/>
  <c r="G14" i="97"/>
  <c r="S227" i="8"/>
  <c r="N18" i="116"/>
  <c r="E135" i="97"/>
  <c r="E210" i="97"/>
  <c r="T60" i="8"/>
  <c r="AL227" i="8"/>
  <c r="M191" i="97" s="1"/>
  <c r="O78" i="114"/>
  <c r="C95" i="114"/>
  <c r="X216" i="8"/>
  <c r="I54" i="97"/>
  <c r="F65" i="8"/>
  <c r="F99" i="8"/>
  <c r="F172" i="8"/>
  <c r="F222" i="8"/>
  <c r="AV85" i="52"/>
  <c r="L39" i="114"/>
  <c r="L57" i="114" s="1"/>
  <c r="AN21" i="3"/>
  <c r="AH53" i="8" s="1"/>
  <c r="F191" i="8"/>
  <c r="F168" i="8"/>
  <c r="T104" i="8"/>
  <c r="G192" i="97" s="1"/>
  <c r="G15" i="97"/>
  <c r="G18" i="97" s="1"/>
  <c r="AI53" i="32"/>
  <c r="N71" i="8"/>
  <c r="AV223" i="48"/>
  <c r="N50" i="52"/>
  <c r="O161" i="48"/>
  <c r="N161" i="48" s="1"/>
  <c r="O66" i="8"/>
  <c r="V74" i="3"/>
  <c r="P66" i="8" s="1"/>
  <c r="N66" i="32"/>
  <c r="N68" i="32" s="1"/>
  <c r="I314" i="97" s="1"/>
  <c r="I220" i="8"/>
  <c r="D86" i="97"/>
  <c r="N110" i="116"/>
  <c r="L118" i="116"/>
  <c r="L24" i="116"/>
  <c r="I24" i="116" s="1"/>
  <c r="N6" i="116"/>
  <c r="E95" i="114"/>
  <c r="G213" i="8"/>
  <c r="C247" i="97"/>
  <c r="W98" i="8"/>
  <c r="Q117" i="8"/>
  <c r="P112" i="8"/>
  <c r="F236" i="97"/>
  <c r="F291" i="97" s="1"/>
  <c r="BA185" i="8"/>
  <c r="AY190" i="8"/>
  <c r="U193" i="8"/>
  <c r="J209" i="97"/>
  <c r="J138" i="97" s="1"/>
  <c r="AC130" i="8"/>
  <c r="M135" i="97"/>
  <c r="BG194" i="8"/>
  <c r="BG219" i="8"/>
  <c r="BG220" i="8" s="1"/>
  <c r="R94" i="8"/>
  <c r="R60" i="8"/>
  <c r="R167" i="8"/>
  <c r="R217" i="8"/>
  <c r="W121" i="8"/>
  <c r="H268" i="97"/>
  <c r="H180" i="97" s="1"/>
  <c r="L172" i="8"/>
  <c r="L99" i="8"/>
  <c r="N99" i="8" s="1"/>
  <c r="L222" i="8"/>
  <c r="L65" i="8"/>
  <c r="H228" i="8"/>
  <c r="AC104" i="8"/>
  <c r="J192" i="97" s="1"/>
  <c r="J15" i="97"/>
  <c r="J18" i="97" s="1"/>
  <c r="L147" i="97"/>
  <c r="L229" i="97"/>
  <c r="AJ97" i="8"/>
  <c r="AL96" i="8"/>
  <c r="M87" i="97"/>
  <c r="M90" i="97" s="1"/>
  <c r="N226" i="8"/>
  <c r="E213" i="97" s="1"/>
  <c r="AB228" i="8"/>
  <c r="W94" i="8"/>
  <c r="U95" i="8"/>
  <c r="H80" i="97"/>
  <c r="H83" i="97" s="1"/>
  <c r="AC61" i="8"/>
  <c r="AS17" i="72"/>
  <c r="AS18" i="72" s="1"/>
  <c r="AS27" i="72" s="1"/>
  <c r="AL19" i="8" s="1"/>
  <c r="AL226" i="8" s="1"/>
  <c r="O139" i="114"/>
  <c r="N89" i="97"/>
  <c r="B110" i="97"/>
  <c r="N110" i="97" s="1"/>
  <c r="T121" i="8"/>
  <c r="G268" i="97"/>
  <c r="G180" i="97" s="1"/>
  <c r="K103" i="8"/>
  <c r="D214" i="97" s="1"/>
  <c r="D37" i="97"/>
  <c r="D41" i="97" s="1"/>
  <c r="M159" i="97"/>
  <c r="Q65" i="8"/>
  <c r="B186" i="97"/>
  <c r="N186" i="97" s="1"/>
  <c r="N279" i="97"/>
  <c r="Q164" i="52"/>
  <c r="AV41" i="48"/>
  <c r="K60" i="8"/>
  <c r="AI227" i="8"/>
  <c r="L191" i="97" s="1"/>
  <c r="K226" i="8"/>
  <c r="D213" i="97" s="1"/>
  <c r="AI117" i="8"/>
  <c r="AH112" i="8"/>
  <c r="L236" i="97"/>
  <c r="AV141" i="52"/>
  <c r="AW142" i="52" s="1"/>
  <c r="X97" i="8"/>
  <c r="Z96" i="8"/>
  <c r="I87" i="97"/>
  <c r="I90" i="97" s="1"/>
  <c r="AO161" i="48"/>
  <c r="W130" i="8"/>
  <c r="T45" i="32"/>
  <c r="AA161" i="48"/>
  <c r="AV337" i="48"/>
  <c r="AX337" i="48" s="1"/>
  <c r="BD337" i="48" s="1"/>
  <c r="AI65" i="8"/>
  <c r="AC345" i="48"/>
  <c r="AX286" i="48"/>
  <c r="BD286" i="48" s="1"/>
  <c r="AV90" i="52"/>
  <c r="AP98" i="52"/>
  <c r="AO98" i="52" s="1"/>
  <c r="AV225" i="48"/>
  <c r="AL121" i="8"/>
  <c r="M268" i="97"/>
  <c r="M180" i="97" s="1"/>
  <c r="AG161" i="48"/>
  <c r="AX210" i="48"/>
  <c r="BD210" i="48" s="1"/>
  <c r="D251" i="97"/>
  <c r="AF345" i="48"/>
  <c r="AA185" i="8"/>
  <c r="AA166" i="8"/>
  <c r="AP164" i="52"/>
  <c r="T161" i="48"/>
  <c r="AV251" i="48"/>
  <c r="AX253" i="48" s="1"/>
  <c r="K58" i="8"/>
  <c r="AI86" i="3"/>
  <c r="AC69" i="8" s="1"/>
  <c r="AC227" i="8" s="1"/>
  <c r="J191" i="97" s="1"/>
  <c r="AV109" i="52"/>
  <c r="AS164" i="52"/>
  <c r="AR164" i="52" s="1"/>
  <c r="AV92" i="48"/>
  <c r="F17" i="101"/>
  <c r="F17" i="114"/>
  <c r="J66" i="32"/>
  <c r="J68" i="32" s="1"/>
  <c r="E314" i="97" s="1"/>
  <c r="J291" i="97"/>
  <c r="J174" i="97"/>
  <c r="AD223" i="8"/>
  <c r="K96" i="97" s="1"/>
  <c r="K101" i="97" s="1"/>
  <c r="J150" i="97"/>
  <c r="AV162" i="48"/>
  <c r="AX49" i="48"/>
  <c r="AX198" i="48"/>
  <c r="BD198" i="48" s="1"/>
  <c r="I97" i="8"/>
  <c r="K96" i="8"/>
  <c r="D87" i="97"/>
  <c r="D90" i="97" s="1"/>
  <c r="L95" i="114"/>
  <c r="P35" i="76"/>
  <c r="D40" i="76" s="1"/>
  <c r="AP27" i="72"/>
  <c r="AI19" i="8" s="1"/>
  <c r="AX194" i="8"/>
  <c r="AX219" i="8"/>
  <c r="AX220" i="8" s="1"/>
  <c r="BV191" i="8"/>
  <c r="BT192" i="8"/>
  <c r="E102" i="8"/>
  <c r="B207" i="97" s="1"/>
  <c r="B30" i="97"/>
  <c r="AD62" i="8"/>
  <c r="AD169" i="8"/>
  <c r="AD219" i="8"/>
  <c r="AD96" i="8"/>
  <c r="G186" i="97"/>
  <c r="L194" i="8"/>
  <c r="N193" i="8"/>
  <c r="N194" i="8" s="1"/>
  <c r="AO194" i="8"/>
  <c r="AO219" i="8"/>
  <c r="AO220" i="8" s="1"/>
  <c r="K65" i="8"/>
  <c r="I75" i="97"/>
  <c r="J10" i="74" s="1"/>
  <c r="T193" i="8"/>
  <c r="T194" i="8" s="1"/>
  <c r="R194" i="8"/>
  <c r="AU41" i="3"/>
  <c r="AU48" i="3" s="1"/>
  <c r="AH228" i="8"/>
  <c r="BG211" i="8"/>
  <c r="BG216" i="8" s="1"/>
  <c r="BG190" i="8"/>
  <c r="I178" i="8"/>
  <c r="I202" i="8" s="1"/>
  <c r="K202" i="8" s="1"/>
  <c r="K228" i="8" s="1"/>
  <c r="D191" i="97" s="1"/>
  <c r="I105" i="8"/>
  <c r="K105" i="8" s="1"/>
  <c r="I228" i="8"/>
  <c r="J228" i="8" s="1"/>
  <c r="U65" i="8"/>
  <c r="U99" i="8"/>
  <c r="W99" i="8" s="1"/>
  <c r="U222" i="8"/>
  <c r="U172" i="8"/>
  <c r="F147" i="97"/>
  <c r="F229" i="97"/>
  <c r="M148" i="97"/>
  <c r="AI62" i="8"/>
  <c r="M228" i="8"/>
  <c r="W161" i="48"/>
  <c r="BB194" i="8"/>
  <c r="BD193" i="8"/>
  <c r="T50" i="52"/>
  <c r="AA170" i="8"/>
  <c r="AA193" i="8"/>
  <c r="AA103" i="8"/>
  <c r="AA176" i="8"/>
  <c r="AA200" i="8" s="1"/>
  <c r="AC200" i="8" s="1"/>
  <c r="AA226" i="8"/>
  <c r="L107" i="117"/>
  <c r="L61" i="117"/>
  <c r="O59" i="74"/>
  <c r="Q59" i="74"/>
  <c r="Y213" i="8"/>
  <c r="I247" i="97"/>
  <c r="C135" i="97"/>
  <c r="C210" i="97"/>
  <c r="T89" i="8"/>
  <c r="G241" i="97" s="1"/>
  <c r="G160" i="97" s="1"/>
  <c r="G63" i="97"/>
  <c r="G66" i="97" s="1"/>
  <c r="AR190" i="8"/>
  <c r="AR211" i="8"/>
  <c r="AR216" i="8" s="1"/>
  <c r="C65" i="8"/>
  <c r="C172" i="8"/>
  <c r="C222" i="8"/>
  <c r="C99" i="8"/>
  <c r="AL195" i="8"/>
  <c r="AC90" i="8"/>
  <c r="J248" i="97" s="1"/>
  <c r="J70" i="97"/>
  <c r="J73" i="97" s="1"/>
  <c r="AU44" i="3"/>
  <c r="R66" i="8"/>
  <c r="Y74" i="3"/>
  <c r="S66" i="8" s="1"/>
  <c r="G225" i="8"/>
  <c r="AV33" i="48"/>
  <c r="W227" i="8"/>
  <c r="H191" i="97" s="1"/>
  <c r="T91" i="8"/>
  <c r="G226" i="97" s="1"/>
  <c r="G48" i="97"/>
  <c r="G51" i="97" s="1"/>
  <c r="AF161" i="48"/>
  <c r="AV303" i="48"/>
  <c r="L98" i="52"/>
  <c r="K98" i="52" s="1"/>
  <c r="AU98" i="32"/>
  <c r="T58" i="8"/>
  <c r="AW75" i="52"/>
  <c r="AS161" i="48"/>
  <c r="AZ161" i="48" s="1"/>
  <c r="AV65" i="48"/>
  <c r="AL103" i="8"/>
  <c r="M214" i="97" s="1"/>
  <c r="M37" i="97"/>
  <c r="M41" i="97" s="1"/>
  <c r="AG170" i="8"/>
  <c r="AG193" i="8"/>
  <c r="AX172" i="48"/>
  <c r="G96" i="101"/>
  <c r="H34" i="76"/>
  <c r="H36" i="76"/>
  <c r="H38" i="76" s="1"/>
  <c r="H35" i="76"/>
  <c r="N103" i="116"/>
  <c r="N104" i="116"/>
  <c r="X194" i="8"/>
  <c r="Z193" i="8"/>
  <c r="Z194" i="8" s="1"/>
  <c r="AF104" i="8"/>
  <c r="J251" i="97"/>
  <c r="J165" i="97"/>
  <c r="Z226" i="8"/>
  <c r="I213" i="97" s="1"/>
  <c r="AK228" i="8"/>
  <c r="U38" i="32"/>
  <c r="Z121" i="8"/>
  <c r="I268" i="97"/>
  <c r="I180" i="97" s="1"/>
  <c r="M147" i="97"/>
  <c r="M229" i="97"/>
  <c r="G39" i="114"/>
  <c r="G57" i="114" s="1"/>
  <c r="X66" i="8"/>
  <c r="AE74" i="3"/>
  <c r="Y66" i="8" s="1"/>
  <c r="AO345" i="48"/>
  <c r="AV216" i="48"/>
  <c r="X60" i="8"/>
  <c r="X94" i="8"/>
  <c r="X217" i="8"/>
  <c r="X167" i="8"/>
  <c r="L66" i="32"/>
  <c r="L68" i="32" s="1"/>
  <c r="G314" i="97" s="1"/>
  <c r="AA97" i="8"/>
  <c r="J87" i="97"/>
  <c r="J90" i="97" s="1"/>
  <c r="AC96" i="8"/>
  <c r="AL98" i="52"/>
  <c r="BG203" i="8"/>
  <c r="BG224" i="8"/>
  <c r="BG229" i="8" s="1"/>
  <c r="L50" i="52"/>
  <c r="K50" i="52" s="1"/>
  <c r="AV79" i="52"/>
  <c r="AW96" i="52" s="1"/>
  <c r="X345" i="48"/>
  <c r="L125" i="117"/>
  <c r="N98" i="8"/>
  <c r="Z221" i="8"/>
  <c r="Z223" i="8" s="1"/>
  <c r="I276" i="97" s="1"/>
  <c r="Z197" i="8"/>
  <c r="I60" i="8"/>
  <c r="I167" i="8"/>
  <c r="I94" i="8"/>
  <c r="I217" i="8"/>
  <c r="N44" i="116"/>
  <c r="AU195" i="8"/>
  <c r="AS197" i="8"/>
  <c r="AA60" i="8"/>
  <c r="AA94" i="8"/>
  <c r="AA217" i="8"/>
  <c r="AA167" i="8"/>
  <c r="AE118" i="8"/>
  <c r="AF119" i="8"/>
  <c r="K261" i="97"/>
  <c r="H58" i="8"/>
  <c r="D228" i="8"/>
  <c r="K71" i="8"/>
  <c r="T227" i="8"/>
  <c r="G191" i="97" s="1"/>
  <c r="T130" i="8"/>
  <c r="G202" i="97"/>
  <c r="C97" i="8"/>
  <c r="E96" i="8"/>
  <c r="B87" i="97"/>
  <c r="W191" i="8"/>
  <c r="U192" i="8"/>
  <c r="Z161" i="48"/>
  <c r="AA345" i="48"/>
  <c r="E121" i="8"/>
  <c r="D120" i="8"/>
  <c r="B268" i="97"/>
  <c r="AX289" i="48"/>
  <c r="BD289" i="48" s="1"/>
  <c r="R53" i="8"/>
  <c r="Y21" i="3"/>
  <c r="S53" i="8" s="1"/>
  <c r="AV235" i="48"/>
  <c r="AX237" i="48" s="1"/>
  <c r="BD237" i="48" s="1"/>
  <c r="BB192" i="8"/>
  <c r="BD191" i="8"/>
  <c r="N194" i="97"/>
  <c r="J75" i="97"/>
  <c r="K10" i="74" s="1"/>
  <c r="AS50" i="52"/>
  <c r="U66" i="8"/>
  <c r="AB74" i="3"/>
  <c r="V66" i="8" s="1"/>
  <c r="AW131" i="52"/>
  <c r="AW171" i="52" s="1"/>
  <c r="O148" i="101"/>
  <c r="N66" i="116"/>
  <c r="N86" i="116"/>
  <c r="AP30" i="80"/>
  <c r="AG60" i="8"/>
  <c r="AG167" i="8"/>
  <c r="AG94" i="8"/>
  <c r="AG217" i="8"/>
  <c r="O105" i="8"/>
  <c r="Q105" i="8" s="1"/>
  <c r="O178" i="8"/>
  <c r="O202" i="8" s="1"/>
  <c r="Q202" i="8" s="1"/>
  <c r="Q228" i="8" s="1"/>
  <c r="F191" i="97" s="1"/>
  <c r="O228" i="8"/>
  <c r="O147" i="101"/>
  <c r="X70" i="8"/>
  <c r="AE104" i="3"/>
  <c r="Y70" i="8" s="1"/>
  <c r="D39" i="101"/>
  <c r="D57" i="101" s="1"/>
  <c r="W71" i="8"/>
  <c r="AV139" i="52"/>
  <c r="F186" i="97"/>
  <c r="B162" i="97"/>
  <c r="N162" i="97" s="1"/>
  <c r="T98" i="52"/>
  <c r="AL161" i="48"/>
  <c r="AC98" i="52"/>
  <c r="AS98" i="52"/>
  <c r="T164" i="52"/>
  <c r="L23" i="117"/>
  <c r="O6" i="117"/>
  <c r="N45" i="117"/>
  <c r="K35" i="76"/>
  <c r="K34" i="76"/>
  <c r="P34" i="76" s="1"/>
  <c r="D39" i="76" s="1"/>
  <c r="K36" i="76"/>
  <c r="K38" i="76" s="1"/>
  <c r="N85" i="116"/>
  <c r="N67" i="116"/>
  <c r="D38" i="76"/>
  <c r="N19" i="116"/>
  <c r="K165" i="97"/>
  <c r="K251" i="97"/>
  <c r="N56" i="116"/>
  <c r="N76" i="116"/>
  <c r="AJ191" i="8"/>
  <c r="V120" i="8"/>
  <c r="N16" i="116"/>
  <c r="G247" i="97"/>
  <c r="S213" i="8"/>
  <c r="Z102" i="8"/>
  <c r="I207" i="97" s="1"/>
  <c r="I30" i="97"/>
  <c r="I33" i="97" s="1"/>
  <c r="G206" i="97"/>
  <c r="S225" i="8"/>
  <c r="AX192" i="8"/>
  <c r="AX217" i="8"/>
  <c r="AX218" i="8" s="1"/>
  <c r="R65" i="8"/>
  <c r="R172" i="8"/>
  <c r="R99" i="8"/>
  <c r="T99" i="8" s="1"/>
  <c r="R222" i="8"/>
  <c r="BT190" i="8"/>
  <c r="BV185" i="8"/>
  <c r="AY203" i="8"/>
  <c r="BA198" i="8"/>
  <c r="F62" i="8"/>
  <c r="F169" i="8"/>
  <c r="F96" i="8"/>
  <c r="F219" i="8"/>
  <c r="C186" i="97"/>
  <c r="AK112" i="8"/>
  <c r="AJ65" i="8"/>
  <c r="AJ172" i="8"/>
  <c r="AJ99" i="8"/>
  <c r="AL99" i="8" s="1"/>
  <c r="AJ222" i="8"/>
  <c r="AK225" i="8"/>
  <c r="AJ170" i="8"/>
  <c r="AJ193" i="8"/>
  <c r="K121" i="8"/>
  <c r="J120" i="8"/>
  <c r="D268" i="97"/>
  <c r="D180" i="97" s="1"/>
  <c r="T98" i="8"/>
  <c r="T100" i="8" s="1"/>
  <c r="G277" i="97" s="1"/>
  <c r="R100" i="8"/>
  <c r="G97" i="97" s="1"/>
  <c r="BM185" i="8"/>
  <c r="BK190" i="8"/>
  <c r="Y222" i="8"/>
  <c r="X223" i="8"/>
  <c r="I96" i="97" s="1"/>
  <c r="I101" i="97" s="1"/>
  <c r="H79" i="97"/>
  <c r="H92" i="97" s="1"/>
  <c r="I11" i="74" s="1"/>
  <c r="U218" i="8"/>
  <c r="Q104" i="8"/>
  <c r="M186" i="97"/>
  <c r="C193" i="8"/>
  <c r="M14" i="97"/>
  <c r="AA66" i="8"/>
  <c r="AH74" i="3"/>
  <c r="AB66" i="8" s="1"/>
  <c r="J14" i="97"/>
  <c r="AB227" i="8"/>
  <c r="O191" i="8"/>
  <c r="O168" i="8"/>
  <c r="AF99" i="8"/>
  <c r="AF100" i="8" s="1"/>
  <c r="K277" i="97" s="1"/>
  <c r="AD100" i="8"/>
  <c r="K97" i="97" s="1"/>
  <c r="AV31" i="48"/>
  <c r="BD190" i="8"/>
  <c r="AI71" i="8"/>
  <c r="S118" i="8"/>
  <c r="T119" i="8"/>
  <c r="G261" i="97"/>
  <c r="G174" i="97" s="1"/>
  <c r="AL89" i="8"/>
  <c r="M241" i="97" s="1"/>
  <c r="M160" i="97" s="1"/>
  <c r="M63" i="97"/>
  <c r="M66" i="97" s="1"/>
  <c r="AT65" i="3"/>
  <c r="K72" i="3"/>
  <c r="K74" i="3" s="1"/>
  <c r="E66" i="8" s="1"/>
  <c r="AG176" i="8"/>
  <c r="AG200" i="8" s="1"/>
  <c r="AI200" i="8" s="1"/>
  <c r="AI226" i="8" s="1"/>
  <c r="L213" i="97" s="1"/>
  <c r="AG103" i="8"/>
  <c r="AG226" i="8"/>
  <c r="AV149" i="52"/>
  <c r="AZ149" i="52" s="1"/>
  <c r="AV26" i="48"/>
  <c r="AF86" i="3"/>
  <c r="Z69" i="8" s="1"/>
  <c r="Z227" i="8" s="1"/>
  <c r="M250" i="97"/>
  <c r="AK114" i="8"/>
  <c r="AO164" i="52"/>
  <c r="G150" i="97"/>
  <c r="K136" i="97"/>
  <c r="R220" i="8"/>
  <c r="G86" i="97"/>
  <c r="M48" i="97"/>
  <c r="M51" i="97" s="1"/>
  <c r="AD105" i="8"/>
  <c r="AF105" i="8" s="1"/>
  <c r="AD178" i="8"/>
  <c r="AD202" i="8" s="1"/>
  <c r="AF202" i="8" s="1"/>
  <c r="AD228" i="8"/>
  <c r="N209" i="97"/>
  <c r="K66" i="32"/>
  <c r="K68" i="32" s="1"/>
  <c r="F314" i="97" s="1"/>
  <c r="AX265" i="48"/>
  <c r="BD265" i="48" s="1"/>
  <c r="AI124" i="8"/>
  <c r="L279" i="97" s="1"/>
  <c r="AV144" i="52"/>
  <c r="AW146" i="52" s="1"/>
  <c r="AW170" i="52" s="1"/>
  <c r="AV42" i="48"/>
  <c r="AL345" i="48"/>
  <c r="T345" i="48"/>
  <c r="Q221" i="8"/>
  <c r="Q98" i="52"/>
  <c r="AX315" i="48"/>
  <c r="AZ315" i="48" s="1"/>
  <c r="U161" i="48"/>
  <c r="N345" i="48"/>
  <c r="AA93" i="8"/>
  <c r="AC88" i="8"/>
  <c r="J55" i="97"/>
  <c r="J59" i="97" s="1"/>
  <c r="AX303" i="48"/>
  <c r="BD303" i="48" s="1"/>
  <c r="J147" i="97"/>
  <c r="D210" i="97"/>
  <c r="D135" i="97"/>
  <c r="I53" i="8"/>
  <c r="P21" i="3"/>
  <c r="J53" i="8" s="1"/>
  <c r="M66" i="32"/>
  <c r="M68" i="32" s="1"/>
  <c r="H314" i="97" s="1"/>
  <c r="Q161" i="48"/>
  <c r="AV201" i="48"/>
  <c r="E160" i="97"/>
  <c r="E244" i="97"/>
  <c r="L164" i="52"/>
  <c r="K164" i="52" s="1"/>
  <c r="AW152" i="52"/>
  <c r="AZ152" i="52"/>
  <c r="L86" i="97"/>
  <c r="AG220" i="8"/>
  <c r="AU29" i="32"/>
  <c r="I170" i="8"/>
  <c r="I193" i="8"/>
  <c r="AF164" i="52"/>
  <c r="AV102" i="48"/>
  <c r="AG97" i="8"/>
  <c r="AI96" i="8"/>
  <c r="L87" i="97"/>
  <c r="L90" i="97" s="1"/>
  <c r="M213" i="97" l="1"/>
  <c r="AK226" i="8"/>
  <c r="F195" i="97"/>
  <c r="D123" i="97"/>
  <c r="AH226" i="8"/>
  <c r="L36" i="97"/>
  <c r="L141" i="97" s="1"/>
  <c r="S11" i="74"/>
  <c r="B90" i="97"/>
  <c r="J79" i="97"/>
  <c r="J92" i="97" s="1"/>
  <c r="K11" i="74" s="1"/>
  <c r="AA218" i="8"/>
  <c r="X101" i="8"/>
  <c r="X174" i="8"/>
  <c r="X224" i="8"/>
  <c r="X71" i="8"/>
  <c r="E14" i="101"/>
  <c r="E36" i="101" s="1"/>
  <c r="E54" i="101" s="1"/>
  <c r="D353" i="97" s="1"/>
  <c r="E14" i="114"/>
  <c r="E36" i="114" s="1"/>
  <c r="E54" i="114" s="1"/>
  <c r="N247" i="97"/>
  <c r="N251" i="97" s="1"/>
  <c r="C251" i="97"/>
  <c r="C165" i="97"/>
  <c r="O71" i="8"/>
  <c r="O174" i="8"/>
  <c r="O224" i="8"/>
  <c r="O101" i="8"/>
  <c r="F223" i="8"/>
  <c r="C96" i="97" s="1"/>
  <c r="C101" i="97" s="1"/>
  <c r="AD218" i="8"/>
  <c r="K79" i="97"/>
  <c r="AJ166" i="8"/>
  <c r="AJ185" i="8"/>
  <c r="F216" i="8"/>
  <c r="C54" i="97"/>
  <c r="C75" i="97" s="1"/>
  <c r="D10" i="74" s="1"/>
  <c r="AX350" i="48"/>
  <c r="AR345" i="48"/>
  <c r="D13" i="101"/>
  <c r="D35" i="101" s="1"/>
  <c r="D53" i="101" s="1"/>
  <c r="C351" i="97" s="1"/>
  <c r="D13" i="114"/>
  <c r="D35" i="114" s="1"/>
  <c r="D53" i="114" s="1"/>
  <c r="K193" i="8"/>
  <c r="I194" i="8"/>
  <c r="AI103" i="8"/>
  <c r="L214" i="97" s="1"/>
  <c r="L142" i="97" s="1"/>
  <c r="L37" i="97"/>
  <c r="L41" i="97" s="1"/>
  <c r="J12" i="74"/>
  <c r="I102" i="97"/>
  <c r="N51" i="97"/>
  <c r="AA95" i="8"/>
  <c r="J80" i="97"/>
  <c r="J83" i="97" s="1"/>
  <c r="AC94" i="8"/>
  <c r="X168" i="8"/>
  <c r="X191" i="8"/>
  <c r="AL97" i="8"/>
  <c r="M266" i="97"/>
  <c r="M178" i="97" s="1"/>
  <c r="L223" i="8"/>
  <c r="E96" i="97" s="1"/>
  <c r="E101" i="97" s="1"/>
  <c r="G124" i="97"/>
  <c r="Q95" i="8"/>
  <c r="F259" i="97"/>
  <c r="K147" i="97"/>
  <c r="K229" i="97"/>
  <c r="I173" i="8"/>
  <c r="I196" i="8"/>
  <c r="C168" i="8"/>
  <c r="C191" i="8"/>
  <c r="I229" i="97"/>
  <c r="I147" i="97"/>
  <c r="N97" i="8"/>
  <c r="E266" i="97"/>
  <c r="E178" i="97" s="1"/>
  <c r="T103" i="8"/>
  <c r="G214" i="97" s="1"/>
  <c r="G37" i="97"/>
  <c r="G41" i="97" s="1"/>
  <c r="C179" i="8"/>
  <c r="C198" i="8"/>
  <c r="D14" i="97"/>
  <c r="AG223" i="8"/>
  <c r="L96" i="97" s="1"/>
  <c r="L101" i="97" s="1"/>
  <c r="AG166" i="8"/>
  <c r="AG185" i="8"/>
  <c r="L218" i="97"/>
  <c r="BD192" i="8"/>
  <c r="BD217" i="8"/>
  <c r="BD218" i="8" s="1"/>
  <c r="I141" i="97"/>
  <c r="I218" i="97"/>
  <c r="G148" i="97"/>
  <c r="C223" i="8"/>
  <c r="B96" i="97" s="1"/>
  <c r="BD194" i="8"/>
  <c r="BD219" i="8"/>
  <c r="BD220" i="8" s="1"/>
  <c r="G291" i="97"/>
  <c r="I15" i="101"/>
  <c r="I37" i="101" s="1"/>
  <c r="I55" i="101" s="1"/>
  <c r="H356" i="97" s="1"/>
  <c r="I15" i="114"/>
  <c r="I37" i="114" s="1"/>
  <c r="I55" i="114" s="1"/>
  <c r="H91" i="97"/>
  <c r="I36" i="74" s="1"/>
  <c r="M123" i="97"/>
  <c r="M195" i="97"/>
  <c r="C166" i="8"/>
  <c r="C185" i="8"/>
  <c r="AD191" i="8"/>
  <c r="AD168" i="8"/>
  <c r="AA223" i="8"/>
  <c r="J96" i="97" s="1"/>
  <c r="J101" i="97" s="1"/>
  <c r="D226" i="8"/>
  <c r="B36" i="97"/>
  <c r="D15" i="101"/>
  <c r="D37" i="101" s="1"/>
  <c r="D55" i="101" s="1"/>
  <c r="C356" i="97" s="1"/>
  <c r="D15" i="114"/>
  <c r="D37" i="114" s="1"/>
  <c r="D55" i="114" s="1"/>
  <c r="BS203" i="8"/>
  <c r="BS224" i="8"/>
  <c r="BS229" i="8" s="1"/>
  <c r="W88" i="8"/>
  <c r="U93" i="8"/>
  <c r="H55" i="97"/>
  <c r="H59" i="97" s="1"/>
  <c r="AI99" i="8"/>
  <c r="AI100" i="8" s="1"/>
  <c r="L277" i="97" s="1"/>
  <c r="AG100" i="8"/>
  <c r="L97" i="97" s="1"/>
  <c r="AV29" i="32"/>
  <c r="AU74" i="32"/>
  <c r="AJ194" i="8"/>
  <c r="AL193" i="8"/>
  <c r="AL194" i="8" s="1"/>
  <c r="P38" i="76"/>
  <c r="P39" i="76" s="1"/>
  <c r="I183" i="97"/>
  <c r="I280" i="97"/>
  <c r="D141" i="97"/>
  <c r="D218" i="97"/>
  <c r="L173" i="8"/>
  <c r="L196" i="8"/>
  <c r="F192" i="8"/>
  <c r="H191" i="8"/>
  <c r="H251" i="97"/>
  <c r="H165" i="97"/>
  <c r="E88" i="8"/>
  <c r="C93" i="8"/>
  <c r="B55" i="97"/>
  <c r="AA173" i="8"/>
  <c r="AA196" i="8"/>
  <c r="M124" i="97"/>
  <c r="N236" i="97"/>
  <c r="H95" i="8"/>
  <c r="C259" i="97"/>
  <c r="AC65" i="8"/>
  <c r="O173" i="8"/>
  <c r="O196" i="8"/>
  <c r="F14" i="101"/>
  <c r="F36" i="101" s="1"/>
  <c r="F54" i="101" s="1"/>
  <c r="E353" i="97" s="1"/>
  <c r="F14" i="114"/>
  <c r="F36" i="114" s="1"/>
  <c r="F54" i="114" s="1"/>
  <c r="I184" i="97"/>
  <c r="I281" i="97"/>
  <c r="J51" i="74" s="1"/>
  <c r="E14" i="97"/>
  <c r="M227" i="8"/>
  <c r="B66" i="97"/>
  <c r="N63" i="97"/>
  <c r="N103" i="8"/>
  <c r="E214" i="97" s="1"/>
  <c r="E142" i="97" s="1"/>
  <c r="E37" i="97"/>
  <c r="E41" i="97" s="1"/>
  <c r="N48" i="97"/>
  <c r="B21" i="97"/>
  <c r="C229" i="8"/>
  <c r="K14" i="101"/>
  <c r="K36" i="101" s="1"/>
  <c r="K54" i="101" s="1"/>
  <c r="J353" i="97" s="1"/>
  <c r="AR161" i="48"/>
  <c r="AG173" i="8"/>
  <c r="AG196" i="8"/>
  <c r="T97" i="8"/>
  <c r="G266" i="97"/>
  <c r="G178" i="97" s="1"/>
  <c r="F54" i="97"/>
  <c r="F75" i="97" s="1"/>
  <c r="G10" i="74" s="1"/>
  <c r="O216" i="8"/>
  <c r="T221" i="8"/>
  <c r="M136" i="97"/>
  <c r="L174" i="8"/>
  <c r="L71" i="8"/>
  <c r="L101" i="8"/>
  <c r="L224" i="8"/>
  <c r="L186" i="97"/>
  <c r="L291" i="97"/>
  <c r="M168" i="97"/>
  <c r="N168" i="97" s="1"/>
  <c r="N250" i="97"/>
  <c r="M251" i="97"/>
  <c r="F15" i="97"/>
  <c r="F18" i="97" s="1"/>
  <c r="BM190" i="8"/>
  <c r="BM211" i="8"/>
  <c r="BM216" i="8" s="1"/>
  <c r="C291" i="97"/>
  <c r="G135" i="97"/>
  <c r="G210" i="97"/>
  <c r="P36" i="76"/>
  <c r="D41" i="76" s="1"/>
  <c r="L79" i="97"/>
  <c r="L92" i="97" s="1"/>
  <c r="M11" i="74" s="1"/>
  <c r="AG218" i="8"/>
  <c r="K174" i="97"/>
  <c r="K291" i="97"/>
  <c r="AU197" i="8"/>
  <c r="AU221" i="8"/>
  <c r="AU223" i="8" s="1"/>
  <c r="N100" i="8"/>
  <c r="E277" i="97" s="1"/>
  <c r="J36" i="97"/>
  <c r="J141" i="97" s="1"/>
  <c r="AB226" i="8"/>
  <c r="AF96" i="8"/>
  <c r="AD97" i="8"/>
  <c r="K87" i="97"/>
  <c r="K90" i="97" s="1"/>
  <c r="K97" i="8"/>
  <c r="D266" i="97"/>
  <c r="D178" i="97" s="1"/>
  <c r="AZ109" i="52"/>
  <c r="AV165" i="52"/>
  <c r="AW109" i="52"/>
  <c r="AW165" i="52" s="1"/>
  <c r="AX177" i="48"/>
  <c r="BD177" i="48" s="1"/>
  <c r="W95" i="8"/>
  <c r="H259" i="97"/>
  <c r="M210" i="97"/>
  <c r="D15" i="97"/>
  <c r="D18" i="97" s="1"/>
  <c r="AC99" i="8"/>
  <c r="AC100" i="8" s="1"/>
  <c r="J277" i="97" s="1"/>
  <c r="AA100" i="8"/>
  <c r="J97" i="97" s="1"/>
  <c r="J17" i="101"/>
  <c r="J17" i="114"/>
  <c r="E103" i="8"/>
  <c r="B214" i="97" s="1"/>
  <c r="B37" i="97"/>
  <c r="AD216" i="8"/>
  <c r="K54" i="97"/>
  <c r="K75" i="97" s="1"/>
  <c r="L10" i="74" s="1"/>
  <c r="H14" i="97"/>
  <c r="V227" i="8"/>
  <c r="AF196" i="8"/>
  <c r="AF197" i="8" s="1"/>
  <c r="AD197" i="8"/>
  <c r="K36" i="97"/>
  <c r="K141" i="97" s="1"/>
  <c r="AE226" i="8"/>
  <c r="E136" i="97"/>
  <c r="I100" i="97"/>
  <c r="J37" i="74" s="1"/>
  <c r="N104" i="8"/>
  <c r="E192" i="97" s="1"/>
  <c r="E15" i="97"/>
  <c r="E18" i="97" s="1"/>
  <c r="H148" i="97"/>
  <c r="B160" i="97"/>
  <c r="N160" i="97" s="1"/>
  <c r="N241" i="97"/>
  <c r="J210" i="97"/>
  <c r="J135" i="97"/>
  <c r="E101" i="8"/>
  <c r="C106" i="8"/>
  <c r="B22" i="97"/>
  <c r="AH227" i="8"/>
  <c r="L14" i="97"/>
  <c r="L123" i="97" s="1"/>
  <c r="U66" i="32"/>
  <c r="U68" i="32" s="1"/>
  <c r="F71" i="8"/>
  <c r="F101" i="8"/>
  <c r="F224" i="8"/>
  <c r="F174" i="8"/>
  <c r="F92" i="97"/>
  <c r="G11" i="74" s="1"/>
  <c r="Q88" i="8"/>
  <c r="O93" i="8"/>
  <c r="F55" i="97"/>
  <c r="F59" i="97" s="1"/>
  <c r="G73" i="97"/>
  <c r="H17" i="101" s="1"/>
  <c r="N70" i="97"/>
  <c r="N73" i="97" s="1"/>
  <c r="AC93" i="8"/>
  <c r="J233" i="97"/>
  <c r="J154" i="97" s="1"/>
  <c r="AJ173" i="8"/>
  <c r="AJ196" i="8"/>
  <c r="G165" i="97"/>
  <c r="G251" i="97"/>
  <c r="U194" i="8"/>
  <c r="W193" i="8"/>
  <c r="H13" i="101"/>
  <c r="H35" i="101" s="1"/>
  <c r="H53" i="101" s="1"/>
  <c r="G351" i="97" s="1"/>
  <c r="H13" i="114"/>
  <c r="H35" i="114" s="1"/>
  <c r="H53" i="114" s="1"/>
  <c r="K99" i="8"/>
  <c r="K100" i="8" s="1"/>
  <c r="D277" i="97" s="1"/>
  <c r="I100" i="8"/>
  <c r="D97" i="97" s="1"/>
  <c r="L168" i="8"/>
  <c r="L191" i="8"/>
  <c r="G36" i="97"/>
  <c r="G141" i="97" s="1"/>
  <c r="S226" i="8"/>
  <c r="U216" i="8"/>
  <c r="H54" i="97"/>
  <c r="H75" i="97" s="1"/>
  <c r="I10" i="74" s="1"/>
  <c r="S10" i="74" s="1"/>
  <c r="O193" i="8"/>
  <c r="O170" i="8"/>
  <c r="H37" i="97"/>
  <c r="H41" i="97" s="1"/>
  <c r="W103" i="8"/>
  <c r="H214" i="97" s="1"/>
  <c r="H142" i="97" s="1"/>
  <c r="F36" i="97"/>
  <c r="F141" i="97" s="1"/>
  <c r="P226" i="8"/>
  <c r="I161" i="8"/>
  <c r="I211" i="8"/>
  <c r="I58" i="8"/>
  <c r="I88" i="8"/>
  <c r="K14" i="97"/>
  <c r="E193" i="8"/>
  <c r="C194" i="8"/>
  <c r="P228" i="8"/>
  <c r="F14" i="97"/>
  <c r="B180" i="97"/>
  <c r="N180" i="97" s="1"/>
  <c r="N268" i="97"/>
  <c r="AV99" i="52"/>
  <c r="E99" i="8"/>
  <c r="E100" i="8" s="1"/>
  <c r="B277" i="97" s="1"/>
  <c r="C100" i="8"/>
  <c r="B97" i="97" s="1"/>
  <c r="F39" i="101"/>
  <c r="F57" i="101" s="1"/>
  <c r="D142" i="97"/>
  <c r="O223" i="8"/>
  <c r="F96" i="97" s="1"/>
  <c r="F101" i="97" s="1"/>
  <c r="C55" i="97"/>
  <c r="C59" i="97" s="1"/>
  <c r="F93" i="8"/>
  <c r="H88" i="8"/>
  <c r="AL53" i="8"/>
  <c r="AQ21" i="3"/>
  <c r="AK53" i="8" s="1"/>
  <c r="I17" i="101"/>
  <c r="I17" i="114"/>
  <c r="U166" i="8"/>
  <c r="U185" i="8"/>
  <c r="AF65" i="8"/>
  <c r="Q96" i="8"/>
  <c r="O97" i="8"/>
  <c r="F87" i="97"/>
  <c r="F90" i="97" s="1"/>
  <c r="N15" i="101"/>
  <c r="N37" i="101" s="1"/>
  <c r="N55" i="101" s="1"/>
  <c r="M356" i="97" s="1"/>
  <c r="N15" i="114"/>
  <c r="N37" i="114" s="1"/>
  <c r="N55" i="114" s="1"/>
  <c r="M91" i="97"/>
  <c r="N36" i="74" s="1"/>
  <c r="R174" i="8"/>
  <c r="R71" i="8"/>
  <c r="R224" i="8"/>
  <c r="R101" i="8"/>
  <c r="N13" i="101"/>
  <c r="N35" i="101" s="1"/>
  <c r="N53" i="101" s="1"/>
  <c r="M351" i="97" s="1"/>
  <c r="N13" i="114"/>
  <c r="N35" i="114" s="1"/>
  <c r="N53" i="114" s="1"/>
  <c r="H65" i="8"/>
  <c r="AX203" i="8"/>
  <c r="AX224" i="8"/>
  <c r="AX229" i="8" s="1"/>
  <c r="H160" i="97"/>
  <c r="H244" i="97"/>
  <c r="AL95" i="8"/>
  <c r="M259" i="97"/>
  <c r="N14" i="101"/>
  <c r="N36" i="101" s="1"/>
  <c r="N54" i="101" s="1"/>
  <c r="M353" i="97" s="1"/>
  <c r="N14" i="114"/>
  <c r="N36" i="114" s="1"/>
  <c r="N54" i="114" s="1"/>
  <c r="Z219" i="8"/>
  <c r="AI97" i="8"/>
  <c r="L266" i="97"/>
  <c r="L178" i="97" s="1"/>
  <c r="AJ192" i="8"/>
  <c r="AL191" i="8"/>
  <c r="C196" i="8"/>
  <c r="C173" i="8"/>
  <c r="BV192" i="8"/>
  <c r="BV217" i="8"/>
  <c r="BV218" i="8" s="1"/>
  <c r="L12" i="74"/>
  <c r="I191" i="97"/>
  <c r="Y227" i="8"/>
  <c r="G100" i="97"/>
  <c r="H37" i="74" s="1"/>
  <c r="F220" i="8"/>
  <c r="C86" i="97"/>
  <c r="N86" i="97" s="1"/>
  <c r="R223" i="8"/>
  <c r="G96" i="97" s="1"/>
  <c r="G101" i="97" s="1"/>
  <c r="L100" i="8"/>
  <c r="E97" i="97" s="1"/>
  <c r="AC97" i="8"/>
  <c r="J266" i="97"/>
  <c r="J178" i="97" s="1"/>
  <c r="AU100" i="32"/>
  <c r="K17" i="114"/>
  <c r="K17" i="101"/>
  <c r="U173" i="8"/>
  <c r="U196" i="8"/>
  <c r="AD220" i="8"/>
  <c r="K86" i="97"/>
  <c r="N226" i="97"/>
  <c r="K13" i="101"/>
  <c r="K35" i="101" s="1"/>
  <c r="K53" i="101" s="1"/>
  <c r="J351" i="97" s="1"/>
  <c r="K13" i="114"/>
  <c r="K35" i="114" s="1"/>
  <c r="K53" i="114" s="1"/>
  <c r="G229" i="97"/>
  <c r="AI60" i="8"/>
  <c r="L95" i="8"/>
  <c r="N94" i="8"/>
  <c r="E80" i="97"/>
  <c r="E83" i="97" s="1"/>
  <c r="I135" i="97"/>
  <c r="I210" i="97"/>
  <c r="E54" i="97"/>
  <c r="E75" i="97" s="1"/>
  <c r="F10" i="74" s="1"/>
  <c r="L216" i="8"/>
  <c r="AL62" i="8"/>
  <c r="AJ71" i="8"/>
  <c r="AJ174" i="8"/>
  <c r="AJ101" i="8"/>
  <c r="AJ224" i="8"/>
  <c r="E39" i="114"/>
  <c r="E57" i="114" s="1"/>
  <c r="N221" i="8"/>
  <c r="AI104" i="8"/>
  <c r="L192" i="97" s="1"/>
  <c r="L195" i="97" s="1"/>
  <c r="L15" i="97"/>
  <c r="L18" i="97" s="1"/>
  <c r="Z71" i="8"/>
  <c r="O314" i="97"/>
  <c r="N314" i="97"/>
  <c r="O166" i="8"/>
  <c r="O185" i="8"/>
  <c r="AC71" i="8"/>
  <c r="N17" i="101"/>
  <c r="N17" i="114"/>
  <c r="AA101" i="8"/>
  <c r="AA71" i="8"/>
  <c r="AA174" i="8"/>
  <c r="AA224" i="8"/>
  <c r="G281" i="97"/>
  <c r="H51" i="74" s="1"/>
  <c r="H44" i="74" s="1"/>
  <c r="G184" i="97"/>
  <c r="AJ223" i="8"/>
  <c r="M96" i="97" s="1"/>
  <c r="M101" i="97" s="1"/>
  <c r="H96" i="8"/>
  <c r="F97" i="8"/>
  <c r="C87" i="97"/>
  <c r="C90" i="97" s="1"/>
  <c r="I136" i="97"/>
  <c r="AG168" i="8"/>
  <c r="AG191" i="8"/>
  <c r="U71" i="8"/>
  <c r="U101" i="8"/>
  <c r="U224" i="8"/>
  <c r="U174" i="8"/>
  <c r="I218" i="8"/>
  <c r="D79" i="97"/>
  <c r="D92" i="97" s="1"/>
  <c r="E11" i="74" s="1"/>
  <c r="O125" i="117"/>
  <c r="L138" i="117"/>
  <c r="O138" i="117" s="1"/>
  <c r="K15" i="97"/>
  <c r="K18" i="97" s="1"/>
  <c r="M142" i="97"/>
  <c r="J166" i="97"/>
  <c r="N166" i="97" s="1"/>
  <c r="AC103" i="8"/>
  <c r="J214" i="97" s="1"/>
  <c r="J142" i="97" s="1"/>
  <c r="J37" i="97"/>
  <c r="J41" i="97" s="1"/>
  <c r="U223" i="8"/>
  <c r="H96" i="97" s="1"/>
  <c r="H101" i="97" s="1"/>
  <c r="AD193" i="8"/>
  <c r="AD170" i="8"/>
  <c r="J123" i="97"/>
  <c r="J195" i="97"/>
  <c r="M244" i="97"/>
  <c r="J124" i="97"/>
  <c r="R218" i="8"/>
  <c r="G79" i="97"/>
  <c r="G92" i="97" s="1"/>
  <c r="H11" i="74" s="1"/>
  <c r="W100" i="8"/>
  <c r="H277" i="97" s="1"/>
  <c r="L123" i="116"/>
  <c r="I118" i="116"/>
  <c r="N248" i="97"/>
  <c r="E104" i="8"/>
  <c r="B192" i="97" s="1"/>
  <c r="B15" i="97"/>
  <c r="AL100" i="8"/>
  <c r="M277" i="97" s="1"/>
  <c r="N206" i="97"/>
  <c r="N210" i="97" s="1"/>
  <c r="B135" i="97"/>
  <c r="B210" i="97"/>
  <c r="AD93" i="8"/>
  <c r="AF88" i="8"/>
  <c r="K55" i="97"/>
  <c r="K59" i="97" s="1"/>
  <c r="H15" i="97"/>
  <c r="H18" i="97" s="1"/>
  <c r="W104" i="8"/>
  <c r="H192" i="97" s="1"/>
  <c r="H195" i="97" s="1"/>
  <c r="D291" i="97"/>
  <c r="M39" i="101"/>
  <c r="M57" i="101" s="1"/>
  <c r="AJ93" i="8"/>
  <c r="AL88" i="8"/>
  <c r="M55" i="97"/>
  <c r="M59" i="97" s="1"/>
  <c r="L218" i="8"/>
  <c r="E79" i="97"/>
  <c r="E92" i="97" s="1"/>
  <c r="F11" i="74" s="1"/>
  <c r="R11" i="74" s="1"/>
  <c r="I106" i="8"/>
  <c r="K101" i="8"/>
  <c r="D22" i="97"/>
  <c r="D26" i="97" s="1"/>
  <c r="G226" i="8"/>
  <c r="C36" i="97"/>
  <c r="C141" i="97" s="1"/>
  <c r="V228" i="8"/>
  <c r="AU203" i="8"/>
  <c r="AU224" i="8"/>
  <c r="AU229" i="8" s="1"/>
  <c r="E39" i="101"/>
  <c r="E57" i="101" s="1"/>
  <c r="N244" i="97"/>
  <c r="N219" i="8"/>
  <c r="H141" i="97"/>
  <c r="H218" i="97"/>
  <c r="AS30" i="72"/>
  <c r="AT48" i="3"/>
  <c r="AT87" i="3" s="1"/>
  <c r="K281" i="97"/>
  <c r="L51" i="74" s="1"/>
  <c r="K184" i="97"/>
  <c r="I168" i="8"/>
  <c r="I191" i="8"/>
  <c r="O107" i="117"/>
  <c r="L122" i="117"/>
  <c r="O122" i="117" s="1"/>
  <c r="N30" i="97"/>
  <c r="B33" i="97"/>
  <c r="F39" i="114"/>
  <c r="F57" i="114" s="1"/>
  <c r="G15" i="101"/>
  <c r="G37" i="101" s="1"/>
  <c r="G55" i="101" s="1"/>
  <c r="F356" i="97" s="1"/>
  <c r="G15" i="114"/>
  <c r="G37" i="114" s="1"/>
  <c r="G55" i="114" s="1"/>
  <c r="B79" i="97"/>
  <c r="C218" i="8"/>
  <c r="W65" i="8"/>
  <c r="N88" i="8"/>
  <c r="L93" i="8"/>
  <c r="E55" i="97"/>
  <c r="E59" i="97" s="1"/>
  <c r="AI88" i="8"/>
  <c r="AG93" i="8"/>
  <c r="L55" i="97"/>
  <c r="L59" i="97" s="1"/>
  <c r="C147" i="97"/>
  <c r="C229" i="97"/>
  <c r="N225" i="97"/>
  <c r="AW172" i="52"/>
  <c r="BA224" i="8"/>
  <c r="BA229" i="8" s="1"/>
  <c r="BA203" i="8"/>
  <c r="E97" i="8"/>
  <c r="B266" i="97"/>
  <c r="BD172" i="48"/>
  <c r="BD346" i="48" s="1"/>
  <c r="B136" i="97"/>
  <c r="N207" i="97"/>
  <c r="J16" i="101"/>
  <c r="J16" i="114"/>
  <c r="B291" i="97"/>
  <c r="AC62" i="8"/>
  <c r="T94" i="8"/>
  <c r="G80" i="97"/>
  <c r="G83" i="97" s="1"/>
  <c r="R95" i="8"/>
  <c r="F196" i="8"/>
  <c r="F173" i="8"/>
  <c r="C216" i="8"/>
  <c r="B54" i="97"/>
  <c r="H227" i="8"/>
  <c r="H71" i="8"/>
  <c r="H210" i="97"/>
  <c r="H266" i="97"/>
  <c r="H178" i="97" s="1"/>
  <c r="W97" i="8"/>
  <c r="AI58" i="8"/>
  <c r="J148" i="97"/>
  <c r="F218" i="97"/>
  <c r="C124" i="97"/>
  <c r="Q191" i="8"/>
  <c r="O192" i="8"/>
  <c r="X218" i="8"/>
  <c r="I79" i="97"/>
  <c r="I92" i="97" s="1"/>
  <c r="J11" i="74" s="1"/>
  <c r="Z97" i="8"/>
  <c r="I266" i="97"/>
  <c r="I178" i="97" s="1"/>
  <c r="BA190" i="8"/>
  <c r="BA211" i="8"/>
  <c r="BA216" i="8" s="1"/>
  <c r="H99" i="8"/>
  <c r="H100" i="8" s="1"/>
  <c r="C277" i="97" s="1"/>
  <c r="F100" i="8"/>
  <c r="C97" i="97" s="1"/>
  <c r="Y226" i="8"/>
  <c r="O100" i="8"/>
  <c r="F97" i="97" s="1"/>
  <c r="Q99" i="8"/>
  <c r="Q100" i="8" s="1"/>
  <c r="F277" i="97" s="1"/>
  <c r="AX190" i="8"/>
  <c r="AX211" i="8"/>
  <c r="AX216" i="8" s="1"/>
  <c r="M226" i="8"/>
  <c r="E36" i="97"/>
  <c r="E141" i="97" s="1"/>
  <c r="B218" i="97"/>
  <c r="N213" i="97"/>
  <c r="H16" i="101"/>
  <c r="H16" i="114"/>
  <c r="E71" i="8"/>
  <c r="M291" i="97"/>
  <c r="BV190" i="8"/>
  <c r="BV211" i="8"/>
  <c r="BV216" i="8" s="1"/>
  <c r="X95" i="8"/>
  <c r="Z94" i="8"/>
  <c r="I80" i="97"/>
  <c r="I83" i="97" s="1"/>
  <c r="AG194" i="8"/>
  <c r="AI193" i="8"/>
  <c r="I165" i="97"/>
  <c r="I251" i="97"/>
  <c r="J229" i="97"/>
  <c r="F192" i="97"/>
  <c r="J14" i="101"/>
  <c r="J36" i="101" s="1"/>
  <c r="J54" i="101" s="1"/>
  <c r="I353" i="97" s="1"/>
  <c r="J14" i="114"/>
  <c r="J36" i="114" s="1"/>
  <c r="J54" i="114" s="1"/>
  <c r="O23" i="117"/>
  <c r="L143" i="117"/>
  <c r="AG95" i="8"/>
  <c r="AI94" i="8"/>
  <c r="L80" i="97"/>
  <c r="L83" i="97" s="1"/>
  <c r="G195" i="97"/>
  <c r="G123" i="97"/>
  <c r="AX225" i="48"/>
  <c r="BE225" i="48" s="1"/>
  <c r="BE346" i="48" s="1"/>
  <c r="BG347" i="48" s="1"/>
  <c r="AC185" i="8"/>
  <c r="AA190" i="8"/>
  <c r="D192" i="97"/>
  <c r="I244" i="97"/>
  <c r="I160" i="97"/>
  <c r="AD185" i="8"/>
  <c r="AD166" i="8"/>
  <c r="T62" i="8"/>
  <c r="T219" i="8"/>
  <c r="M39" i="114"/>
  <c r="M57" i="114" s="1"/>
  <c r="M54" i="97"/>
  <c r="M75" i="97" s="1"/>
  <c r="N10" i="74" s="1"/>
  <c r="AJ216" i="8"/>
  <c r="AF103" i="8"/>
  <c r="K214" i="97" s="1"/>
  <c r="K142" i="97" s="1"/>
  <c r="K37" i="97"/>
  <c r="K41" i="97" s="1"/>
  <c r="D21" i="97"/>
  <c r="I229" i="8"/>
  <c r="C14" i="97"/>
  <c r="G228" i="8"/>
  <c r="L99" i="117"/>
  <c r="O99" i="117" s="1"/>
  <c r="O77" i="117"/>
  <c r="J18" i="101"/>
  <c r="J40" i="101" s="1"/>
  <c r="J58" i="101" s="1"/>
  <c r="J18" i="114"/>
  <c r="J40" i="114" s="1"/>
  <c r="J58" i="114" s="1"/>
  <c r="K18" i="101"/>
  <c r="K40" i="101" s="1"/>
  <c r="K58" i="101" s="1"/>
  <c r="K18" i="114"/>
  <c r="K40" i="114" s="1"/>
  <c r="K58" i="114" s="1"/>
  <c r="K100" i="97"/>
  <c r="L37" i="74" s="1"/>
  <c r="AK227" i="8"/>
  <c r="F193" i="8"/>
  <c r="F170" i="8"/>
  <c r="R173" i="8"/>
  <c r="R196" i="8"/>
  <c r="AW98" i="52"/>
  <c r="AZ139" i="52"/>
  <c r="AW139" i="52"/>
  <c r="AW169" i="52" s="1"/>
  <c r="AW174" i="52" s="1"/>
  <c r="X105" i="8"/>
  <c r="X228" i="8"/>
  <c r="X178" i="8"/>
  <c r="X202" i="8" s="1"/>
  <c r="Z202" i="8" s="1"/>
  <c r="Z228" i="8" s="1"/>
  <c r="R58" i="8"/>
  <c r="R161" i="8"/>
  <c r="R211" i="8"/>
  <c r="R88" i="8"/>
  <c r="W192" i="8"/>
  <c r="W217" i="8"/>
  <c r="AA168" i="8"/>
  <c r="AA191" i="8"/>
  <c r="K94" i="8"/>
  <c r="I95" i="8"/>
  <c r="D80" i="97"/>
  <c r="D83" i="97" s="1"/>
  <c r="K192" i="97"/>
  <c r="AX161" i="48"/>
  <c r="AL221" i="8"/>
  <c r="H17" i="114"/>
  <c r="O61" i="117"/>
  <c r="L74" i="117"/>
  <c r="O74" i="117" s="1"/>
  <c r="AC193" i="8"/>
  <c r="AC194" i="8" s="1"/>
  <c r="AA194" i="8"/>
  <c r="AT18" i="72"/>
  <c r="R168" i="8"/>
  <c r="R191" i="8"/>
  <c r="U100" i="8"/>
  <c r="H97" i="97" s="1"/>
  <c r="B14" i="97"/>
  <c r="AF94" i="8"/>
  <c r="AD95" i="8"/>
  <c r="K80" i="97"/>
  <c r="K83" i="97" s="1"/>
  <c r="AJ100" i="8"/>
  <c r="M97" i="97" s="1"/>
  <c r="G244" i="97"/>
  <c r="AU190" i="8"/>
  <c r="AU211" i="8"/>
  <c r="AU216" i="8" s="1"/>
  <c r="AR98" i="52"/>
  <c r="I223" i="8"/>
  <c r="D96" i="97" s="1"/>
  <c r="D101" i="97" s="1"/>
  <c r="B174" i="97"/>
  <c r="N174" i="97" s="1"/>
  <c r="N261" i="97"/>
  <c r="E94" i="8"/>
  <c r="C95" i="8"/>
  <c r="B80" i="97"/>
  <c r="F185" i="8"/>
  <c r="F166" i="8"/>
  <c r="I14" i="114"/>
  <c r="I36" i="114" s="1"/>
  <c r="I54" i="114" s="1"/>
  <c r="E227" i="8"/>
  <c r="B191" i="97" s="1"/>
  <c r="I179" i="8"/>
  <c r="I198" i="8"/>
  <c r="H103" i="8"/>
  <c r="C214" i="97" s="1"/>
  <c r="C142" i="97" s="1"/>
  <c r="C37" i="97"/>
  <c r="C41" i="97" s="1"/>
  <c r="L166" i="8"/>
  <c r="L185" i="8"/>
  <c r="N143" i="117"/>
  <c r="AD174" i="8"/>
  <c r="AD101" i="8"/>
  <c r="AD71" i="8"/>
  <c r="AD224" i="8"/>
  <c r="F86" i="97"/>
  <c r="O220" i="8"/>
  <c r="Z93" i="8"/>
  <c r="I233" i="97"/>
  <c r="AF70" i="8"/>
  <c r="AK104" i="3"/>
  <c r="AE70" i="8" s="1"/>
  <c r="Z58" i="8"/>
  <c r="Z211" i="8"/>
  <c r="H36" i="97"/>
  <c r="V226" i="8"/>
  <c r="AG216" i="8"/>
  <c r="L54" i="97"/>
  <c r="L75" i="97" s="1"/>
  <c r="M10" i="74" s="1"/>
  <c r="Q103" i="8"/>
  <c r="F214" i="97" s="1"/>
  <c r="F142" i="97" s="1"/>
  <c r="F37" i="97"/>
  <c r="F41" i="97" s="1"/>
  <c r="BM194" i="8"/>
  <c r="BM219" i="8"/>
  <c r="BM220" i="8" s="1"/>
  <c r="AG71" i="8"/>
  <c r="AG174" i="8"/>
  <c r="AG101" i="8"/>
  <c r="AG224" i="8"/>
  <c r="E65" i="8"/>
  <c r="H39" i="101" l="1"/>
  <c r="H57" i="101" s="1"/>
  <c r="L21" i="97"/>
  <c r="AG229" i="8"/>
  <c r="AF101" i="8"/>
  <c r="K22" i="97"/>
  <c r="AD106" i="8"/>
  <c r="K124" i="97"/>
  <c r="F184" i="97"/>
  <c r="F281" i="97"/>
  <c r="G51" i="74" s="1"/>
  <c r="J38" i="114"/>
  <c r="J56" i="114" s="1"/>
  <c r="J44" i="114"/>
  <c r="AJ106" i="8"/>
  <c r="AL101" i="8"/>
  <c r="M22" i="97"/>
  <c r="M26" i="97" s="1"/>
  <c r="H12" i="74"/>
  <c r="G102" i="97"/>
  <c r="Q93" i="8"/>
  <c r="F233" i="97"/>
  <c r="N37" i="97"/>
  <c r="N41" i="97" s="1"/>
  <c r="B41" i="97"/>
  <c r="L229" i="8"/>
  <c r="E21" i="97"/>
  <c r="E43" i="97" s="1"/>
  <c r="C172" i="97"/>
  <c r="N196" i="8"/>
  <c r="L197" i="8"/>
  <c r="I18" i="101"/>
  <c r="I40" i="101" s="1"/>
  <c r="I58" i="101" s="1"/>
  <c r="I18" i="114"/>
  <c r="I40" i="114" s="1"/>
  <c r="I58" i="114" s="1"/>
  <c r="E185" i="8"/>
  <c r="C190" i="8"/>
  <c r="K196" i="8"/>
  <c r="I197" i="8"/>
  <c r="D12" i="74"/>
  <c r="C102" i="97"/>
  <c r="AD198" i="8"/>
  <c r="AD179" i="8"/>
  <c r="AF185" i="8"/>
  <c r="AD190" i="8"/>
  <c r="K102" i="97"/>
  <c r="T101" i="8"/>
  <c r="R106" i="8"/>
  <c r="G22" i="97"/>
  <c r="G26" i="97" s="1"/>
  <c r="B106" i="97"/>
  <c r="N97" i="97"/>
  <c r="N100" i="97" s="1"/>
  <c r="B100" i="97"/>
  <c r="C37" i="74" s="1"/>
  <c r="W194" i="8"/>
  <c r="W219" i="8"/>
  <c r="B26" i="97"/>
  <c r="B233" i="97"/>
  <c r="E93" i="8"/>
  <c r="G142" i="97"/>
  <c r="K194" i="8"/>
  <c r="K219" i="8"/>
  <c r="B123" i="97"/>
  <c r="B195" i="97"/>
  <c r="R192" i="8"/>
  <c r="T191" i="8"/>
  <c r="R166" i="8"/>
  <c r="R185" i="8"/>
  <c r="E265" i="97"/>
  <c r="N220" i="8"/>
  <c r="M219" i="8"/>
  <c r="B18" i="97"/>
  <c r="D16" i="101"/>
  <c r="D16" i="114"/>
  <c r="J21" i="97"/>
  <c r="J43" i="97" s="1"/>
  <c r="K9" i="74" s="1"/>
  <c r="AA229" i="8"/>
  <c r="F102" i="97"/>
  <c r="G12" i="74"/>
  <c r="F13" i="101"/>
  <c r="F35" i="101" s="1"/>
  <c r="F53" i="101" s="1"/>
  <c r="E351" i="97" s="1"/>
  <c r="F13" i="114"/>
  <c r="F35" i="114" s="1"/>
  <c r="F53" i="114" s="1"/>
  <c r="AZ165" i="52"/>
  <c r="W93" i="8"/>
  <c r="H233" i="97"/>
  <c r="O106" i="8"/>
  <c r="F22" i="97"/>
  <c r="F26" i="97" s="1"/>
  <c r="Q101" i="8"/>
  <c r="J218" i="97"/>
  <c r="H15" i="101"/>
  <c r="H37" i="101" s="1"/>
  <c r="H55" i="101" s="1"/>
  <c r="G356" i="97" s="1"/>
  <c r="H15" i="114"/>
  <c r="H37" i="114" s="1"/>
  <c r="H55" i="114" s="1"/>
  <c r="G91" i="97"/>
  <c r="H36" i="74" s="1"/>
  <c r="N136" i="97"/>
  <c r="B92" i="97"/>
  <c r="C11" i="74" s="1"/>
  <c r="N79" i="97"/>
  <c r="N92" i="97" s="1"/>
  <c r="E12" i="101"/>
  <c r="E12" i="114"/>
  <c r="N18" i="101"/>
  <c r="N40" i="101" s="1"/>
  <c r="N58" i="101" s="1"/>
  <c r="N18" i="114"/>
  <c r="N40" i="114" s="1"/>
  <c r="N58" i="114" s="1"/>
  <c r="L18" i="101"/>
  <c r="L18" i="114"/>
  <c r="K74" i="97"/>
  <c r="L35" i="74" s="1"/>
  <c r="N192" i="97"/>
  <c r="B124" i="97"/>
  <c r="L13" i="101"/>
  <c r="L35" i="101" s="1"/>
  <c r="L53" i="101" s="1"/>
  <c r="K351" i="97" s="1"/>
  <c r="L13" i="114"/>
  <c r="L35" i="114" s="1"/>
  <c r="L53" i="114" s="1"/>
  <c r="U198" i="8"/>
  <c r="U179" i="8"/>
  <c r="AA179" i="8"/>
  <c r="AA198" i="8"/>
  <c r="O190" i="8"/>
  <c r="Q185" i="8"/>
  <c r="AL219" i="8"/>
  <c r="E259" i="97"/>
  <c r="N95" i="8"/>
  <c r="H42" i="97"/>
  <c r="L192" i="8"/>
  <c r="N191" i="8"/>
  <c r="C21" i="97"/>
  <c r="F229" i="8"/>
  <c r="E106" i="8"/>
  <c r="B199" i="97"/>
  <c r="E124" i="97"/>
  <c r="J39" i="101"/>
  <c r="J57" i="101" s="1"/>
  <c r="J128" i="101"/>
  <c r="L179" i="8"/>
  <c r="L198" i="8"/>
  <c r="H74" i="97"/>
  <c r="AJ190" i="8"/>
  <c r="AL185" i="8"/>
  <c r="AL190" i="8" s="1"/>
  <c r="O229" i="8"/>
  <c r="F21" i="97"/>
  <c r="L190" i="8"/>
  <c r="N185" i="8"/>
  <c r="I14" i="101"/>
  <c r="I36" i="101" s="1"/>
  <c r="I54" i="101" s="1"/>
  <c r="H353" i="97" s="1"/>
  <c r="D102" i="97"/>
  <c r="E12" i="74"/>
  <c r="E218" i="97"/>
  <c r="AC191" i="8"/>
  <c r="AA192" i="8"/>
  <c r="D220" i="97"/>
  <c r="E48" i="74" s="1"/>
  <c r="D124" i="97"/>
  <c r="F124" i="97"/>
  <c r="G218" i="97"/>
  <c r="G227" i="8"/>
  <c r="C191" i="97"/>
  <c r="T95" i="8"/>
  <c r="G259" i="97"/>
  <c r="N229" i="97"/>
  <c r="N93" i="8"/>
  <c r="E233" i="97"/>
  <c r="K106" i="8"/>
  <c r="D199" i="97"/>
  <c r="D130" i="97" s="1"/>
  <c r="AL93" i="8"/>
  <c r="M233" i="97"/>
  <c r="AF93" i="8"/>
  <c r="K233" i="97"/>
  <c r="AF193" i="8"/>
  <c r="AD194" i="8"/>
  <c r="U229" i="8"/>
  <c r="H21" i="97"/>
  <c r="H43" i="97" s="1"/>
  <c r="H97" i="8"/>
  <c r="C266" i="97"/>
  <c r="C178" i="97" s="1"/>
  <c r="Z220" i="8"/>
  <c r="I265" i="97"/>
  <c r="Y219" i="8"/>
  <c r="R179" i="8"/>
  <c r="R198" i="8"/>
  <c r="Q97" i="8"/>
  <c r="F266" i="97"/>
  <c r="F178" i="97" s="1"/>
  <c r="AL211" i="8"/>
  <c r="AL58" i="8"/>
  <c r="K88" i="8"/>
  <c r="I93" i="8"/>
  <c r="D55" i="97"/>
  <c r="D59" i="97" s="1"/>
  <c r="H101" i="8"/>
  <c r="F106" i="8"/>
  <c r="C22" i="97"/>
  <c r="C26" i="97" s="1"/>
  <c r="J100" i="97"/>
  <c r="AI196" i="8"/>
  <c r="AG197" i="8"/>
  <c r="Q196" i="8"/>
  <c r="O197" i="8"/>
  <c r="H123" i="97"/>
  <c r="K12" i="74"/>
  <c r="J102" i="97"/>
  <c r="N96" i="97"/>
  <c r="N101" i="97" s="1"/>
  <c r="B101" i="97"/>
  <c r="D43" i="97"/>
  <c r="E9" i="74" s="1"/>
  <c r="F172" i="97"/>
  <c r="F271" i="97"/>
  <c r="G50" i="74" s="1"/>
  <c r="G43" i="74" s="1"/>
  <c r="O179" i="8"/>
  <c r="O198" i="8"/>
  <c r="D195" i="97"/>
  <c r="M141" i="97"/>
  <c r="M218" i="97"/>
  <c r="K198" i="8"/>
  <c r="I203" i="8"/>
  <c r="H184" i="97"/>
  <c r="H281" i="97"/>
  <c r="I51" i="74" s="1"/>
  <c r="D18" i="101"/>
  <c r="D18" i="114"/>
  <c r="C74" i="97"/>
  <c r="G42" i="97"/>
  <c r="H14" i="114"/>
  <c r="H36" i="114" s="1"/>
  <c r="H54" i="114" s="1"/>
  <c r="H14" i="101"/>
  <c r="H36" i="101" s="1"/>
  <c r="H54" i="101" s="1"/>
  <c r="G353" i="97" s="1"/>
  <c r="K15" i="101"/>
  <c r="K37" i="101" s="1"/>
  <c r="K55" i="101" s="1"/>
  <c r="J356" i="97" s="1"/>
  <c r="K15" i="114"/>
  <c r="K37" i="114" s="1"/>
  <c r="K55" i="114" s="1"/>
  <c r="J91" i="97"/>
  <c r="K36" i="74" s="1"/>
  <c r="J113" i="97"/>
  <c r="J315" i="97" s="1"/>
  <c r="J316" i="97" s="1"/>
  <c r="J301" i="97" s="1"/>
  <c r="H100" i="97"/>
  <c r="H106" i="97"/>
  <c r="H111" i="97" s="1"/>
  <c r="H196" i="8"/>
  <c r="F197" i="8"/>
  <c r="AI93" i="8"/>
  <c r="L233" i="97"/>
  <c r="I192" i="8"/>
  <c r="K191" i="8"/>
  <c r="M281" i="97"/>
  <c r="N51" i="74" s="1"/>
  <c r="M184" i="97"/>
  <c r="M13" i="101"/>
  <c r="M35" i="101" s="1"/>
  <c r="M53" i="101" s="1"/>
  <c r="L351" i="97" s="1"/>
  <c r="M13" i="114"/>
  <c r="M35" i="114" s="1"/>
  <c r="M53" i="114" s="1"/>
  <c r="AJ179" i="8"/>
  <c r="AJ198" i="8"/>
  <c r="K127" i="114"/>
  <c r="K39" i="114"/>
  <c r="K57" i="114" s="1"/>
  <c r="K122" i="114" s="1"/>
  <c r="I39" i="114"/>
  <c r="I57" i="114" s="1"/>
  <c r="I122" i="114" s="1"/>
  <c r="I127" i="114"/>
  <c r="E194" i="8"/>
  <c r="E219" i="8"/>
  <c r="B142" i="97"/>
  <c r="N214" i="97"/>
  <c r="N218" i="97" s="1"/>
  <c r="X198" i="8"/>
  <c r="X179" i="8"/>
  <c r="T196" i="8"/>
  <c r="R197" i="8"/>
  <c r="L124" i="97"/>
  <c r="R229" i="8"/>
  <c r="G21" i="97"/>
  <c r="G43" i="97" s="1"/>
  <c r="H9" i="74" s="1"/>
  <c r="N277" i="97"/>
  <c r="N281" i="97" s="1"/>
  <c r="B281" i="97"/>
  <c r="C51" i="74" s="1"/>
  <c r="B184" i="97"/>
  <c r="F198" i="8"/>
  <c r="F179" i="8"/>
  <c r="E184" i="97"/>
  <c r="E281" i="97"/>
  <c r="F51" i="74" s="1"/>
  <c r="N36" i="97"/>
  <c r="C92" i="97"/>
  <c r="D11" i="74" s="1"/>
  <c r="L15" i="101"/>
  <c r="L37" i="101" s="1"/>
  <c r="L55" i="101" s="1"/>
  <c r="K356" i="97" s="1"/>
  <c r="L15" i="114"/>
  <c r="L37" i="114" s="1"/>
  <c r="L55" i="114" s="1"/>
  <c r="K91" i="97"/>
  <c r="L36" i="74" s="1"/>
  <c r="H39" i="114"/>
  <c r="H57" i="114" s="1"/>
  <c r="C43" i="97"/>
  <c r="D9" i="74" s="1"/>
  <c r="AI194" i="8"/>
  <c r="AI219" i="8"/>
  <c r="Y228" i="8"/>
  <c r="I14" i="97"/>
  <c r="J15" i="101"/>
  <c r="J37" i="101" s="1"/>
  <c r="J55" i="101" s="1"/>
  <c r="I356" i="97" s="1"/>
  <c r="J15" i="114"/>
  <c r="J37" i="114" s="1"/>
  <c r="J55" i="114" s="1"/>
  <c r="I91" i="97"/>
  <c r="J36" i="74" s="1"/>
  <c r="L44" i="74"/>
  <c r="I12" i="74"/>
  <c r="S12" i="74" s="1"/>
  <c r="H102" i="97"/>
  <c r="N12" i="74"/>
  <c r="T12" i="74" s="1"/>
  <c r="M102" i="97"/>
  <c r="O194" i="8"/>
  <c r="Q193" i="8"/>
  <c r="J184" i="97"/>
  <c r="J281" i="97"/>
  <c r="K51" i="74" s="1"/>
  <c r="M74" i="97"/>
  <c r="AC196" i="8"/>
  <c r="AA197" i="8"/>
  <c r="Z191" i="8"/>
  <c r="X192" i="8"/>
  <c r="G14" i="101"/>
  <c r="G36" i="101" s="1"/>
  <c r="G54" i="101" s="1"/>
  <c r="F353" i="97" s="1"/>
  <c r="G14" i="114"/>
  <c r="G36" i="114" s="1"/>
  <c r="G54" i="114" s="1"/>
  <c r="K21" i="97"/>
  <c r="K43" i="97" s="1"/>
  <c r="L9" i="74" s="1"/>
  <c r="T9" i="74" s="1"/>
  <c r="AD229" i="8"/>
  <c r="D14" i="114"/>
  <c r="D36" i="114" s="1"/>
  <c r="D54" i="114" s="1"/>
  <c r="D14" i="101"/>
  <c r="D36" i="101" s="1"/>
  <c r="D54" i="101" s="1"/>
  <c r="C353" i="97" s="1"/>
  <c r="H185" i="8"/>
  <c r="F190" i="8"/>
  <c r="N14" i="97"/>
  <c r="B43" i="97"/>
  <c r="C9" i="74" s="1"/>
  <c r="W218" i="8"/>
  <c r="H258" i="97"/>
  <c r="V217" i="8"/>
  <c r="Z105" i="8"/>
  <c r="I192" i="97" s="1"/>
  <c r="I15" i="97"/>
  <c r="I18" i="97" s="1"/>
  <c r="G265" i="97"/>
  <c r="T220" i="8"/>
  <c r="S219" i="8"/>
  <c r="AI95" i="8"/>
  <c r="L259" i="97"/>
  <c r="Z95" i="8"/>
  <c r="I259" i="97"/>
  <c r="H38" i="101"/>
  <c r="H56" i="101" s="1"/>
  <c r="G355" i="97" s="1"/>
  <c r="H44" i="101"/>
  <c r="C281" i="97"/>
  <c r="D51" i="74" s="1"/>
  <c r="C184" i="97"/>
  <c r="AX346" i="48"/>
  <c r="N147" i="97"/>
  <c r="F91" i="97"/>
  <c r="G36" i="74" s="1"/>
  <c r="N39" i="114"/>
  <c r="N57" i="114" s="1"/>
  <c r="N122" i="114" s="1"/>
  <c r="N127" i="114"/>
  <c r="W196" i="8"/>
  <c r="U197" i="8"/>
  <c r="H93" i="8"/>
  <c r="C233" i="97"/>
  <c r="F43" i="97"/>
  <c r="G9" i="74" s="1"/>
  <c r="D54" i="97"/>
  <c r="D75" i="97" s="1"/>
  <c r="E10" i="74" s="1"/>
  <c r="I216" i="8"/>
  <c r="D184" i="97"/>
  <c r="D281" i="97"/>
  <c r="E51" i="74" s="1"/>
  <c r="G18" i="101"/>
  <c r="G18" i="114"/>
  <c r="F74" i="97"/>
  <c r="H192" i="8"/>
  <c r="H217" i="8"/>
  <c r="L106" i="97"/>
  <c r="L111" i="97" s="1"/>
  <c r="L100" i="97"/>
  <c r="C91" i="97"/>
  <c r="D36" i="74" s="1"/>
  <c r="S36" i="74"/>
  <c r="E191" i="8"/>
  <c r="C192" i="8"/>
  <c r="M14" i="101"/>
  <c r="M36" i="101" s="1"/>
  <c r="M54" i="101" s="1"/>
  <c r="L353" i="97" s="1"/>
  <c r="M14" i="114"/>
  <c r="M36" i="114" s="1"/>
  <c r="M54" i="114" s="1"/>
  <c r="C218" i="97"/>
  <c r="K92" i="97"/>
  <c r="N165" i="97"/>
  <c r="D42" i="97"/>
  <c r="N87" i="97"/>
  <c r="N90" i="97" s="1"/>
  <c r="E195" i="97"/>
  <c r="AF228" i="8"/>
  <c r="AF71" i="8"/>
  <c r="T88" i="8"/>
  <c r="R93" i="8"/>
  <c r="G55" i="97"/>
  <c r="G59" i="97" s="1"/>
  <c r="K39" i="101"/>
  <c r="K57" i="101" s="1"/>
  <c r="K128" i="101"/>
  <c r="I195" i="97"/>
  <c r="I123" i="97"/>
  <c r="AL192" i="8"/>
  <c r="AL217" i="8"/>
  <c r="G13" i="101"/>
  <c r="G35" i="101" s="1"/>
  <c r="G53" i="101" s="1"/>
  <c r="F351" i="97" s="1"/>
  <c r="G13" i="114"/>
  <c r="G35" i="114" s="1"/>
  <c r="G53" i="114" s="1"/>
  <c r="AI185" i="8"/>
  <c r="AG190" i="8"/>
  <c r="X229" i="8"/>
  <c r="I21" i="97"/>
  <c r="AG106" i="8"/>
  <c r="AI101" i="8"/>
  <c r="L22" i="97"/>
  <c r="L26" i="97" s="1"/>
  <c r="I154" i="97"/>
  <c r="I253" i="97"/>
  <c r="J49" i="74" s="1"/>
  <c r="J42" i="74" s="1"/>
  <c r="E95" i="8"/>
  <c r="B259" i="97"/>
  <c r="E15" i="101"/>
  <c r="E37" i="101" s="1"/>
  <c r="E55" i="101" s="1"/>
  <c r="D356" i="97" s="1"/>
  <c r="E15" i="114"/>
  <c r="E37" i="114" s="1"/>
  <c r="E55" i="114" s="1"/>
  <c r="D91" i="97"/>
  <c r="E36" i="74" s="1"/>
  <c r="R216" i="8"/>
  <c r="G54" i="97"/>
  <c r="G75" i="97" s="1"/>
  <c r="H10" i="74" s="1"/>
  <c r="R10" i="74" s="1"/>
  <c r="O143" i="117"/>
  <c r="F100" i="97"/>
  <c r="G37" i="74" s="1"/>
  <c r="J44" i="101"/>
  <c r="J38" i="101"/>
  <c r="J56" i="101" s="1"/>
  <c r="I355" i="97" s="1"/>
  <c r="H124" i="97"/>
  <c r="L106" i="8"/>
  <c r="E22" i="97"/>
  <c r="E26" i="97" s="1"/>
  <c r="E42" i="97" s="1"/>
  <c r="N101" i="8"/>
  <c r="F12" i="74"/>
  <c r="E102" i="97"/>
  <c r="AG179" i="8"/>
  <c r="AG198" i="8"/>
  <c r="M100" i="97"/>
  <c r="M106" i="97"/>
  <c r="M111" i="97" s="1"/>
  <c r="F18" i="101"/>
  <c r="F18" i="114"/>
  <c r="E74" i="97"/>
  <c r="F35" i="74" s="1"/>
  <c r="I13" i="101"/>
  <c r="I35" i="101" s="1"/>
  <c r="I53" i="101" s="1"/>
  <c r="H351" i="97" s="1"/>
  <c r="I13" i="114"/>
  <c r="I35" i="114" s="1"/>
  <c r="I53" i="114" s="1"/>
  <c r="F15" i="101"/>
  <c r="F37" i="101" s="1"/>
  <c r="F55" i="101" s="1"/>
  <c r="E356" i="97" s="1"/>
  <c r="F15" i="114"/>
  <c r="F37" i="114" s="1"/>
  <c r="F55" i="114" s="1"/>
  <c r="E91" i="97"/>
  <c r="F36" i="74" s="1"/>
  <c r="R36" i="74" s="1"/>
  <c r="I128" i="101"/>
  <c r="I39" i="101"/>
  <c r="I57" i="101" s="1"/>
  <c r="J127" i="114"/>
  <c r="J39" i="114"/>
  <c r="J57" i="114" s="1"/>
  <c r="J122" i="114" s="1"/>
  <c r="H172" i="97"/>
  <c r="H271" i="97"/>
  <c r="I50" i="74" s="1"/>
  <c r="C17" i="101"/>
  <c r="C17" i="114"/>
  <c r="N66" i="97"/>
  <c r="M12" i="74"/>
  <c r="L102" i="97"/>
  <c r="X106" i="8"/>
  <c r="Z101" i="8"/>
  <c r="I22" i="97"/>
  <c r="I26" i="97" s="1"/>
  <c r="K95" i="8"/>
  <c r="D259" i="97"/>
  <c r="I232" i="97"/>
  <c r="Z216" i="8"/>
  <c r="Y211" i="8"/>
  <c r="AF95" i="8"/>
  <c r="K259" i="97"/>
  <c r="H193" i="8"/>
  <c r="F194" i="8"/>
  <c r="M15" i="101"/>
  <c r="M37" i="101" s="1"/>
  <c r="M55" i="101" s="1"/>
  <c r="L356" i="97" s="1"/>
  <c r="M15" i="114"/>
  <c r="M37" i="114" s="1"/>
  <c r="M55" i="114" s="1"/>
  <c r="L91" i="97"/>
  <c r="M36" i="74" s="1"/>
  <c r="H38" i="114"/>
  <c r="H56" i="114" s="1"/>
  <c r="H44" i="114"/>
  <c r="C100" i="97"/>
  <c r="D37" i="74" s="1"/>
  <c r="J253" i="97"/>
  <c r="K49" i="74" s="1"/>
  <c r="K42" i="74" s="1"/>
  <c r="B75" i="97"/>
  <c r="C10" i="74" s="1"/>
  <c r="AC219" i="8"/>
  <c r="C14" i="101"/>
  <c r="C36" i="101" s="1"/>
  <c r="C54" i="101" s="1"/>
  <c r="B353" i="97" s="1"/>
  <c r="C14" i="114"/>
  <c r="C36" i="114" s="1"/>
  <c r="C54" i="114" s="1"/>
  <c r="N33" i="97"/>
  <c r="U106" i="8"/>
  <c r="W101" i="8"/>
  <c r="H22" i="97"/>
  <c r="H26" i="97" s="1"/>
  <c r="AC101" i="8"/>
  <c r="AA106" i="8"/>
  <c r="J22" i="97"/>
  <c r="J26" i="97" s="1"/>
  <c r="E100" i="97"/>
  <c r="AF222" i="8"/>
  <c r="D106" i="97"/>
  <c r="D111" i="97" s="1"/>
  <c r="D100" i="97"/>
  <c r="T10" i="74"/>
  <c r="L16" i="101"/>
  <c r="L16" i="114"/>
  <c r="C203" i="8"/>
  <c r="E198" i="8"/>
  <c r="B83" i="97"/>
  <c r="N80" i="97"/>
  <c r="D227" i="8"/>
  <c r="L14" i="101"/>
  <c r="L36" i="101" s="1"/>
  <c r="L54" i="101" s="1"/>
  <c r="K353" i="97" s="1"/>
  <c r="L14" i="114"/>
  <c r="L36" i="114" s="1"/>
  <c r="L54" i="114" s="1"/>
  <c r="AC190" i="8"/>
  <c r="AC211" i="8"/>
  <c r="B141" i="97"/>
  <c r="N141" i="97" s="1"/>
  <c r="Q192" i="8"/>
  <c r="Q217" i="8"/>
  <c r="N291" i="97"/>
  <c r="B178" i="97"/>
  <c r="M18" i="101"/>
  <c r="M18" i="114"/>
  <c r="L74" i="97"/>
  <c r="M35" i="74" s="1"/>
  <c r="K218" i="97"/>
  <c r="N135" i="97"/>
  <c r="J42" i="97"/>
  <c r="AG192" i="8"/>
  <c r="AI191" i="8"/>
  <c r="N39" i="101"/>
  <c r="N57" i="101" s="1"/>
  <c r="N128" i="101"/>
  <c r="AJ229" i="8"/>
  <c r="M21" i="97"/>
  <c r="M43" i="97" s="1"/>
  <c r="N9" i="74" s="1"/>
  <c r="E196" i="8"/>
  <c r="C197" i="8"/>
  <c r="M271" i="97"/>
  <c r="N50" i="74" s="1"/>
  <c r="N43" i="74" s="1"/>
  <c r="M172" i="97"/>
  <c r="W185" i="8"/>
  <c r="U190" i="8"/>
  <c r="I166" i="8"/>
  <c r="I185" i="8"/>
  <c r="AL196" i="8"/>
  <c r="AJ197" i="8"/>
  <c r="L43" i="97"/>
  <c r="M9" i="74" s="1"/>
  <c r="E13" i="101"/>
  <c r="E35" i="101" s="1"/>
  <c r="E53" i="101" s="1"/>
  <c r="D351" i="97" s="1"/>
  <c r="E13" i="114"/>
  <c r="E35" i="114" s="1"/>
  <c r="E53" i="114" s="1"/>
  <c r="AF97" i="8"/>
  <c r="K266" i="97"/>
  <c r="K14" i="114"/>
  <c r="K36" i="114" s="1"/>
  <c r="K54" i="114" s="1"/>
  <c r="J44" i="74"/>
  <c r="B59" i="97"/>
  <c r="J26" i="74"/>
  <c r="J19" i="74" s="1"/>
  <c r="I282" i="97"/>
  <c r="L281" i="97"/>
  <c r="M51" i="74" s="1"/>
  <c r="T51" i="74" s="1"/>
  <c r="L184" i="97"/>
  <c r="AD192" i="8"/>
  <c r="AF191" i="8"/>
  <c r="N148" i="97"/>
  <c r="AC95" i="8"/>
  <c r="J259" i="97"/>
  <c r="F123" i="97"/>
  <c r="E123" i="97"/>
  <c r="F9" i="74" l="1"/>
  <c r="R9" i="74" s="1"/>
  <c r="E105" i="97"/>
  <c r="E112" i="97" s="1"/>
  <c r="I9" i="74"/>
  <c r="H105" i="97"/>
  <c r="H112" i="97" s="1"/>
  <c r="F34" i="74"/>
  <c r="F160" i="101"/>
  <c r="E44" i="97"/>
  <c r="E113" i="97"/>
  <c r="E315" i="97" s="1"/>
  <c r="E316" i="97" s="1"/>
  <c r="E301" i="97" s="1"/>
  <c r="F258" i="97"/>
  <c r="Q218" i="8"/>
  <c r="P217" i="8"/>
  <c r="J12" i="101"/>
  <c r="J12" i="114"/>
  <c r="I42" i="97"/>
  <c r="E199" i="97"/>
  <c r="N199" i="97" s="1"/>
  <c r="N106" i="8"/>
  <c r="AL218" i="8"/>
  <c r="M258" i="97"/>
  <c r="AK217" i="8"/>
  <c r="G35" i="74"/>
  <c r="F113" i="97"/>
  <c r="F315" i="97" s="1"/>
  <c r="F316" i="97" s="1"/>
  <c r="F301" i="97" s="1"/>
  <c r="N43" i="97"/>
  <c r="I131" i="114"/>
  <c r="AC198" i="8"/>
  <c r="AA203" i="8"/>
  <c r="AF192" i="8"/>
  <c r="AF217" i="8"/>
  <c r="N353" i="97"/>
  <c r="B172" i="97"/>
  <c r="B271" i="97"/>
  <c r="N259" i="97"/>
  <c r="G40" i="114"/>
  <c r="G58" i="114" s="1"/>
  <c r="G122" i="114" s="1"/>
  <c r="G127" i="114"/>
  <c r="G177" i="97"/>
  <c r="G269" i="97"/>
  <c r="K131" i="114"/>
  <c r="K203" i="8"/>
  <c r="K224" i="8"/>
  <c r="D12" i="101"/>
  <c r="D12" i="114"/>
  <c r="M154" i="97"/>
  <c r="M253" i="97"/>
  <c r="N49" i="74" s="1"/>
  <c r="I35" i="74"/>
  <c r="S35" i="74" s="1"/>
  <c r="H113" i="97"/>
  <c r="H315" i="97" s="1"/>
  <c r="H316" i="97" s="1"/>
  <c r="H301" i="97" s="1"/>
  <c r="D38" i="114"/>
  <c r="D56" i="114" s="1"/>
  <c r="D44" i="114"/>
  <c r="K197" i="8"/>
  <c r="K222" i="8"/>
  <c r="G40" i="101"/>
  <c r="G58" i="101" s="1"/>
  <c r="G128" i="101"/>
  <c r="D40" i="114"/>
  <c r="D58" i="114" s="1"/>
  <c r="D122" i="114" s="1"/>
  <c r="D127" i="114"/>
  <c r="F105" i="97"/>
  <c r="F112" i="97" s="1"/>
  <c r="AF190" i="8"/>
  <c r="AF211" i="8"/>
  <c r="AC216" i="8"/>
  <c r="J232" i="97"/>
  <c r="AB211" i="8"/>
  <c r="O10" i="74"/>
  <c r="Q10" i="74"/>
  <c r="L113" i="97"/>
  <c r="L315" i="97" s="1"/>
  <c r="L316" i="97" s="1"/>
  <c r="L301" i="97" s="1"/>
  <c r="I43" i="97"/>
  <c r="B111" i="97"/>
  <c r="E190" i="8"/>
  <c r="E211" i="8"/>
  <c r="C16" i="114"/>
  <c r="AL222" i="8"/>
  <c r="AL197" i="8"/>
  <c r="E197" i="8"/>
  <c r="E222" i="8"/>
  <c r="M40" i="101"/>
  <c r="M58" i="101" s="1"/>
  <c r="M128" i="101"/>
  <c r="E203" i="8"/>
  <c r="E224" i="8"/>
  <c r="G106" i="97"/>
  <c r="G111" i="97" s="1"/>
  <c r="N54" i="97"/>
  <c r="N75" i="97" s="1"/>
  <c r="L105" i="97"/>
  <c r="L112" i="97" s="1"/>
  <c r="J131" i="114"/>
  <c r="AI190" i="8"/>
  <c r="AI211" i="8"/>
  <c r="K191" i="97"/>
  <c r="AE228" i="8"/>
  <c r="H218" i="8"/>
  <c r="C258" i="97"/>
  <c r="G217" i="8"/>
  <c r="E44" i="74"/>
  <c r="Q194" i="8"/>
  <c r="Q219" i="8"/>
  <c r="F203" i="8"/>
  <c r="H198" i="8"/>
  <c r="N142" i="97"/>
  <c r="L154" i="97"/>
  <c r="L253" i="97"/>
  <c r="M49" i="74" s="1"/>
  <c r="M42" i="74" s="1"/>
  <c r="N102" i="97"/>
  <c r="AI197" i="8"/>
  <c r="AI222" i="8"/>
  <c r="E18" i="101"/>
  <c r="E18" i="114"/>
  <c r="D74" i="97"/>
  <c r="AL220" i="8"/>
  <c r="M265" i="97"/>
  <c r="AK219" i="8"/>
  <c r="G16" i="114"/>
  <c r="C13" i="101"/>
  <c r="C35" i="101" s="1"/>
  <c r="C53" i="101" s="1"/>
  <c r="B351" i="97" s="1"/>
  <c r="C13" i="114"/>
  <c r="C35" i="114" s="1"/>
  <c r="C53" i="114" s="1"/>
  <c r="N18" i="97"/>
  <c r="B154" i="97"/>
  <c r="B253" i="97"/>
  <c r="H12" i="101"/>
  <c r="H12" i="114"/>
  <c r="AD203" i="8"/>
  <c r="AF198" i="8"/>
  <c r="G105" i="97"/>
  <c r="G112" i="97" s="1"/>
  <c r="G44" i="74"/>
  <c r="W190" i="8"/>
  <c r="W211" i="8"/>
  <c r="N35" i="74"/>
  <c r="T35" i="74" s="1"/>
  <c r="AL216" i="8"/>
  <c r="M232" i="97"/>
  <c r="AK211" i="8"/>
  <c r="Q106" i="8"/>
  <c r="F199" i="97"/>
  <c r="C271" i="97"/>
  <c r="D50" i="74" s="1"/>
  <c r="D43" i="74" s="1"/>
  <c r="AC106" i="8"/>
  <c r="J199" i="97"/>
  <c r="Z106" i="8"/>
  <c r="I199" i="97"/>
  <c r="F12" i="101"/>
  <c r="F12" i="114"/>
  <c r="R51" i="74"/>
  <c r="F44" i="74"/>
  <c r="Z198" i="8"/>
  <c r="X203" i="8"/>
  <c r="I37" i="74"/>
  <c r="I16" i="101"/>
  <c r="I16" i="114"/>
  <c r="T93" i="8"/>
  <c r="G233" i="97"/>
  <c r="N233" i="97" s="1"/>
  <c r="N131" i="114"/>
  <c r="K192" i="8"/>
  <c r="K217" i="8"/>
  <c r="Q197" i="8"/>
  <c r="Q222" i="8"/>
  <c r="M40" i="114"/>
  <c r="M58" i="114" s="1"/>
  <c r="M122" i="114" s="1"/>
  <c r="M127" i="114"/>
  <c r="W106" i="8"/>
  <c r="H199" i="97"/>
  <c r="AI198" i="8"/>
  <c r="AG203" i="8"/>
  <c r="I124" i="97"/>
  <c r="N124" i="97" s="1"/>
  <c r="I220" i="97"/>
  <c r="J48" i="74" s="1"/>
  <c r="AJ203" i="8"/>
  <c r="AL198" i="8"/>
  <c r="H106" i="8"/>
  <c r="C199" i="97"/>
  <c r="C123" i="97"/>
  <c r="C195" i="97"/>
  <c r="E271" i="97"/>
  <c r="F50" i="74" s="1"/>
  <c r="E172" i="97"/>
  <c r="H154" i="97"/>
  <c r="H253" i="97"/>
  <c r="I49" i="74" s="1"/>
  <c r="K34" i="74"/>
  <c r="K160" i="101"/>
  <c r="J44" i="97"/>
  <c r="N266" i="97"/>
  <c r="F37" i="74"/>
  <c r="R37" i="74" s="1"/>
  <c r="F16" i="101"/>
  <c r="F16" i="114"/>
  <c r="I153" i="97"/>
  <c r="I237" i="97"/>
  <c r="I252" i="97"/>
  <c r="M12" i="101"/>
  <c r="M12" i="114"/>
  <c r="L42" i="97"/>
  <c r="W197" i="8"/>
  <c r="W222" i="8"/>
  <c r="L172" i="97"/>
  <c r="L271" i="97"/>
  <c r="M50" i="74" s="1"/>
  <c r="M43" i="74" s="1"/>
  <c r="H262" i="97"/>
  <c r="H171" i="97"/>
  <c r="C42" i="97"/>
  <c r="Z192" i="8"/>
  <c r="Z217" i="8"/>
  <c r="AI220" i="8"/>
  <c r="L265" i="97"/>
  <c r="AH219" i="8"/>
  <c r="N184" i="97"/>
  <c r="E220" i="8"/>
  <c r="B265" i="97"/>
  <c r="D219" i="8"/>
  <c r="I44" i="74"/>
  <c r="S51" i="74"/>
  <c r="Q198" i="8"/>
  <c r="O203" i="8"/>
  <c r="J105" i="97"/>
  <c r="J112" i="97" s="1"/>
  <c r="K37" i="74"/>
  <c r="K44" i="74" s="1"/>
  <c r="K16" i="101"/>
  <c r="K16" i="114"/>
  <c r="G16" i="101"/>
  <c r="C12" i="101"/>
  <c r="C12" i="114"/>
  <c r="B42" i="97"/>
  <c r="C39" i="114"/>
  <c r="C57" i="114" s="1"/>
  <c r="F40" i="101"/>
  <c r="F58" i="101" s="1"/>
  <c r="F128" i="101"/>
  <c r="T185" i="8"/>
  <c r="R190" i="8"/>
  <c r="C39" i="101"/>
  <c r="C57" i="101" s="1"/>
  <c r="C128" i="101"/>
  <c r="L11" i="74"/>
  <c r="T11" i="74" s="1"/>
  <c r="K105" i="97"/>
  <c r="K112" i="97" s="1"/>
  <c r="N44" i="74"/>
  <c r="G271" i="97"/>
  <c r="H50" i="74" s="1"/>
  <c r="H43" i="74" s="1"/>
  <c r="G172" i="97"/>
  <c r="G287" i="97"/>
  <c r="G293" i="97" s="1"/>
  <c r="G317" i="97" s="1"/>
  <c r="N190" i="8"/>
  <c r="N211" i="8"/>
  <c r="B130" i="97"/>
  <c r="O11" i="74"/>
  <c r="Q11" i="74"/>
  <c r="K26" i="97"/>
  <c r="K106" i="97"/>
  <c r="K111" i="97" s="1"/>
  <c r="N55" i="97"/>
  <c r="N59" i="97" s="1"/>
  <c r="N74" i="97" s="1"/>
  <c r="I12" i="101"/>
  <c r="I12" i="114"/>
  <c r="M37" i="74"/>
  <c r="M16" i="101"/>
  <c r="M16" i="114"/>
  <c r="H190" i="8"/>
  <c r="H211" i="8"/>
  <c r="N21" i="97"/>
  <c r="D38" i="101"/>
  <c r="D56" i="101" s="1"/>
  <c r="C355" i="97" s="1"/>
  <c r="D44" i="101"/>
  <c r="T192" i="8"/>
  <c r="T217" i="8"/>
  <c r="AI192" i="8"/>
  <c r="AI217" i="8"/>
  <c r="C15" i="101"/>
  <c r="C37" i="101" s="1"/>
  <c r="C55" i="101" s="1"/>
  <c r="B356" i="97" s="1"/>
  <c r="N356" i="97" s="1"/>
  <c r="C15" i="114"/>
  <c r="C37" i="114" s="1"/>
  <c r="C55" i="114" s="1"/>
  <c r="B91" i="97"/>
  <c r="C36" i="74" s="1"/>
  <c r="N83" i="97"/>
  <c r="I172" i="97"/>
  <c r="I271" i="97"/>
  <c r="J50" i="74" s="1"/>
  <c r="J43" i="74" s="1"/>
  <c r="T36" i="74"/>
  <c r="D40" i="101"/>
  <c r="D58" i="101" s="1"/>
  <c r="D128" i="101"/>
  <c r="L203" i="8"/>
  <c r="N198" i="8"/>
  <c r="L40" i="101"/>
  <c r="L58" i="101" s="1"/>
  <c r="L128" i="101"/>
  <c r="N15" i="97"/>
  <c r="F287" i="97"/>
  <c r="F293" i="97" s="1"/>
  <c r="F317" i="97" s="1"/>
  <c r="F318" i="97" s="1"/>
  <c r="C16" i="101"/>
  <c r="L38" i="114"/>
  <c r="L56" i="114" s="1"/>
  <c r="L44" i="114"/>
  <c r="D172" i="97"/>
  <c r="D271" i="97"/>
  <c r="E50" i="74" s="1"/>
  <c r="E43" i="74" s="1"/>
  <c r="I123" i="101"/>
  <c r="H354" i="97"/>
  <c r="AI106" i="8"/>
  <c r="L199" i="97"/>
  <c r="K123" i="101"/>
  <c r="J354" i="97"/>
  <c r="M105" i="97"/>
  <c r="M112" i="97" s="1"/>
  <c r="B287" i="97"/>
  <c r="H287" i="97"/>
  <c r="H293" i="97" s="1"/>
  <c r="H317" i="97" s="1"/>
  <c r="J106" i="97"/>
  <c r="J111" i="97" s="1"/>
  <c r="K93" i="8"/>
  <c r="D233" i="97"/>
  <c r="I177" i="97"/>
  <c r="I269" i="97"/>
  <c r="AF194" i="8"/>
  <c r="AF219" i="8"/>
  <c r="E154" i="97"/>
  <c r="E253" i="97"/>
  <c r="F49" i="74" s="1"/>
  <c r="D105" i="97"/>
  <c r="D112" i="97" s="1"/>
  <c r="J123" i="101"/>
  <c r="I354" i="97"/>
  <c r="N192" i="8"/>
  <c r="N217" i="8"/>
  <c r="Q190" i="8"/>
  <c r="Q211" i="8"/>
  <c r="B220" i="97"/>
  <c r="E62" i="114"/>
  <c r="E128" i="114"/>
  <c r="E132" i="114" s="1"/>
  <c r="E19" i="114"/>
  <c r="E34" i="114"/>
  <c r="N22" i="97"/>
  <c r="T106" i="8"/>
  <c r="G199" i="97"/>
  <c r="C105" i="97"/>
  <c r="C112" i="97" s="1"/>
  <c r="N12" i="101"/>
  <c r="N12" i="114"/>
  <c r="M42" i="97"/>
  <c r="H18" i="101"/>
  <c r="H18" i="114"/>
  <c r="G74" i="97"/>
  <c r="H34" i="74"/>
  <c r="H160" i="101"/>
  <c r="G44" i="97"/>
  <c r="I106" i="97"/>
  <c r="I111" i="97" s="1"/>
  <c r="I34" i="74"/>
  <c r="I160" i="101"/>
  <c r="H44" i="97"/>
  <c r="K220" i="8"/>
  <c r="D265" i="97"/>
  <c r="J219" i="8"/>
  <c r="C18" i="101"/>
  <c r="C40" i="101" s="1"/>
  <c r="C58" i="101" s="1"/>
  <c r="C18" i="114"/>
  <c r="C40" i="114" s="1"/>
  <c r="C58" i="114" s="1"/>
  <c r="B74" i="97"/>
  <c r="C35" i="74" s="1"/>
  <c r="E37" i="74"/>
  <c r="O37" i="74" s="1"/>
  <c r="E16" i="101"/>
  <c r="E16" i="114"/>
  <c r="K172" i="97"/>
  <c r="K271" i="97"/>
  <c r="L50" i="74" s="1"/>
  <c r="D35" i="74"/>
  <c r="C113" i="97"/>
  <c r="C315" i="97" s="1"/>
  <c r="C316" i="97" s="1"/>
  <c r="C301" i="97" s="1"/>
  <c r="G12" i="101"/>
  <c r="G12" i="114"/>
  <c r="N123" i="101"/>
  <c r="M354" i="97"/>
  <c r="J265" i="97"/>
  <c r="AC220" i="8"/>
  <c r="AB219" i="8"/>
  <c r="I43" i="74"/>
  <c r="N37" i="74"/>
  <c r="N16" i="114"/>
  <c r="N16" i="101"/>
  <c r="C154" i="97"/>
  <c r="C253" i="97"/>
  <c r="D49" i="74" s="1"/>
  <c r="D42" i="74" s="1"/>
  <c r="J13" i="101"/>
  <c r="J35" i="101" s="1"/>
  <c r="J53" i="101" s="1"/>
  <c r="I351" i="97" s="1"/>
  <c r="J13" i="114"/>
  <c r="J35" i="114" s="1"/>
  <c r="J53" i="114" s="1"/>
  <c r="L40" i="114"/>
  <c r="L58" i="114" s="1"/>
  <c r="L122" i="114" s="1"/>
  <c r="L127" i="114"/>
  <c r="AF106" i="8"/>
  <c r="K199" i="97"/>
  <c r="AE222" i="8"/>
  <c r="AF223" i="8"/>
  <c r="K276" i="97" s="1"/>
  <c r="F42" i="97"/>
  <c r="B102" i="97"/>
  <c r="C12" i="74"/>
  <c r="B105" i="97"/>
  <c r="T198" i="8"/>
  <c r="R203" i="8"/>
  <c r="AC192" i="8"/>
  <c r="AC217" i="8"/>
  <c r="U203" i="8"/>
  <c r="W198" i="8"/>
  <c r="M44" i="74"/>
  <c r="K185" i="8"/>
  <c r="I190" i="8"/>
  <c r="J172" i="97"/>
  <c r="J271" i="97"/>
  <c r="K50" i="74" s="1"/>
  <c r="K43" i="74" s="1"/>
  <c r="K178" i="97"/>
  <c r="N178" i="97" s="1"/>
  <c r="E106" i="97"/>
  <c r="E111" i="97" s="1"/>
  <c r="L38" i="101"/>
  <c r="L56" i="101" s="1"/>
  <c r="K355" i="97" s="1"/>
  <c r="L44" i="101"/>
  <c r="K12" i="101"/>
  <c r="K12" i="114"/>
  <c r="C106" i="97"/>
  <c r="C111" i="97" s="1"/>
  <c r="H194" i="8"/>
  <c r="H219" i="8"/>
  <c r="F40" i="114"/>
  <c r="F58" i="114" s="1"/>
  <c r="F122" i="114" s="1"/>
  <c r="F127" i="114"/>
  <c r="R12" i="74"/>
  <c r="F106" i="97"/>
  <c r="F111" i="97" s="1"/>
  <c r="E34" i="74"/>
  <c r="E41" i="74" s="1"/>
  <c r="E160" i="101"/>
  <c r="D44" i="97"/>
  <c r="E192" i="8"/>
  <c r="E217" i="8"/>
  <c r="D44" i="74"/>
  <c r="Q9" i="74"/>
  <c r="AC197" i="8"/>
  <c r="AC222" i="8"/>
  <c r="C44" i="74"/>
  <c r="O51" i="74"/>
  <c r="Q51" i="74"/>
  <c r="T222" i="8"/>
  <c r="T197" i="8"/>
  <c r="H197" i="8"/>
  <c r="H222" i="8"/>
  <c r="K154" i="97"/>
  <c r="K253" i="97"/>
  <c r="L49" i="74" s="1"/>
  <c r="E34" i="101"/>
  <c r="E19" i="101"/>
  <c r="E129" i="101"/>
  <c r="E133" i="101" s="1"/>
  <c r="E177" i="97"/>
  <c r="E269" i="97"/>
  <c r="N191" i="97"/>
  <c r="N195" i="97" s="1"/>
  <c r="W220" i="8"/>
  <c r="H265" i="97"/>
  <c r="V219" i="8"/>
  <c r="N222" i="8"/>
  <c r="N197" i="8"/>
  <c r="F154" i="97"/>
  <c r="F253" i="97"/>
  <c r="G49" i="74" s="1"/>
  <c r="AL106" i="8"/>
  <c r="M199" i="97"/>
  <c r="K183" i="97" l="1"/>
  <c r="K280" i="97"/>
  <c r="N218" i="8"/>
  <c r="E258" i="97"/>
  <c r="M217" i="8"/>
  <c r="H216" i="8"/>
  <c r="C232" i="97"/>
  <c r="G211" i="8"/>
  <c r="C34" i="74"/>
  <c r="C160" i="101"/>
  <c r="B44" i="97"/>
  <c r="M131" i="114"/>
  <c r="H19" i="101"/>
  <c r="H34" i="101"/>
  <c r="H129" i="101"/>
  <c r="B293" i="97"/>
  <c r="F43" i="74"/>
  <c r="R50" i="74"/>
  <c r="R43" i="74" s="1"/>
  <c r="E223" i="8"/>
  <c r="B276" i="97" s="1"/>
  <c r="D222" i="8"/>
  <c r="AF216" i="8"/>
  <c r="K232" i="97"/>
  <c r="AE211" i="8"/>
  <c r="N172" i="97"/>
  <c r="I132" i="101"/>
  <c r="M38" i="114"/>
  <c r="M56" i="114" s="1"/>
  <c r="M44" i="114"/>
  <c r="M34" i="101"/>
  <c r="M19" i="101"/>
  <c r="M129" i="101"/>
  <c r="F129" i="114"/>
  <c r="T203" i="8"/>
  <c r="T224" i="8"/>
  <c r="N132" i="101"/>
  <c r="K258" i="97"/>
  <c r="AF218" i="8"/>
  <c r="AE217" i="8"/>
  <c r="Q44" i="74"/>
  <c r="E218" i="8"/>
  <c r="B258" i="97"/>
  <c r="D217" i="8"/>
  <c r="F131" i="114"/>
  <c r="K190" i="8"/>
  <c r="K211" i="8"/>
  <c r="B112" i="97"/>
  <c r="G19" i="114"/>
  <c r="G34" i="114"/>
  <c r="G62" i="114"/>
  <c r="G128" i="114"/>
  <c r="G132" i="114" s="1"/>
  <c r="E38" i="114"/>
  <c r="E56" i="114" s="1"/>
  <c r="E44" i="114"/>
  <c r="D177" i="97"/>
  <c r="D269" i="97"/>
  <c r="E135" i="114"/>
  <c r="E69" i="114"/>
  <c r="D154" i="97"/>
  <c r="D253" i="97"/>
  <c r="E49" i="74" s="1"/>
  <c r="D287" i="97"/>
  <c r="D293" i="97" s="1"/>
  <c r="D317" i="97" s="1"/>
  <c r="K132" i="101"/>
  <c r="L123" i="101"/>
  <c r="K354" i="97"/>
  <c r="B113" i="97"/>
  <c r="B315" i="97" s="1"/>
  <c r="T37" i="74"/>
  <c r="T44" i="74" s="1"/>
  <c r="F130" i="101"/>
  <c r="G38" i="101"/>
  <c r="G56" i="101" s="1"/>
  <c r="F355" i="97" s="1"/>
  <c r="G44" i="101"/>
  <c r="Q203" i="8"/>
  <c r="Q224" i="8"/>
  <c r="L177" i="97"/>
  <c r="L269" i="97"/>
  <c r="J24" i="74"/>
  <c r="J17" i="74" s="1"/>
  <c r="I254" i="97"/>
  <c r="AI203" i="8"/>
  <c r="AI224" i="8"/>
  <c r="I44" i="101"/>
  <c r="I38" i="101"/>
  <c r="I56" i="101" s="1"/>
  <c r="H355" i="97" s="1"/>
  <c r="I130" i="97"/>
  <c r="I287" i="97"/>
  <c r="I293" i="97" s="1"/>
  <c r="I317" i="97" s="1"/>
  <c r="E40" i="114"/>
  <c r="E58" i="114" s="1"/>
  <c r="E122" i="114" s="1"/>
  <c r="E127" i="114"/>
  <c r="E129" i="114" s="1"/>
  <c r="H203" i="8"/>
  <c r="H224" i="8"/>
  <c r="AK222" i="8"/>
  <c r="AL223" i="8"/>
  <c r="M276" i="97" s="1"/>
  <c r="Q37" i="74"/>
  <c r="D34" i="114"/>
  <c r="D128" i="114"/>
  <c r="D132" i="114" s="1"/>
  <c r="D62" i="114"/>
  <c r="D19" i="114"/>
  <c r="M222" i="8"/>
  <c r="N223" i="8"/>
  <c r="E276" i="97" s="1"/>
  <c r="AC218" i="8"/>
  <c r="J258" i="97"/>
  <c r="AB217" i="8"/>
  <c r="S34" i="74"/>
  <c r="B177" i="97"/>
  <c r="B269" i="97"/>
  <c r="G154" i="97"/>
  <c r="G253" i="97"/>
  <c r="H49" i="74" s="1"/>
  <c r="H42" i="74" s="1"/>
  <c r="C50" i="74"/>
  <c r="N271" i="97"/>
  <c r="E52" i="114"/>
  <c r="E41" i="114"/>
  <c r="E45" i="114" s="1"/>
  <c r="E48" i="114" s="1"/>
  <c r="L258" i="97"/>
  <c r="AI218" i="8"/>
  <c r="AH217" i="8"/>
  <c r="L12" i="101"/>
  <c r="L12" i="114"/>
  <c r="K42" i="97"/>
  <c r="M128" i="114"/>
  <c r="M132" i="114" s="1"/>
  <c r="M34" i="114"/>
  <c r="M19" i="114"/>
  <c r="M62" i="114"/>
  <c r="M177" i="97"/>
  <c r="M270" i="97"/>
  <c r="M269" i="97"/>
  <c r="F354" i="97"/>
  <c r="G123" i="101"/>
  <c r="H269" i="97"/>
  <c r="H177" i="97"/>
  <c r="H270" i="97"/>
  <c r="K130" i="97"/>
  <c r="K220" i="97"/>
  <c r="L48" i="74" s="1"/>
  <c r="C171" i="97"/>
  <c r="C262" i="97"/>
  <c r="J9" i="74"/>
  <c r="O9" i="74" s="1"/>
  <c r="I105" i="97"/>
  <c r="I112" i="97" s="1"/>
  <c r="K223" i="8"/>
  <c r="D276" i="97" s="1"/>
  <c r="J222" i="8"/>
  <c r="T218" i="8"/>
  <c r="G258" i="97"/>
  <c r="S217" i="8"/>
  <c r="C34" i="101"/>
  <c r="C19" i="101"/>
  <c r="C129" i="101"/>
  <c r="F34" i="101"/>
  <c r="F19" i="101"/>
  <c r="F129" i="101"/>
  <c r="F133" i="101" s="1"/>
  <c r="N154" i="97"/>
  <c r="E35" i="74"/>
  <c r="O35" i="74" s="1"/>
  <c r="D113" i="97"/>
  <c r="D315" i="97" s="1"/>
  <c r="D316" i="97" s="1"/>
  <c r="D301" i="97" s="1"/>
  <c r="T49" i="74"/>
  <c r="T42" i="74" s="1"/>
  <c r="L42" i="74"/>
  <c r="O12" i="74"/>
  <c r="Q12" i="74"/>
  <c r="L131" i="114"/>
  <c r="G19" i="101"/>
  <c r="G34" i="101"/>
  <c r="G129" i="101"/>
  <c r="G133" i="101" s="1"/>
  <c r="E44" i="101"/>
  <c r="E38" i="101"/>
  <c r="E56" i="101" s="1"/>
  <c r="D355" i="97" s="1"/>
  <c r="H35" i="74"/>
  <c r="R35" i="74" s="1"/>
  <c r="G113" i="97"/>
  <c r="G315" i="97" s="1"/>
  <c r="G316" i="97" s="1"/>
  <c r="G301" i="97" s="1"/>
  <c r="G130" i="97"/>
  <c r="G220" i="97"/>
  <c r="H48" i="74" s="1"/>
  <c r="C48" i="74"/>
  <c r="R49" i="74"/>
  <c r="R42" i="74" s="1"/>
  <c r="F42" i="74"/>
  <c r="N203" i="8"/>
  <c r="N224" i="8"/>
  <c r="N91" i="97"/>
  <c r="N113" i="97"/>
  <c r="I34" i="114"/>
  <c r="I19" i="114"/>
  <c r="I128" i="114"/>
  <c r="I62" i="114"/>
  <c r="E354" i="97"/>
  <c r="F123" i="101"/>
  <c r="W223" i="8"/>
  <c r="H276" i="97" s="1"/>
  <c r="V222" i="8"/>
  <c r="C130" i="97"/>
  <c r="N130" i="97" s="1"/>
  <c r="C220" i="97"/>
  <c r="D48" i="74" s="1"/>
  <c r="C287" i="97"/>
  <c r="C293" i="97" s="1"/>
  <c r="C317" i="97" s="1"/>
  <c r="C318" i="97" s="1"/>
  <c r="H130" i="97"/>
  <c r="H220" i="97"/>
  <c r="I48" i="74" s="1"/>
  <c r="S37" i="74"/>
  <c r="S44" i="74" s="1"/>
  <c r="M237" i="97"/>
  <c r="M153" i="97"/>
  <c r="M252" i="97"/>
  <c r="AF203" i="8"/>
  <c r="AF224" i="8"/>
  <c r="E40" i="101"/>
  <c r="E58" i="101" s="1"/>
  <c r="E128" i="101"/>
  <c r="E130" i="101" s="1"/>
  <c r="K123" i="97"/>
  <c r="N123" i="97" s="1"/>
  <c r="K195" i="97"/>
  <c r="B198" i="97"/>
  <c r="E229" i="8"/>
  <c r="D224" i="8"/>
  <c r="C38" i="114"/>
  <c r="C56" i="114" s="1"/>
  <c r="C44" i="114"/>
  <c r="D131" i="114"/>
  <c r="D133" i="114" s="1"/>
  <c r="D34" i="101"/>
  <c r="D19" i="101"/>
  <c r="D129" i="101"/>
  <c r="D133" i="101" s="1"/>
  <c r="M171" i="97"/>
  <c r="M262" i="97"/>
  <c r="D123" i="101"/>
  <c r="C354" i="97"/>
  <c r="K44" i="101"/>
  <c r="K38" i="101"/>
  <c r="K56" i="101" s="1"/>
  <c r="J355" i="97" s="1"/>
  <c r="F44" i="101"/>
  <c r="F38" i="101"/>
  <c r="F56" i="101" s="1"/>
  <c r="E355" i="97" s="1"/>
  <c r="L354" i="97"/>
  <c r="M123" i="101"/>
  <c r="E130" i="97"/>
  <c r="E220" i="97"/>
  <c r="F48" i="74" s="1"/>
  <c r="E287" i="97"/>
  <c r="E293" i="97" s="1"/>
  <c r="E317" i="97" s="1"/>
  <c r="E318" i="97" s="1"/>
  <c r="J177" i="97"/>
  <c r="J269" i="97"/>
  <c r="N19" i="114"/>
  <c r="N62" i="114"/>
  <c r="N34" i="114"/>
  <c r="N128" i="114"/>
  <c r="C123" i="101"/>
  <c r="B354" i="97"/>
  <c r="J52" i="74"/>
  <c r="P222" i="8"/>
  <c r="Q223" i="8"/>
  <c r="F276" i="97" s="1"/>
  <c r="R44" i="74"/>
  <c r="W216" i="8"/>
  <c r="H232" i="97"/>
  <c r="V211" i="8"/>
  <c r="J34" i="74"/>
  <c r="J41" i="74" s="1"/>
  <c r="J160" i="101"/>
  <c r="I44" i="97"/>
  <c r="I113" i="97"/>
  <c r="I315" i="97" s="1"/>
  <c r="I316" i="97" s="1"/>
  <c r="I301" i="97" s="1"/>
  <c r="K19" i="101"/>
  <c r="K34" i="101"/>
  <c r="K129" i="101"/>
  <c r="N38" i="101"/>
  <c r="N56" i="101" s="1"/>
  <c r="M355" i="97" s="1"/>
  <c r="N44" i="101"/>
  <c r="C62" i="114"/>
  <c r="C34" i="114"/>
  <c r="C19" i="114"/>
  <c r="C128" i="114"/>
  <c r="F19" i="114"/>
  <c r="F62" i="114"/>
  <c r="F128" i="114"/>
  <c r="F132" i="114" s="1"/>
  <c r="F34" i="114"/>
  <c r="N42" i="74"/>
  <c r="J34" i="114"/>
  <c r="J62" i="114"/>
  <c r="J128" i="114"/>
  <c r="J19" i="114"/>
  <c r="E52" i="101"/>
  <c r="N44" i="114"/>
  <c r="N38" i="114"/>
  <c r="N56" i="114" s="1"/>
  <c r="J132" i="101"/>
  <c r="I38" i="114"/>
  <c r="I56" i="114" s="1"/>
  <c r="I44" i="114"/>
  <c r="J129" i="101"/>
  <c r="J34" i="101"/>
  <c r="J19" i="101"/>
  <c r="G42" i="74"/>
  <c r="H220" i="8"/>
  <c r="C265" i="97"/>
  <c r="G219" i="8"/>
  <c r="W203" i="8"/>
  <c r="W224" i="8"/>
  <c r="S50" i="74"/>
  <c r="S43" i="74" s="1"/>
  <c r="H40" i="114"/>
  <c r="H58" i="114" s="1"/>
  <c r="H122" i="114" s="1"/>
  <c r="H127" i="114"/>
  <c r="Q216" i="8"/>
  <c r="F232" i="97"/>
  <c r="P211" i="8"/>
  <c r="L130" i="97"/>
  <c r="L220" i="97"/>
  <c r="M48" i="74" s="1"/>
  <c r="L287" i="97"/>
  <c r="L293" i="97" s="1"/>
  <c r="L317" i="97" s="1"/>
  <c r="L318" i="97" s="1"/>
  <c r="Q36" i="74"/>
  <c r="O36" i="74"/>
  <c r="I19" i="101"/>
  <c r="I34" i="101"/>
  <c r="I129" i="101"/>
  <c r="E232" i="97"/>
  <c r="N216" i="8"/>
  <c r="M211" i="8"/>
  <c r="C122" i="114"/>
  <c r="Z218" i="8"/>
  <c r="I258" i="97"/>
  <c r="Y217" i="8"/>
  <c r="S49" i="74"/>
  <c r="S42" i="74" s="1"/>
  <c r="I42" i="74"/>
  <c r="J130" i="97"/>
  <c r="J220" i="97"/>
  <c r="K48" i="74" s="1"/>
  <c r="J287" i="97"/>
  <c r="J293" i="97" s="1"/>
  <c r="J317" i="97" s="1"/>
  <c r="J318" i="97" s="1"/>
  <c r="N351" i="97"/>
  <c r="AI223" i="8"/>
  <c r="L276" i="97" s="1"/>
  <c r="AH222" i="8"/>
  <c r="Q220" i="8"/>
  <c r="F265" i="97"/>
  <c r="P219" i="8"/>
  <c r="AI216" i="8"/>
  <c r="L232" i="97"/>
  <c r="AH211" i="8"/>
  <c r="E216" i="8"/>
  <c r="B232" i="97"/>
  <c r="D211" i="8"/>
  <c r="D198" i="97"/>
  <c r="K229" i="8"/>
  <c r="J224" i="8"/>
  <c r="G131" i="114"/>
  <c r="G133" i="114" s="1"/>
  <c r="AC203" i="8"/>
  <c r="AC224" i="8"/>
  <c r="F262" i="97"/>
  <c r="F171" i="97"/>
  <c r="N34" i="74"/>
  <c r="N160" i="101"/>
  <c r="M44" i="97"/>
  <c r="C38" i="101"/>
  <c r="C56" i="101" s="1"/>
  <c r="B355" i="97" s="1"/>
  <c r="C44" i="101"/>
  <c r="G318" i="97"/>
  <c r="O128" i="101"/>
  <c r="D34" i="74"/>
  <c r="D160" i="101"/>
  <c r="C44" i="97"/>
  <c r="N106" i="97"/>
  <c r="N111" i="97" s="1"/>
  <c r="K62" i="114"/>
  <c r="K19" i="114"/>
  <c r="K34" i="114"/>
  <c r="K128" i="114"/>
  <c r="N26" i="97"/>
  <c r="N42" i="97" s="1"/>
  <c r="C49" i="74"/>
  <c r="N253" i="97"/>
  <c r="L43" i="74"/>
  <c r="T50" i="74"/>
  <c r="T43" i="74" s="1"/>
  <c r="N34" i="101"/>
  <c r="N19" i="101"/>
  <c r="N129" i="101"/>
  <c r="F130" i="97"/>
  <c r="F220" i="97"/>
  <c r="G48" i="74" s="1"/>
  <c r="M130" i="97"/>
  <c r="M220" i="97"/>
  <c r="N48" i="74" s="1"/>
  <c r="M287" i="97"/>
  <c r="M293" i="97" s="1"/>
  <c r="M317" i="97" s="1"/>
  <c r="M318" i="97" s="1"/>
  <c r="S222" i="8"/>
  <c r="T223" i="8"/>
  <c r="G276" i="97" s="1"/>
  <c r="M38" i="101"/>
  <c r="M56" i="101" s="1"/>
  <c r="L355" i="97" s="1"/>
  <c r="M44" i="101"/>
  <c r="T190" i="8"/>
  <c r="T211" i="8"/>
  <c r="K218" i="8"/>
  <c r="D258" i="97"/>
  <c r="J217" i="8"/>
  <c r="O44" i="74"/>
  <c r="K287" i="97"/>
  <c r="K293" i="97" s="1"/>
  <c r="K317" i="97" s="1"/>
  <c r="H223" i="8"/>
  <c r="C276" i="97" s="1"/>
  <c r="G222" i="8"/>
  <c r="AB222" i="8"/>
  <c r="AC223" i="8"/>
  <c r="J276" i="97" s="1"/>
  <c r="G160" i="101"/>
  <c r="G34" i="74"/>
  <c r="R34" i="74" s="1"/>
  <c r="F44" i="97"/>
  <c r="H40" i="101"/>
  <c r="H58" i="101" s="1"/>
  <c r="H128" i="101"/>
  <c r="H130" i="101" s="1"/>
  <c r="AF220" i="8"/>
  <c r="K265" i="97"/>
  <c r="AE219" i="8"/>
  <c r="H318" i="97"/>
  <c r="C127" i="114"/>
  <c r="K38" i="114"/>
  <c r="K56" i="114" s="1"/>
  <c r="K44" i="114"/>
  <c r="M34" i="74"/>
  <c r="M160" i="101"/>
  <c r="L44" i="97"/>
  <c r="F44" i="114"/>
  <c r="F38" i="114"/>
  <c r="F56" i="114" s="1"/>
  <c r="AL203" i="8"/>
  <c r="AL224" i="8"/>
  <c r="Z203" i="8"/>
  <c r="Z224" i="8"/>
  <c r="M113" i="97"/>
  <c r="M315" i="97" s="1"/>
  <c r="M316" i="97" s="1"/>
  <c r="M301" i="97" s="1"/>
  <c r="H19" i="114"/>
  <c r="H62" i="114"/>
  <c r="H34" i="114"/>
  <c r="H128" i="114"/>
  <c r="H132" i="114" s="1"/>
  <c r="G38" i="114"/>
  <c r="G56" i="114" s="1"/>
  <c r="G44" i="114"/>
  <c r="M130" i="101"/>
  <c r="J153" i="97"/>
  <c r="J237" i="97"/>
  <c r="J252" i="97"/>
  <c r="Z229" i="8" l="1"/>
  <c r="I198" i="97"/>
  <c r="Y224" i="8"/>
  <c r="I69" i="114"/>
  <c r="I135" i="114"/>
  <c r="B153" i="97"/>
  <c r="B237" i="97"/>
  <c r="B252" i="97"/>
  <c r="I133" i="101"/>
  <c r="I155" i="101" s="1"/>
  <c r="I151" i="101"/>
  <c r="I153" i="101" s="1"/>
  <c r="I154" i="101" s="1"/>
  <c r="I130" i="101"/>
  <c r="J132" i="114"/>
  <c r="J133" i="114" s="1"/>
  <c r="J137" i="114" s="1"/>
  <c r="J141" i="114" s="1"/>
  <c r="J129" i="114"/>
  <c r="N132" i="114"/>
  <c r="N133" i="114" s="1"/>
  <c r="N137" i="114" s="1"/>
  <c r="N141" i="114" s="1"/>
  <c r="N129" i="114"/>
  <c r="N24" i="74"/>
  <c r="N17" i="74" s="1"/>
  <c r="M254" i="97"/>
  <c r="I132" i="114"/>
  <c r="I133" i="114" s="1"/>
  <c r="I129" i="114"/>
  <c r="C133" i="101"/>
  <c r="L280" i="97"/>
  <c r="L183" i="97"/>
  <c r="K41" i="114"/>
  <c r="K45" i="114" s="1"/>
  <c r="K48" i="114" s="1"/>
  <c r="K52" i="114"/>
  <c r="K41" i="101"/>
  <c r="K45" i="101" s="1"/>
  <c r="K48" i="101" s="1"/>
  <c r="K52" i="101"/>
  <c r="D52" i="74"/>
  <c r="D41" i="74"/>
  <c r="F52" i="101"/>
  <c r="F41" i="101"/>
  <c r="F45" i="101" s="1"/>
  <c r="F48" i="101" s="1"/>
  <c r="L171" i="97"/>
  <c r="L262" i="97"/>
  <c r="F198" i="97"/>
  <c r="Q229" i="8"/>
  <c r="P224" i="8"/>
  <c r="L132" i="101"/>
  <c r="K177" i="97"/>
  <c r="K270" i="97"/>
  <c r="K269" i="97"/>
  <c r="J280" i="97"/>
  <c r="J183" i="97"/>
  <c r="D262" i="97"/>
  <c r="D171" i="97"/>
  <c r="J198" i="97"/>
  <c r="AC229" i="8"/>
  <c r="AB224" i="8"/>
  <c r="C132" i="114"/>
  <c r="F41" i="74"/>
  <c r="F52" i="74"/>
  <c r="R48" i="74"/>
  <c r="B129" i="97"/>
  <c r="B203" i="97"/>
  <c r="B219" i="97"/>
  <c r="E63" i="114"/>
  <c r="E94" i="114"/>
  <c r="E96" i="114" s="1"/>
  <c r="E64" i="114"/>
  <c r="E72" i="114" s="1"/>
  <c r="C198" i="97"/>
  <c r="H229" i="8"/>
  <c r="G224" i="8"/>
  <c r="B171" i="97"/>
  <c r="N258" i="97"/>
  <c r="N262" i="97" s="1"/>
  <c r="B262" i="97"/>
  <c r="B183" i="97"/>
  <c r="B280" i="97"/>
  <c r="N276" i="97"/>
  <c r="N280" i="97" s="1"/>
  <c r="N282" i="97" s="1"/>
  <c r="K69" i="114"/>
  <c r="K135" i="114"/>
  <c r="F153" i="97"/>
  <c r="F252" i="97"/>
  <c r="F237" i="97"/>
  <c r="N52" i="114"/>
  <c r="N41" i="114"/>
  <c r="N45" i="114" s="1"/>
  <c r="N48" i="114" s="1"/>
  <c r="D41" i="101"/>
  <c r="D45" i="101" s="1"/>
  <c r="D48" i="101" s="1"/>
  <c r="D52" i="101"/>
  <c r="E59" i="114"/>
  <c r="E123" i="114"/>
  <c r="B270" i="97"/>
  <c r="K134" i="101"/>
  <c r="T229" i="8"/>
  <c r="G198" i="97"/>
  <c r="S224" i="8"/>
  <c r="M133" i="114"/>
  <c r="N355" i="97"/>
  <c r="I262" i="97"/>
  <c r="I171" i="97"/>
  <c r="I270" i="97"/>
  <c r="C41" i="114"/>
  <c r="C45" i="114" s="1"/>
  <c r="C48" i="114" s="1"/>
  <c r="C52" i="114"/>
  <c r="F183" i="97"/>
  <c r="F280" i="97"/>
  <c r="G130" i="101"/>
  <c r="D132" i="101"/>
  <c r="D134" i="101" s="1"/>
  <c r="I41" i="114"/>
  <c r="I45" i="114" s="1"/>
  <c r="I48" i="114" s="1"/>
  <c r="I52" i="114"/>
  <c r="D318" i="97"/>
  <c r="N105" i="97"/>
  <c r="N112" i="97" s="1"/>
  <c r="AL229" i="8"/>
  <c r="M198" i="97"/>
  <c r="AK224" i="8"/>
  <c r="H123" i="101"/>
  <c r="G354" i="97"/>
  <c r="C183" i="97"/>
  <c r="C280" i="97"/>
  <c r="L237" i="97"/>
  <c r="L153" i="97"/>
  <c r="L252" i="97"/>
  <c r="H129" i="114"/>
  <c r="C69" i="114"/>
  <c r="C135" i="114"/>
  <c r="M132" i="101"/>
  <c r="M134" i="101" s="1"/>
  <c r="S9" i="74"/>
  <c r="Q50" i="74"/>
  <c r="Q43" i="74" s="1"/>
  <c r="C43" i="74"/>
  <c r="O43" i="74" s="1"/>
  <c r="O50" i="74"/>
  <c r="D41" i="114"/>
  <c r="D45" i="114" s="1"/>
  <c r="D48" i="114" s="1"/>
  <c r="D52" i="114"/>
  <c r="N287" i="97"/>
  <c r="Q35" i="74"/>
  <c r="K24" i="74"/>
  <c r="K17" i="74" s="1"/>
  <c r="J254" i="97"/>
  <c r="O127" i="114"/>
  <c r="C129" i="114"/>
  <c r="H131" i="114"/>
  <c r="H133" i="114" s="1"/>
  <c r="H137" i="114" s="1"/>
  <c r="H141" i="114" s="1"/>
  <c r="F132" i="101"/>
  <c r="F134" i="101" s="1"/>
  <c r="G171" i="97"/>
  <c r="G262" i="97"/>
  <c r="G270" i="97"/>
  <c r="J171" i="97"/>
  <c r="J262" i="97"/>
  <c r="M133" i="101"/>
  <c r="M155" i="101" s="1"/>
  <c r="M151" i="101"/>
  <c r="M153" i="101" s="1"/>
  <c r="M154" i="101" s="1"/>
  <c r="D130" i="101"/>
  <c r="N133" i="101"/>
  <c r="N155" i="101" s="1"/>
  <c r="N151" i="101"/>
  <c r="N153" i="101" s="1"/>
  <c r="N154" i="101" s="1"/>
  <c r="N130" i="101"/>
  <c r="K52" i="74"/>
  <c r="K41" i="74"/>
  <c r="J41" i="101"/>
  <c r="J45" i="101" s="1"/>
  <c r="J48" i="101" s="1"/>
  <c r="J52" i="101"/>
  <c r="E59" i="101"/>
  <c r="E124" i="101"/>
  <c r="D352" i="97"/>
  <c r="J270" i="97"/>
  <c r="E123" i="101"/>
  <c r="D354" i="97"/>
  <c r="N354" i="97" s="1"/>
  <c r="N229" i="8"/>
  <c r="E198" i="97"/>
  <c r="M224" i="8"/>
  <c r="D129" i="114"/>
  <c r="L270" i="97"/>
  <c r="O315" i="97"/>
  <c r="O316" i="97" s="1"/>
  <c r="O318" i="97" s="1"/>
  <c r="B316" i="97"/>
  <c r="B301" i="97" s="1"/>
  <c r="N301" i="97" s="1"/>
  <c r="G135" i="114"/>
  <c r="G137" i="114" s="1"/>
  <c r="G141" i="114" s="1"/>
  <c r="G69" i="114"/>
  <c r="F133" i="114"/>
  <c r="K171" i="97"/>
  <c r="K262" i="97"/>
  <c r="K237" i="97"/>
  <c r="K153" i="97"/>
  <c r="K252" i="97"/>
  <c r="H151" i="101"/>
  <c r="H153" i="101" s="1"/>
  <c r="H154" i="101" s="1"/>
  <c r="H133" i="101"/>
  <c r="H155" i="101" s="1"/>
  <c r="L26" i="74"/>
  <c r="K282" i="97"/>
  <c r="N52" i="101"/>
  <c r="N41" i="101"/>
  <c r="N45" i="101" s="1"/>
  <c r="N48" i="101" s="1"/>
  <c r="P128" i="101"/>
  <c r="E153" i="97"/>
  <c r="E237" i="97"/>
  <c r="E252" i="97"/>
  <c r="H153" i="97"/>
  <c r="H237" i="97"/>
  <c r="H252" i="97"/>
  <c r="C132" i="101"/>
  <c r="O123" i="101"/>
  <c r="D280" i="97"/>
  <c r="D183" i="97"/>
  <c r="M52" i="114"/>
  <c r="M41" i="114"/>
  <c r="M45" i="114" s="1"/>
  <c r="M48" i="114" s="1"/>
  <c r="L198" i="97"/>
  <c r="AI229" i="8"/>
  <c r="AH224" i="8"/>
  <c r="N134" i="101"/>
  <c r="N41" i="74"/>
  <c r="N52" i="74"/>
  <c r="I52" i="101"/>
  <c r="I41" i="101"/>
  <c r="I45" i="101" s="1"/>
  <c r="I48" i="101" s="1"/>
  <c r="C270" i="97"/>
  <c r="C177" i="97"/>
  <c r="N177" i="97" s="1"/>
  <c r="C269" i="97"/>
  <c r="J69" i="114"/>
  <c r="J135" i="114"/>
  <c r="N220" i="97"/>
  <c r="G132" i="101"/>
  <c r="G134" i="101" s="1"/>
  <c r="D69" i="114"/>
  <c r="D135" i="114"/>
  <c r="D137" i="114" s="1"/>
  <c r="D141" i="114" s="1"/>
  <c r="D270" i="97"/>
  <c r="I134" i="101"/>
  <c r="E171" i="97"/>
  <c r="E262" i="97"/>
  <c r="E270" i="97"/>
  <c r="M129" i="114"/>
  <c r="T216" i="8"/>
  <c r="G232" i="97"/>
  <c r="S211" i="8"/>
  <c r="J52" i="114"/>
  <c r="J41" i="114"/>
  <c r="J45" i="114" s="1"/>
  <c r="J48" i="114" s="1"/>
  <c r="N69" i="114"/>
  <c r="N135" i="114"/>
  <c r="H183" i="97"/>
  <c r="H280" i="97"/>
  <c r="O48" i="74"/>
  <c r="Q48" i="74"/>
  <c r="C52" i="74"/>
  <c r="C41" i="74"/>
  <c r="G41" i="101"/>
  <c r="G45" i="101" s="1"/>
  <c r="G48" i="101" s="1"/>
  <c r="G52" i="101"/>
  <c r="C41" i="101"/>
  <c r="C45" i="101" s="1"/>
  <c r="C48" i="101" s="1"/>
  <c r="C52" i="101"/>
  <c r="L34" i="74"/>
  <c r="T34" i="74" s="1"/>
  <c r="L160" i="101"/>
  <c r="K44" i="97"/>
  <c r="K113" i="97"/>
  <c r="K315" i="97" s="1"/>
  <c r="K316" i="97" s="1"/>
  <c r="K301" i="97" s="1"/>
  <c r="N44" i="97"/>
  <c r="H52" i="114"/>
  <c r="H41" i="114"/>
  <c r="H45" i="114" s="1"/>
  <c r="H48" i="114" s="1"/>
  <c r="G41" i="74"/>
  <c r="G52" i="74"/>
  <c r="H41" i="74"/>
  <c r="H52" i="74"/>
  <c r="L34" i="114"/>
  <c r="L128" i="114"/>
  <c r="O128" i="114" s="1"/>
  <c r="P128" i="114" s="1"/>
  <c r="L62" i="114"/>
  <c r="L19" i="114"/>
  <c r="O19" i="114" s="1"/>
  <c r="P19" i="114" s="1"/>
  <c r="E124" i="114"/>
  <c r="E131" i="114"/>
  <c r="E133" i="114" s="1"/>
  <c r="E137" i="114" s="1"/>
  <c r="E141" i="114" s="1"/>
  <c r="E42" i="74"/>
  <c r="E52" i="74"/>
  <c r="D232" i="97"/>
  <c r="K216" i="8"/>
  <c r="J211" i="8"/>
  <c r="O160" i="101"/>
  <c r="H69" i="114"/>
  <c r="H135" i="114"/>
  <c r="Q49" i="74"/>
  <c r="Q42" i="74" s="1"/>
  <c r="C42" i="74"/>
  <c r="O42" i="74" s="1"/>
  <c r="O49" i="74"/>
  <c r="C131" i="114"/>
  <c r="O122" i="114"/>
  <c r="F41" i="114"/>
  <c r="F45" i="114" s="1"/>
  <c r="F48" i="114" s="1"/>
  <c r="F52" i="114"/>
  <c r="S48" i="74"/>
  <c r="I52" i="74"/>
  <c r="I41" i="74"/>
  <c r="L52" i="74"/>
  <c r="L41" i="74"/>
  <c r="T48" i="74"/>
  <c r="N25" i="74"/>
  <c r="N18" i="74" s="1"/>
  <c r="M272" i="97"/>
  <c r="L34" i="101"/>
  <c r="L19" i="101"/>
  <c r="O19" i="101" s="1"/>
  <c r="P19" i="101" s="1"/>
  <c r="L129" i="101"/>
  <c r="I318" i="97"/>
  <c r="N293" i="97"/>
  <c r="N317" i="97" s="1"/>
  <c r="B317" i="97"/>
  <c r="O34" i="74"/>
  <c r="Q34" i="74"/>
  <c r="G183" i="97"/>
  <c r="G280" i="97"/>
  <c r="K132" i="114"/>
  <c r="K133" i="114" s="1"/>
  <c r="K137" i="114" s="1"/>
  <c r="K141" i="114" s="1"/>
  <c r="K129" i="114"/>
  <c r="C130" i="101"/>
  <c r="D203" i="97"/>
  <c r="D129" i="97"/>
  <c r="D219" i="97"/>
  <c r="F270" i="97"/>
  <c r="F177" i="97"/>
  <c r="F269" i="97"/>
  <c r="M41" i="74"/>
  <c r="M52" i="74"/>
  <c r="W229" i="8"/>
  <c r="H198" i="97"/>
  <c r="V224" i="8"/>
  <c r="J133" i="101"/>
  <c r="J155" i="101" s="1"/>
  <c r="J151" i="101"/>
  <c r="J153" i="101" s="1"/>
  <c r="J154" i="101" s="1"/>
  <c r="J130" i="101"/>
  <c r="E41" i="101"/>
  <c r="E45" i="101" s="1"/>
  <c r="E48" i="101" s="1"/>
  <c r="F69" i="114"/>
  <c r="F135" i="114"/>
  <c r="K133" i="101"/>
  <c r="K155" i="101" s="1"/>
  <c r="K157" i="101" s="1"/>
  <c r="K158" i="101" s="1"/>
  <c r="K151" i="101"/>
  <c r="K153" i="101" s="1"/>
  <c r="K154" i="101" s="1"/>
  <c r="K130" i="101"/>
  <c r="G129" i="114"/>
  <c r="K198" i="97"/>
  <c r="AF229" i="8"/>
  <c r="AE224" i="8"/>
  <c r="I25" i="74"/>
  <c r="H272" i="97"/>
  <c r="M135" i="114"/>
  <c r="M69" i="114"/>
  <c r="N265" i="97"/>
  <c r="N269" i="97" s="1"/>
  <c r="E183" i="97"/>
  <c r="E280" i="97"/>
  <c r="M183" i="97"/>
  <c r="M280" i="97"/>
  <c r="G41" i="114"/>
  <c r="G45" i="114" s="1"/>
  <c r="G48" i="114" s="1"/>
  <c r="G52" i="114"/>
  <c r="M41" i="101"/>
  <c r="M45" i="101" s="1"/>
  <c r="M48" i="101" s="1"/>
  <c r="M52" i="101"/>
  <c r="H52" i="101"/>
  <c r="H41" i="101"/>
  <c r="H45" i="101" s="1"/>
  <c r="H48" i="101" s="1"/>
  <c r="C153" i="97"/>
  <c r="C237" i="97"/>
  <c r="C252" i="97"/>
  <c r="G153" i="97" l="1"/>
  <c r="G237" i="97"/>
  <c r="G252" i="97"/>
  <c r="G129" i="97"/>
  <c r="G203" i="97"/>
  <c r="G219" i="97"/>
  <c r="F59" i="101"/>
  <c r="F124" i="101"/>
  <c r="F125" i="101" s="1"/>
  <c r="E352" i="97"/>
  <c r="E357" i="97" s="1"/>
  <c r="M59" i="101"/>
  <c r="M124" i="101"/>
  <c r="M125" i="101" s="1"/>
  <c r="L352" i="97"/>
  <c r="L357" i="97" s="1"/>
  <c r="L69" i="114"/>
  <c r="O69" i="114" s="1"/>
  <c r="L135" i="114"/>
  <c r="J63" i="101"/>
  <c r="J95" i="101"/>
  <c r="J97" i="101" s="1"/>
  <c r="J64" i="101"/>
  <c r="J72" i="101" s="1"/>
  <c r="C63" i="114"/>
  <c r="C64" i="114"/>
  <c r="C94" i="114"/>
  <c r="O48" i="114"/>
  <c r="H26" i="74"/>
  <c r="H19" i="74" s="1"/>
  <c r="G282" i="97"/>
  <c r="G64" i="101"/>
  <c r="G72" i="101" s="1"/>
  <c r="G95" i="101"/>
  <c r="G97" i="101" s="1"/>
  <c r="G63" i="101"/>
  <c r="G62" i="101"/>
  <c r="D25" i="74"/>
  <c r="D18" i="74" s="1"/>
  <c r="C272" i="97"/>
  <c r="I24" i="74"/>
  <c r="H254" i="97"/>
  <c r="E125" i="101"/>
  <c r="E132" i="101"/>
  <c r="E134" i="101" s="1"/>
  <c r="D94" i="114"/>
  <c r="D96" i="114" s="1"/>
  <c r="D64" i="114"/>
  <c r="D72" i="114" s="1"/>
  <c r="D63" i="114"/>
  <c r="J25" i="74"/>
  <c r="J18" i="74" s="1"/>
  <c r="I272" i="97"/>
  <c r="N123" i="114"/>
  <c r="N124" i="114" s="1"/>
  <c r="N59" i="114"/>
  <c r="L41" i="101"/>
  <c r="L45" i="101" s="1"/>
  <c r="L48" i="101" s="1"/>
  <c r="L52" i="101"/>
  <c r="D237" i="97"/>
  <c r="D153" i="97"/>
  <c r="N153" i="97" s="1"/>
  <c r="D252" i="97"/>
  <c r="D286" i="97" s="1"/>
  <c r="D292" i="97" s="1"/>
  <c r="O41" i="74"/>
  <c r="F25" i="74"/>
  <c r="E272" i="97"/>
  <c r="M64" i="114"/>
  <c r="M72" i="114" s="1"/>
  <c r="M94" i="114"/>
  <c r="M96" i="114" s="1"/>
  <c r="M63" i="114"/>
  <c r="N315" i="97"/>
  <c r="N316" i="97" s="1"/>
  <c r="N318" i="97" s="1"/>
  <c r="K25" i="74"/>
  <c r="K18" i="74" s="1"/>
  <c r="J272" i="97"/>
  <c r="O62" i="114"/>
  <c r="H132" i="101"/>
  <c r="H134" i="101" s="1"/>
  <c r="C25" i="74"/>
  <c r="B272" i="97"/>
  <c r="N270" i="97"/>
  <c r="J134" i="101"/>
  <c r="N183" i="97"/>
  <c r="K59" i="101"/>
  <c r="K124" i="101"/>
  <c r="K125" i="101" s="1"/>
  <c r="J352" i="97"/>
  <c r="J357" i="97" s="1"/>
  <c r="D24" i="74"/>
  <c r="D17" i="74" s="1"/>
  <c r="C254" i="97"/>
  <c r="G63" i="114"/>
  <c r="G64" i="114"/>
  <c r="G72" i="114" s="1"/>
  <c r="G94" i="114"/>
  <c r="G96" i="114" s="1"/>
  <c r="E23" i="74"/>
  <c r="D221" i="97"/>
  <c r="S41" i="74"/>
  <c r="S52" i="74"/>
  <c r="J64" i="114"/>
  <c r="J72" i="114" s="1"/>
  <c r="J63" i="114"/>
  <c r="J94" i="114"/>
  <c r="J96" i="114" s="1"/>
  <c r="I59" i="101"/>
  <c r="I124" i="101"/>
  <c r="I125" i="101" s="1"/>
  <c r="H352" i="97"/>
  <c r="H357" i="97" s="1"/>
  <c r="M59" i="114"/>
  <c r="M123" i="114"/>
  <c r="M124" i="114" s="1"/>
  <c r="M25" i="74"/>
  <c r="M18" i="74" s="1"/>
  <c r="L272" i="97"/>
  <c r="H25" i="74"/>
  <c r="H18" i="74" s="1"/>
  <c r="G272" i="97"/>
  <c r="O129" i="114"/>
  <c r="P127" i="114"/>
  <c r="P129" i="114" s="1"/>
  <c r="D62" i="101"/>
  <c r="E71" i="114"/>
  <c r="E70" i="114"/>
  <c r="E85" i="114" s="1"/>
  <c r="E61" i="74" s="1"/>
  <c r="K26" i="74"/>
  <c r="K19" i="74" s="1"/>
  <c r="J282" i="97"/>
  <c r="J286" i="97"/>
  <c r="J292" i="97" s="1"/>
  <c r="F203" i="97"/>
  <c r="F129" i="97"/>
  <c r="F219" i="97"/>
  <c r="K63" i="101"/>
  <c r="K95" i="101"/>
  <c r="K97" i="101" s="1"/>
  <c r="K64" i="101"/>
  <c r="K72" i="101" s="1"/>
  <c r="H59" i="101"/>
  <c r="H124" i="101"/>
  <c r="H125" i="101" s="1"/>
  <c r="G352" i="97"/>
  <c r="G357" i="97" s="1"/>
  <c r="K203" i="97"/>
  <c r="K129" i="97"/>
  <c r="K219" i="97"/>
  <c r="O48" i="101"/>
  <c r="C64" i="101"/>
  <c r="C63" i="101"/>
  <c r="C95" i="101"/>
  <c r="M62" i="101"/>
  <c r="C59" i="114"/>
  <c r="C123" i="114"/>
  <c r="J129" i="97"/>
  <c r="J203" i="97"/>
  <c r="J219" i="97"/>
  <c r="L133" i="101"/>
  <c r="L155" i="101" s="1"/>
  <c r="L151" i="101"/>
  <c r="L153" i="101" s="1"/>
  <c r="L154" i="101" s="1"/>
  <c r="L130" i="101"/>
  <c r="O131" i="114"/>
  <c r="C133" i="114"/>
  <c r="C137" i="114" s="1"/>
  <c r="C141" i="114" s="1"/>
  <c r="G59" i="101"/>
  <c r="G124" i="101"/>
  <c r="G125" i="101" s="1"/>
  <c r="F352" i="97"/>
  <c r="F357" i="97" s="1"/>
  <c r="C134" i="101"/>
  <c r="L24" i="74"/>
  <c r="K254" i="97"/>
  <c r="N64" i="114"/>
  <c r="N72" i="114" s="1"/>
  <c r="N94" i="114"/>
  <c r="N96" i="114" s="1"/>
  <c r="N63" i="114"/>
  <c r="R41" i="74"/>
  <c r="R52" i="74"/>
  <c r="L132" i="114"/>
  <c r="L133" i="114" s="1"/>
  <c r="L137" i="114" s="1"/>
  <c r="L141" i="114" s="1"/>
  <c r="L129" i="114"/>
  <c r="N63" i="101"/>
  <c r="N64" i="101"/>
  <c r="N72" i="101" s="1"/>
  <c r="N95" i="101"/>
  <c r="N97" i="101" s="1"/>
  <c r="K62" i="101"/>
  <c r="C26" i="74"/>
  <c r="B282" i="97"/>
  <c r="B286" i="97"/>
  <c r="N232" i="97"/>
  <c r="N237" i="97" s="1"/>
  <c r="G123" i="114"/>
  <c r="G124" i="114" s="1"/>
  <c r="G59" i="114"/>
  <c r="G25" i="74"/>
  <c r="G18" i="74" s="1"/>
  <c r="F272" i="97"/>
  <c r="L41" i="114"/>
  <c r="L45" i="114" s="1"/>
  <c r="L48" i="114" s="1"/>
  <c r="L52" i="114"/>
  <c r="I95" i="101"/>
  <c r="I97" i="101" s="1"/>
  <c r="I63" i="101"/>
  <c r="I64" i="101"/>
  <c r="I72" i="101" s="1"/>
  <c r="F123" i="114"/>
  <c r="F124" i="114" s="1"/>
  <c r="F59" i="114"/>
  <c r="K318" i="97"/>
  <c r="J59" i="114"/>
  <c r="J123" i="114"/>
  <c r="J124" i="114" s="1"/>
  <c r="F24" i="74"/>
  <c r="E254" i="97"/>
  <c r="M24" i="74"/>
  <c r="M17" i="74" s="1"/>
  <c r="L254" i="97"/>
  <c r="G24" i="74"/>
  <c r="G17" i="74" s="1"/>
  <c r="F254" i="97"/>
  <c r="O132" i="114"/>
  <c r="P132" i="114" s="1"/>
  <c r="I137" i="114"/>
  <c r="I141" i="114" s="1"/>
  <c r="B318" i="97"/>
  <c r="T52" i="74"/>
  <c r="T41" i="74"/>
  <c r="F94" i="114"/>
  <c r="F96" i="114" s="1"/>
  <c r="F64" i="114"/>
  <c r="F72" i="114" s="1"/>
  <c r="F63" i="114"/>
  <c r="O52" i="74"/>
  <c r="I62" i="101"/>
  <c r="E26" i="74"/>
  <c r="E19" i="74" s="1"/>
  <c r="D282" i="97"/>
  <c r="L19" i="74"/>
  <c r="T26" i="74"/>
  <c r="T19" i="74" s="1"/>
  <c r="F137" i="114"/>
  <c r="F141" i="114" s="1"/>
  <c r="N157" i="101"/>
  <c r="N158" i="101" s="1"/>
  <c r="G26" i="74"/>
  <c r="G19" i="74" s="1"/>
  <c r="F286" i="97"/>
  <c r="F292" i="97" s="1"/>
  <c r="F282" i="97"/>
  <c r="M137" i="114"/>
  <c r="M141" i="114" s="1"/>
  <c r="N171" i="97"/>
  <c r="L25" i="74"/>
  <c r="K272" i="97"/>
  <c r="K63" i="114"/>
  <c r="K64" i="114"/>
  <c r="K72" i="114" s="1"/>
  <c r="K94" i="114"/>
  <c r="K96" i="114" s="1"/>
  <c r="I157" i="101"/>
  <c r="I158" i="101" s="1"/>
  <c r="I203" i="97"/>
  <c r="I129" i="97"/>
  <c r="I219" i="97"/>
  <c r="I286" i="97" s="1"/>
  <c r="I292" i="97" s="1"/>
  <c r="E64" i="101"/>
  <c r="E72" i="101" s="1"/>
  <c r="E95" i="101"/>
  <c r="E97" i="101" s="1"/>
  <c r="E63" i="101"/>
  <c r="P122" i="114"/>
  <c r="H63" i="114"/>
  <c r="H64" i="114"/>
  <c r="H72" i="114" s="1"/>
  <c r="H94" i="114"/>
  <c r="H96" i="114" s="1"/>
  <c r="P123" i="101"/>
  <c r="J59" i="101"/>
  <c r="J124" i="101"/>
  <c r="J125" i="101" s="1"/>
  <c r="I352" i="97"/>
  <c r="I357" i="97" s="1"/>
  <c r="D26" i="74"/>
  <c r="D19" i="74" s="1"/>
  <c r="C282" i="97"/>
  <c r="C286" i="97"/>
  <c r="C292" i="97" s="1"/>
  <c r="D64" i="101"/>
  <c r="D72" i="101" s="1"/>
  <c r="D63" i="101"/>
  <c r="D95" i="101"/>
  <c r="D97" i="101" s="1"/>
  <c r="M26" i="74"/>
  <c r="M19" i="74" s="1"/>
  <c r="L282" i="97"/>
  <c r="H59" i="114"/>
  <c r="H123" i="114"/>
  <c r="H124" i="114" s="1"/>
  <c r="M157" i="101"/>
  <c r="M158" i="101" s="1"/>
  <c r="D59" i="114"/>
  <c r="D123" i="114"/>
  <c r="D124" i="114" s="1"/>
  <c r="I59" i="114"/>
  <c r="I123" i="114"/>
  <c r="I124" i="114" s="1"/>
  <c r="C203" i="97"/>
  <c r="C129" i="97"/>
  <c r="N129" i="97" s="1"/>
  <c r="C219" i="97"/>
  <c r="M64" i="101"/>
  <c r="M72" i="101" s="1"/>
  <c r="M63" i="101"/>
  <c r="M95" i="101"/>
  <c r="M97" i="101" s="1"/>
  <c r="L129" i="97"/>
  <c r="L203" i="97"/>
  <c r="L219" i="97"/>
  <c r="I64" i="114"/>
  <c r="I72" i="114" s="1"/>
  <c r="I94" i="114"/>
  <c r="I96" i="114" s="1"/>
  <c r="I63" i="114"/>
  <c r="O129" i="101"/>
  <c r="J157" i="101"/>
  <c r="J158" i="101" s="1"/>
  <c r="N59" i="101"/>
  <c r="N124" i="101"/>
  <c r="N125" i="101" s="1"/>
  <c r="M352" i="97"/>
  <c r="M357" i="97" s="1"/>
  <c r="N26" i="74"/>
  <c r="N19" i="74" s="1"/>
  <c r="M282" i="97"/>
  <c r="I18" i="74"/>
  <c r="H129" i="97"/>
  <c r="H203" i="97"/>
  <c r="H219" i="97"/>
  <c r="Q41" i="74"/>
  <c r="Q52" i="74"/>
  <c r="D357" i="97"/>
  <c r="M129" i="97"/>
  <c r="M203" i="97"/>
  <c r="M219" i="97"/>
  <c r="E66" i="114"/>
  <c r="E73" i="114" s="1"/>
  <c r="E84" i="114" s="1"/>
  <c r="E109" i="114"/>
  <c r="E111" i="114" s="1"/>
  <c r="C23" i="74"/>
  <c r="B221" i="97"/>
  <c r="K59" i="114"/>
  <c r="K123" i="114"/>
  <c r="K124" i="114" s="1"/>
  <c r="H63" i="101"/>
  <c r="H95" i="101"/>
  <c r="H97" i="101" s="1"/>
  <c r="H64" i="101"/>
  <c r="H72" i="101" s="1"/>
  <c r="F26" i="74"/>
  <c r="E282" i="97"/>
  <c r="C59" i="101"/>
  <c r="C124" i="101"/>
  <c r="B352" i="97"/>
  <c r="I26" i="74"/>
  <c r="H282" i="97"/>
  <c r="E25" i="74"/>
  <c r="E18" i="74" s="1"/>
  <c r="D272" i="97"/>
  <c r="N62" i="101"/>
  <c r="H157" i="101"/>
  <c r="H158" i="101" s="1"/>
  <c r="E203" i="97"/>
  <c r="E129" i="97"/>
  <c r="E219" i="97"/>
  <c r="E66" i="101"/>
  <c r="F62" i="101"/>
  <c r="D59" i="101"/>
  <c r="D124" i="101"/>
  <c r="D125" i="101" s="1"/>
  <c r="C352" i="97"/>
  <c r="C357" i="97" s="1"/>
  <c r="N198" i="97"/>
  <c r="N203" i="97" s="1"/>
  <c r="F63" i="101"/>
  <c r="F64" i="101"/>
  <c r="F72" i="101" s="1"/>
  <c r="F95" i="101"/>
  <c r="F97" i="101" s="1"/>
  <c r="C24" i="74"/>
  <c r="B254" i="97"/>
  <c r="I344" i="97" l="1"/>
  <c r="I345" i="97" s="1"/>
  <c r="I346" i="97" s="1"/>
  <c r="I294" i="97"/>
  <c r="D294" i="97"/>
  <c r="D344" i="97"/>
  <c r="D345" i="97" s="1"/>
  <c r="D346" i="97" s="1"/>
  <c r="M23" i="74"/>
  <c r="L221" i="97"/>
  <c r="D69" i="101"/>
  <c r="D136" i="101"/>
  <c r="D138" i="101" s="1"/>
  <c r="D142" i="101" s="1"/>
  <c r="C358" i="97"/>
  <c r="C117" i="97" s="1"/>
  <c r="G71" i="114"/>
  <c r="G70" i="114"/>
  <c r="G85" i="114" s="1"/>
  <c r="G61" i="74" s="1"/>
  <c r="E60" i="74"/>
  <c r="E62" i="74" s="1"/>
  <c r="E86" i="114"/>
  <c r="L94" i="114"/>
  <c r="L96" i="114" s="1"/>
  <c r="L63" i="114"/>
  <c r="L64" i="114"/>
  <c r="L72" i="114" s="1"/>
  <c r="O26" i="74"/>
  <c r="Q26" i="74"/>
  <c r="Q19" i="74" s="1"/>
  <c r="C19" i="74"/>
  <c r="C62" i="101"/>
  <c r="E62" i="101"/>
  <c r="C96" i="114"/>
  <c r="N23" i="74"/>
  <c r="M221" i="97"/>
  <c r="L157" i="101"/>
  <c r="L158" i="101" s="1"/>
  <c r="O158" i="101" s="1"/>
  <c r="N272" i="97"/>
  <c r="O64" i="114"/>
  <c r="P64" i="114" s="1"/>
  <c r="C72" i="114"/>
  <c r="O72" i="114" s="1"/>
  <c r="S25" i="74"/>
  <c r="S18" i="74" s="1"/>
  <c r="I66" i="114"/>
  <c r="I109" i="114"/>
  <c r="I111" i="114" s="1"/>
  <c r="L286" i="97"/>
  <c r="L292" i="97" s="1"/>
  <c r="F66" i="114"/>
  <c r="F73" i="114" s="1"/>
  <c r="F84" i="114" s="1"/>
  <c r="F109" i="114"/>
  <c r="F111" i="114" s="1"/>
  <c r="F116" i="97"/>
  <c r="F359" i="97"/>
  <c r="K23" i="74"/>
  <c r="J221" i="97"/>
  <c r="C71" i="101"/>
  <c r="C70" i="101"/>
  <c r="H66" i="101"/>
  <c r="H110" i="101"/>
  <c r="H112" i="101" s="1"/>
  <c r="I66" i="101"/>
  <c r="I110" i="101"/>
  <c r="I112" i="101" s="1"/>
  <c r="O133" i="101"/>
  <c r="P133" i="101" s="1"/>
  <c r="C18" i="74"/>
  <c r="O25" i="74"/>
  <c r="Q25" i="74"/>
  <c r="Q18" i="74" s="1"/>
  <c r="M71" i="114"/>
  <c r="M70" i="114"/>
  <c r="M85" i="114" s="1"/>
  <c r="M61" i="74" s="1"/>
  <c r="O63" i="114"/>
  <c r="P63" i="114" s="1"/>
  <c r="C71" i="114"/>
  <c r="C70" i="114"/>
  <c r="M110" i="101"/>
  <c r="M112" i="101" s="1"/>
  <c r="M66" i="101"/>
  <c r="H24" i="74"/>
  <c r="H17" i="74" s="1"/>
  <c r="G254" i="97"/>
  <c r="F71" i="101"/>
  <c r="F70" i="101"/>
  <c r="K109" i="114"/>
  <c r="K111" i="114" s="1"/>
  <c r="K66" i="114"/>
  <c r="P129" i="101"/>
  <c r="P130" i="101" s="1"/>
  <c r="O130" i="101"/>
  <c r="M71" i="101"/>
  <c r="M70" i="101"/>
  <c r="F294" i="97"/>
  <c r="F344" i="97"/>
  <c r="F345" i="97" s="1"/>
  <c r="F346" i="97" s="1"/>
  <c r="G109" i="114"/>
  <c r="G111" i="114" s="1"/>
  <c r="G66" i="114"/>
  <c r="G73" i="114" s="1"/>
  <c r="G84" i="114" s="1"/>
  <c r="N71" i="114"/>
  <c r="N70" i="114"/>
  <c r="N85" i="114" s="1"/>
  <c r="N61" i="74" s="1"/>
  <c r="O64" i="101"/>
  <c r="P64" i="101" s="1"/>
  <c r="C72" i="101"/>
  <c r="O72" i="101" s="1"/>
  <c r="J116" i="97"/>
  <c r="H62" i="101"/>
  <c r="I17" i="74"/>
  <c r="S24" i="74"/>
  <c r="S17" i="74" s="1"/>
  <c r="E116" i="97"/>
  <c r="E359" i="97"/>
  <c r="D66" i="101"/>
  <c r="D110" i="101"/>
  <c r="D112" i="101" s="1"/>
  <c r="B357" i="97"/>
  <c r="I23" i="74"/>
  <c r="H221" i="97"/>
  <c r="L59" i="114"/>
  <c r="L123" i="114"/>
  <c r="L124" i="114" s="1"/>
  <c r="L17" i="74"/>
  <c r="T24" i="74"/>
  <c r="T17" i="74" s="1"/>
  <c r="G69" i="101"/>
  <c r="G136" i="101"/>
  <c r="G138" i="101" s="1"/>
  <c r="G142" i="101" s="1"/>
  <c r="F358" i="97"/>
  <c r="F117" i="97" s="1"/>
  <c r="H23" i="74"/>
  <c r="G221" i="97"/>
  <c r="O124" i="101"/>
  <c r="C125" i="101"/>
  <c r="H66" i="114"/>
  <c r="H109" i="114"/>
  <c r="H111" i="114" s="1"/>
  <c r="J109" i="114"/>
  <c r="J111" i="114" s="1"/>
  <c r="J66" i="114"/>
  <c r="M69" i="101"/>
  <c r="M136" i="101"/>
  <c r="M138" i="101" s="1"/>
  <c r="M142" i="101" s="1"/>
  <c r="L358" i="97"/>
  <c r="L117" i="97" s="1"/>
  <c r="N66" i="114"/>
  <c r="N73" i="114" s="1"/>
  <c r="N84" i="114" s="1"/>
  <c r="N109" i="114"/>
  <c r="N111" i="114" s="1"/>
  <c r="L116" i="97"/>
  <c r="N69" i="101"/>
  <c r="N136" i="101"/>
  <c r="N138" i="101" s="1"/>
  <c r="N142" i="101" s="1"/>
  <c r="M358" i="97"/>
  <c r="M117" i="97" s="1"/>
  <c r="H71" i="101"/>
  <c r="H70" i="101"/>
  <c r="J344" i="97"/>
  <c r="J345" i="97" s="1"/>
  <c r="J346" i="97" s="1"/>
  <c r="J294" i="97"/>
  <c r="I116" i="97"/>
  <c r="H286" i="97"/>
  <c r="H292" i="97" s="1"/>
  <c r="D66" i="114"/>
  <c r="D73" i="114" s="1"/>
  <c r="D84" i="114" s="1"/>
  <c r="D109" i="114"/>
  <c r="D111" i="114" s="1"/>
  <c r="J66" i="101"/>
  <c r="E71" i="101"/>
  <c r="E70" i="101"/>
  <c r="G66" i="101"/>
  <c r="G73" i="101" s="1"/>
  <c r="G84" i="101" s="1"/>
  <c r="G110" i="101"/>
  <c r="G112" i="101" s="1"/>
  <c r="J71" i="114"/>
  <c r="J70" i="114"/>
  <c r="J85" i="114" s="1"/>
  <c r="J61" i="74" s="1"/>
  <c r="L59" i="101"/>
  <c r="L124" i="101"/>
  <c r="L125" i="101" s="1"/>
  <c r="K352" i="97"/>
  <c r="K357" i="97" s="1"/>
  <c r="M286" i="97"/>
  <c r="M292" i="97" s="1"/>
  <c r="K71" i="114"/>
  <c r="K70" i="114"/>
  <c r="K85" i="114" s="1"/>
  <c r="K61" i="74" s="1"/>
  <c r="I69" i="101"/>
  <c r="I136" i="101"/>
  <c r="I138" i="101" s="1"/>
  <c r="I142" i="101" s="1"/>
  <c r="H358" i="97"/>
  <c r="H117" i="97" s="1"/>
  <c r="F17" i="74"/>
  <c r="I71" i="101"/>
  <c r="I70" i="101"/>
  <c r="O123" i="114"/>
  <c r="C124" i="114"/>
  <c r="L23" i="74"/>
  <c r="K221" i="97"/>
  <c r="K71" i="101"/>
  <c r="K70" i="101"/>
  <c r="K66" i="101"/>
  <c r="K73" i="101" s="1"/>
  <c r="K84" i="101" s="1"/>
  <c r="K110" i="101"/>
  <c r="K112" i="101" s="1"/>
  <c r="O135" i="114"/>
  <c r="P62" i="114"/>
  <c r="P135" i="114" s="1"/>
  <c r="L64" i="101"/>
  <c r="L72" i="101" s="1"/>
  <c r="L63" i="101"/>
  <c r="O63" i="101" s="1"/>
  <c r="P63" i="101" s="1"/>
  <c r="L95" i="101"/>
  <c r="L97" i="101" s="1"/>
  <c r="D71" i="114"/>
  <c r="D70" i="114"/>
  <c r="D85" i="114" s="1"/>
  <c r="D61" i="74" s="1"/>
  <c r="J71" i="101"/>
  <c r="J70" i="101"/>
  <c r="F110" i="101"/>
  <c r="F112" i="101" s="1"/>
  <c r="F66" i="101"/>
  <c r="M116" i="97"/>
  <c r="C294" i="97"/>
  <c r="C344" i="97"/>
  <c r="C345" i="97" s="1"/>
  <c r="C346" i="97" s="1"/>
  <c r="J23" i="74"/>
  <c r="I221" i="97"/>
  <c r="L18" i="74"/>
  <c r="T25" i="74"/>
  <c r="T18" i="74" s="1"/>
  <c r="M66" i="114"/>
  <c r="M109" i="114"/>
  <c r="M111" i="114" s="1"/>
  <c r="J62" i="101"/>
  <c r="C17" i="74"/>
  <c r="F71" i="114"/>
  <c r="F70" i="114"/>
  <c r="F85" i="114" s="1"/>
  <c r="F61" i="74" s="1"/>
  <c r="G116" i="97"/>
  <c r="H359" i="97"/>
  <c r="H116" i="97"/>
  <c r="E24" i="74"/>
  <c r="E17" i="74" s="1"/>
  <c r="D254" i="97"/>
  <c r="N254" i="97" s="1"/>
  <c r="G71" i="101"/>
  <c r="G70" i="101"/>
  <c r="F69" i="101"/>
  <c r="F136" i="101"/>
  <c r="F138" i="101" s="1"/>
  <c r="F142" i="101" s="1"/>
  <c r="E358" i="97"/>
  <c r="E117" i="97" s="1"/>
  <c r="O59" i="101"/>
  <c r="P59" i="101" s="1"/>
  <c r="C110" i="101"/>
  <c r="C66" i="101"/>
  <c r="N110" i="101"/>
  <c r="N112" i="101" s="1"/>
  <c r="N66" i="101"/>
  <c r="H71" i="114"/>
  <c r="H70" i="114"/>
  <c r="H85" i="114" s="1"/>
  <c r="H61" i="74" s="1"/>
  <c r="O132" i="101"/>
  <c r="O95" i="101"/>
  <c r="C97" i="101"/>
  <c r="O97" i="101" s="1"/>
  <c r="K69" i="101"/>
  <c r="K136" i="101"/>
  <c r="K138" i="101" s="1"/>
  <c r="K142" i="101" s="1"/>
  <c r="J358" i="97"/>
  <c r="J117" i="97" s="1"/>
  <c r="F23" i="74"/>
  <c r="E221" i="97"/>
  <c r="N221" i="97" s="1"/>
  <c r="D116" i="97"/>
  <c r="I71" i="114"/>
  <c r="I70" i="114"/>
  <c r="E16" i="74"/>
  <c r="G286" i="97"/>
  <c r="G292" i="97" s="1"/>
  <c r="C116" i="97"/>
  <c r="C359" i="97"/>
  <c r="E286" i="97"/>
  <c r="E292" i="97" s="1"/>
  <c r="N219" i="97"/>
  <c r="L134" i="101"/>
  <c r="D71" i="101"/>
  <c r="D70" i="101"/>
  <c r="N252" i="97"/>
  <c r="I19" i="74"/>
  <c r="S26" i="74"/>
  <c r="S19" i="74" s="1"/>
  <c r="F19" i="74"/>
  <c r="R26" i="74"/>
  <c r="R19" i="74" s="1"/>
  <c r="C16" i="74"/>
  <c r="O23" i="74"/>
  <c r="C27" i="74"/>
  <c r="C55" i="74" s="1"/>
  <c r="Q23" i="74"/>
  <c r="D23" i="74"/>
  <c r="C221" i="97"/>
  <c r="B292" i="97"/>
  <c r="N71" i="101"/>
  <c r="N70" i="101"/>
  <c r="P131" i="114"/>
  <c r="P133" i="114" s="1"/>
  <c r="O133" i="114"/>
  <c r="C109" i="114"/>
  <c r="C66" i="114"/>
  <c r="G23" i="74"/>
  <c r="F221" i="97"/>
  <c r="F18" i="74"/>
  <c r="R25" i="74"/>
  <c r="R18" i="74" s="1"/>
  <c r="K286" i="97"/>
  <c r="K292" i="97" s="1"/>
  <c r="G344" i="97" l="1"/>
  <c r="G345" i="97" s="1"/>
  <c r="G346" i="97" s="1"/>
  <c r="G294" i="97"/>
  <c r="C112" i="101"/>
  <c r="O24" i="74"/>
  <c r="H85" i="101"/>
  <c r="H86" i="101"/>
  <c r="G300" i="97" s="1"/>
  <c r="F86" i="101"/>
  <c r="E300" i="97" s="1"/>
  <c r="F85" i="101"/>
  <c r="R23" i="74"/>
  <c r="F27" i="74"/>
  <c r="F55" i="74" s="1"/>
  <c r="F16" i="74"/>
  <c r="J85" i="101"/>
  <c r="J86" i="101"/>
  <c r="I300" i="97" s="1"/>
  <c r="P124" i="101"/>
  <c r="P125" i="101" s="1"/>
  <c r="O125" i="101"/>
  <c r="L109" i="114"/>
  <c r="L111" i="114" s="1"/>
  <c r="L66" i="114"/>
  <c r="H344" i="97"/>
  <c r="H345" i="97" s="1"/>
  <c r="H346" i="97" s="1"/>
  <c r="H294" i="97"/>
  <c r="O59" i="114"/>
  <c r="P59" i="114" s="1"/>
  <c r="I85" i="114"/>
  <c r="I61" i="74" s="1"/>
  <c r="S61" i="74" s="1"/>
  <c r="M359" i="97"/>
  <c r="K86" i="101"/>
  <c r="J300" i="97" s="1"/>
  <c r="J303" i="97" s="1"/>
  <c r="K85" i="101"/>
  <c r="M294" i="97"/>
  <c r="M344" i="97"/>
  <c r="M345" i="97" s="1"/>
  <c r="M346" i="97" s="1"/>
  <c r="E86" i="101"/>
  <c r="D300" i="97" s="1"/>
  <c r="E85" i="101"/>
  <c r="J73" i="114"/>
  <c r="J84" i="114" s="1"/>
  <c r="I27" i="74"/>
  <c r="I55" i="74" s="1"/>
  <c r="S23" i="74"/>
  <c r="I16" i="74"/>
  <c r="M73" i="101"/>
  <c r="M84" i="101" s="1"/>
  <c r="L294" i="97"/>
  <c r="L344" i="97"/>
  <c r="L345" i="97" s="1"/>
  <c r="L346" i="97" s="1"/>
  <c r="O19" i="74"/>
  <c r="N86" i="101"/>
  <c r="M300" i="97" s="1"/>
  <c r="N85" i="101"/>
  <c r="O27" i="74"/>
  <c r="O55" i="74" s="1"/>
  <c r="P132" i="101"/>
  <c r="P134" i="101" s="1"/>
  <c r="O134" i="101"/>
  <c r="Q24" i="74"/>
  <c r="Q17" i="74" s="1"/>
  <c r="H73" i="101"/>
  <c r="H84" i="101" s="1"/>
  <c r="N286" i="97"/>
  <c r="F302" i="97"/>
  <c r="C69" i="101"/>
  <c r="C136" i="101"/>
  <c r="C138" i="101" s="1"/>
  <c r="C142" i="101" s="1"/>
  <c r="B358" i="97"/>
  <c r="N73" i="101"/>
  <c r="N84" i="101" s="1"/>
  <c r="R61" i="74"/>
  <c r="M73" i="114"/>
  <c r="M84" i="114" s="1"/>
  <c r="R24" i="74"/>
  <c r="R17" i="74" s="1"/>
  <c r="K116" i="97"/>
  <c r="L359" i="97"/>
  <c r="B116" i="97"/>
  <c r="N116" i="97" s="1"/>
  <c r="B359" i="97"/>
  <c r="N357" i="97"/>
  <c r="G60" i="74"/>
  <c r="G62" i="74" s="1"/>
  <c r="G86" i="114"/>
  <c r="K73" i="114"/>
  <c r="K84" i="114" s="1"/>
  <c r="O18" i="74"/>
  <c r="N16" i="74"/>
  <c r="N27" i="74"/>
  <c r="N55" i="74" s="1"/>
  <c r="D347" i="97"/>
  <c r="D86" i="101"/>
  <c r="C300" i="97" s="1"/>
  <c r="D85" i="101"/>
  <c r="N60" i="74"/>
  <c r="N62" i="74" s="1"/>
  <c r="N86" i="114"/>
  <c r="F347" i="97"/>
  <c r="L71" i="114"/>
  <c r="O71" i="114" s="1"/>
  <c r="L70" i="114"/>
  <c r="L85" i="114" s="1"/>
  <c r="L61" i="74" s="1"/>
  <c r="T61" i="74" s="1"/>
  <c r="J27" i="74"/>
  <c r="J55" i="74" s="1"/>
  <c r="J16" i="74"/>
  <c r="P123" i="114"/>
  <c r="P124" i="114" s="1"/>
  <c r="O124" i="114"/>
  <c r="G27" i="74"/>
  <c r="G55" i="74" s="1"/>
  <c r="G16" i="74"/>
  <c r="L62" i="101"/>
  <c r="O66" i="114"/>
  <c r="C73" i="114"/>
  <c r="J69" i="101"/>
  <c r="J136" i="101"/>
  <c r="J138" i="101" s="1"/>
  <c r="J142" i="101" s="1"/>
  <c r="I358" i="97"/>
  <c r="C347" i="97"/>
  <c r="F60" i="74"/>
  <c r="F86" i="114"/>
  <c r="C111" i="114"/>
  <c r="O111" i="114" s="1"/>
  <c r="P111" i="114" s="1"/>
  <c r="O109" i="114"/>
  <c r="P109" i="114" s="1"/>
  <c r="E294" i="97"/>
  <c r="E344" i="97"/>
  <c r="E345" i="97" s="1"/>
  <c r="E346" i="97" s="1"/>
  <c r="G86" i="101"/>
  <c r="F300" i="97" s="1"/>
  <c r="G85" i="101"/>
  <c r="G87" i="101" s="1"/>
  <c r="K294" i="97"/>
  <c r="K344" i="97"/>
  <c r="K345" i="97" s="1"/>
  <c r="K346" i="97" s="1"/>
  <c r="O137" i="114"/>
  <c r="O141" i="114" s="1"/>
  <c r="D16" i="74"/>
  <c r="O16" i="74" s="1"/>
  <c r="D27" i="74"/>
  <c r="D55" i="74" s="1"/>
  <c r="L71" i="101"/>
  <c r="O71" i="101" s="1"/>
  <c r="L70" i="101"/>
  <c r="J110" i="101"/>
  <c r="J112" i="101" s="1"/>
  <c r="J347" i="97"/>
  <c r="J310" i="97"/>
  <c r="N352" i="97"/>
  <c r="H69" i="101"/>
  <c r="H136" i="101"/>
  <c r="H138" i="101" s="1"/>
  <c r="H142" i="101" s="1"/>
  <c r="G358" i="97"/>
  <c r="C85" i="114"/>
  <c r="I73" i="114"/>
  <c r="I84" i="114" s="1"/>
  <c r="O94" i="114"/>
  <c r="I347" i="97"/>
  <c r="D73" i="101"/>
  <c r="D84" i="101" s="1"/>
  <c r="I73" i="101"/>
  <c r="I84" i="101" s="1"/>
  <c r="E69" i="101"/>
  <c r="E73" i="101" s="1"/>
  <c r="E84" i="101" s="1"/>
  <c r="E136" i="101"/>
  <c r="E138" i="101" s="1"/>
  <c r="E142" i="101" s="1"/>
  <c r="D358" i="97"/>
  <c r="E110" i="101"/>
  <c r="E112" i="101" s="1"/>
  <c r="E27" i="74"/>
  <c r="E55" i="74" s="1"/>
  <c r="D60" i="74"/>
  <c r="D62" i="74" s="1"/>
  <c r="D86" i="114"/>
  <c r="M86" i="101"/>
  <c r="L300" i="97" s="1"/>
  <c r="M85" i="101"/>
  <c r="N292" i="97"/>
  <c r="N344" i="97" s="1"/>
  <c r="N345" i="97" s="1"/>
  <c r="N346" i="97" s="1"/>
  <c r="B294" i="97"/>
  <c r="B344" i="97"/>
  <c r="B345" i="97" s="1"/>
  <c r="B346" i="97" s="1"/>
  <c r="I85" i="101"/>
  <c r="I86" i="101"/>
  <c r="H300" i="97" s="1"/>
  <c r="M16" i="74"/>
  <c r="M27" i="74"/>
  <c r="M55" i="74" s="1"/>
  <c r="J302" i="97"/>
  <c r="H27" i="74"/>
  <c r="H55" i="74" s="1"/>
  <c r="H16" i="74"/>
  <c r="C86" i="101"/>
  <c r="C85" i="101"/>
  <c r="O70" i="101"/>
  <c r="P137" i="114"/>
  <c r="P141" i="114" s="1"/>
  <c r="Q16" i="74"/>
  <c r="C73" i="101"/>
  <c r="O66" i="101"/>
  <c r="O17" i="74"/>
  <c r="F73" i="101"/>
  <c r="F84" i="101" s="1"/>
  <c r="L27" i="74"/>
  <c r="L55" i="74" s="1"/>
  <c r="T23" i="74"/>
  <c r="L16" i="74"/>
  <c r="L66" i="101"/>
  <c r="L110" i="101"/>
  <c r="L112" i="101" s="1"/>
  <c r="J73" i="101"/>
  <c r="J84" i="101" s="1"/>
  <c r="H73" i="114"/>
  <c r="H84" i="114" s="1"/>
  <c r="J359" i="97"/>
  <c r="K16" i="74"/>
  <c r="K27" i="74"/>
  <c r="K55" i="74" s="1"/>
  <c r="O96" i="114"/>
  <c r="S27" i="74" l="1"/>
  <c r="S55" i="74" s="1"/>
  <c r="S16" i="74"/>
  <c r="I60" i="74"/>
  <c r="I86" i="114"/>
  <c r="F62" i="74"/>
  <c r="L69" i="101"/>
  <c r="L136" i="101"/>
  <c r="L138" i="101" s="1"/>
  <c r="L142" i="101" s="1"/>
  <c r="K358" i="97"/>
  <c r="M302" i="97"/>
  <c r="N87" i="101"/>
  <c r="G302" i="97"/>
  <c r="H87" i="101"/>
  <c r="J60" i="74"/>
  <c r="J62" i="74" s="1"/>
  <c r="J86" i="114"/>
  <c r="Q27" i="74"/>
  <c r="Q55" i="74" s="1"/>
  <c r="E87" i="101"/>
  <c r="D302" i="97"/>
  <c r="D303" i="97" s="1"/>
  <c r="D310" i="97" s="1"/>
  <c r="O70" i="114"/>
  <c r="L86" i="101"/>
  <c r="K300" i="97" s="1"/>
  <c r="L85" i="101"/>
  <c r="O85" i="101" s="1"/>
  <c r="F303" i="97"/>
  <c r="F310" i="97" s="1"/>
  <c r="N358" i="97"/>
  <c r="B117" i="97"/>
  <c r="M303" i="97"/>
  <c r="I87" i="101"/>
  <c r="H302" i="97"/>
  <c r="H303" i="97" s="1"/>
  <c r="H310" i="97" s="1"/>
  <c r="I117" i="97"/>
  <c r="I359" i="97"/>
  <c r="H347" i="97"/>
  <c r="O110" i="101"/>
  <c r="P110" i="101" s="1"/>
  <c r="C302" i="97"/>
  <c r="C303" i="97" s="1"/>
  <c r="C310" i="97" s="1"/>
  <c r="D87" i="101"/>
  <c r="E310" i="97"/>
  <c r="E347" i="97"/>
  <c r="O62" i="101"/>
  <c r="O112" i="101"/>
  <c r="P112" i="101" s="1"/>
  <c r="J87" i="101"/>
  <c r="I302" i="97"/>
  <c r="I303" i="97" s="1"/>
  <c r="I310" i="97" s="1"/>
  <c r="M60" i="74"/>
  <c r="M62" i="74" s="1"/>
  <c r="M86" i="114"/>
  <c r="O73" i="101"/>
  <c r="C84" i="101"/>
  <c r="D117" i="97"/>
  <c r="D359" i="97"/>
  <c r="K347" i="97"/>
  <c r="G303" i="97"/>
  <c r="G310" i="97" s="1"/>
  <c r="L303" i="97"/>
  <c r="L310" i="97"/>
  <c r="L347" i="97"/>
  <c r="E302" i="97"/>
  <c r="F87" i="101"/>
  <c r="K60" i="74"/>
  <c r="K62" i="74" s="1"/>
  <c r="K86" i="114"/>
  <c r="O69" i="101"/>
  <c r="M87" i="101"/>
  <c r="L302" i="97"/>
  <c r="M310" i="97"/>
  <c r="M347" i="97"/>
  <c r="L73" i="114"/>
  <c r="L84" i="114" s="1"/>
  <c r="R27" i="74"/>
  <c r="R55" i="74" s="1"/>
  <c r="R16" i="74"/>
  <c r="G347" i="97"/>
  <c r="E303" i="97"/>
  <c r="N294" i="97"/>
  <c r="B347" i="97"/>
  <c r="L73" i="101"/>
  <c r="L84" i="101" s="1"/>
  <c r="K87" i="101"/>
  <c r="C61" i="74"/>
  <c r="O85" i="114"/>
  <c r="T16" i="74"/>
  <c r="T27" i="74"/>
  <c r="T55" i="74" s="1"/>
  <c r="G117" i="97"/>
  <c r="G359" i="97"/>
  <c r="H60" i="74"/>
  <c r="H62" i="74" s="1"/>
  <c r="H86" i="114"/>
  <c r="O86" i="101"/>
  <c r="B300" i="97"/>
  <c r="C84" i="114"/>
  <c r="O73" i="114"/>
  <c r="N359" i="97" l="1"/>
  <c r="L60" i="74"/>
  <c r="L86" i="114"/>
  <c r="R60" i="74"/>
  <c r="R62" i="74" s="1"/>
  <c r="C60" i="74"/>
  <c r="C86" i="114"/>
  <c r="O86" i="114" s="1"/>
  <c r="O84" i="114"/>
  <c r="S60" i="74"/>
  <c r="S62" i="74" s="1"/>
  <c r="I62" i="74"/>
  <c r="N300" i="97"/>
  <c r="N117" i="97"/>
  <c r="U55" i="74"/>
  <c r="K302" i="97"/>
  <c r="K303" i="97" s="1"/>
  <c r="K310" i="97" s="1"/>
  <c r="L87" i="101"/>
  <c r="N347" i="97"/>
  <c r="Q61" i="74"/>
  <c r="O61" i="74"/>
  <c r="O84" i="101"/>
  <c r="C87" i="101"/>
  <c r="B302" i="97"/>
  <c r="N302" i="97" s="1"/>
  <c r="O136" i="101"/>
  <c r="O138" i="101" s="1"/>
  <c r="O142" i="101" s="1"/>
  <c r="P62" i="101"/>
  <c r="P136" i="101" s="1"/>
  <c r="P138" i="101" s="1"/>
  <c r="P142" i="101" s="1"/>
  <c r="K117" i="97"/>
  <c r="K359" i="97"/>
  <c r="O87" i="101" l="1"/>
  <c r="B303" i="97"/>
  <c r="B310" i="97" s="1"/>
  <c r="O60" i="74"/>
  <c r="Q60" i="74"/>
  <c r="Q62" i="74" s="1"/>
  <c r="C62" i="74"/>
  <c r="N303" i="97"/>
  <c r="N310" i="97" s="1"/>
  <c r="T60" i="74"/>
  <c r="T62" i="74" s="1"/>
  <c r="L62" i="74"/>
  <c r="O62" i="74" l="1"/>
  <c r="U62" i="74"/>
</calcChain>
</file>

<file path=xl/comments1.xml><?xml version="1.0" encoding="utf-8"?>
<comments xmlns="http://schemas.openxmlformats.org/spreadsheetml/2006/main">
  <authors>
    <author>Enron</author>
  </authors>
  <commentList>
    <comment ref="B55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55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B56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57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F66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07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107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108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11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114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G19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3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8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9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48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183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2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2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234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5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64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02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30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</commentList>
</comments>
</file>

<file path=xl/sharedStrings.xml><?xml version="1.0" encoding="utf-8"?>
<sst xmlns="http://schemas.openxmlformats.org/spreadsheetml/2006/main" count="5495" uniqueCount="811">
  <si>
    <t>Transwestern Pipeline Company</t>
  </si>
  <si>
    <t>May</t>
  </si>
  <si>
    <t>Total</t>
  </si>
  <si>
    <t>DEMAND</t>
  </si>
  <si>
    <t>Volume, MMMBtu/d</t>
  </si>
  <si>
    <t>West</t>
  </si>
  <si>
    <t>East</t>
  </si>
  <si>
    <t>Ignacio</t>
  </si>
  <si>
    <t>San Juan</t>
  </si>
  <si>
    <t>Average Rate</t>
  </si>
  <si>
    <t>Revenues</t>
  </si>
  <si>
    <t>COMMODITY</t>
  </si>
  <si>
    <t>1st Quarter</t>
  </si>
  <si>
    <t>2nd Quarter</t>
  </si>
  <si>
    <t>3rd Quarter</t>
  </si>
  <si>
    <t>4th Quarter</t>
  </si>
  <si>
    <t>TRANSWESTERN PIPELINE COMPANY</t>
  </si>
  <si>
    <t xml:space="preserve">    ITS</t>
  </si>
  <si>
    <t xml:space="preserve">    FR</t>
  </si>
  <si>
    <t>TOTAL WEST</t>
  </si>
  <si>
    <t xml:space="preserve">    DEMAND </t>
  </si>
  <si>
    <t>TOTAL EAST</t>
  </si>
  <si>
    <t>Demand</t>
  </si>
  <si>
    <t>Comm</t>
  </si>
  <si>
    <t>WEST</t>
  </si>
  <si>
    <t>Price</t>
  </si>
  <si>
    <t xml:space="preserve"> </t>
  </si>
  <si>
    <t>Sempra</t>
  </si>
  <si>
    <t>Forecast</t>
  </si>
  <si>
    <t>Delivery Point</t>
  </si>
  <si>
    <t>Delivery Area</t>
  </si>
  <si>
    <t>Receipt Area</t>
  </si>
  <si>
    <t>Shipper Name</t>
  </si>
  <si>
    <t>Revenue</t>
  </si>
  <si>
    <t>Region</t>
  </si>
  <si>
    <t>Receipt Point</t>
  </si>
  <si>
    <t>Demand Rate</t>
  </si>
  <si>
    <t xml:space="preserve">SCS </t>
  </si>
  <si>
    <t>TCR</t>
  </si>
  <si>
    <t>GRD</t>
  </si>
  <si>
    <t>Volume</t>
  </si>
  <si>
    <t>PATH</t>
  </si>
  <si>
    <t>Contract</t>
  </si>
  <si>
    <t>Start Date</t>
  </si>
  <si>
    <t>Term Date</t>
  </si>
  <si>
    <t>Contract Demand</t>
  </si>
  <si>
    <t>Volume per Day</t>
  </si>
  <si>
    <t>Base</t>
  </si>
  <si>
    <t>Surcharges</t>
  </si>
  <si>
    <t>Number</t>
  </si>
  <si>
    <t>Rate</t>
  </si>
  <si>
    <t>Type</t>
  </si>
  <si>
    <t>FTS-1</t>
  </si>
  <si>
    <t>Service</t>
  </si>
  <si>
    <t>IGNACIO TO EL PASO BLANCO</t>
  </si>
  <si>
    <t>UAF</t>
  </si>
  <si>
    <t>Number of Days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</si>
  <si>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</si>
  <si>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</si>
  <si>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</si>
  <si>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</si>
  <si>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</si>
  <si>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</si>
  <si>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</si>
  <si>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</si>
  <si>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</si>
  <si>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</si>
  <si>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</si>
  <si>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Fuel</t>
  </si>
  <si>
    <t>Charge</t>
  </si>
  <si>
    <t>Code</t>
  </si>
  <si>
    <t>Volumes</t>
  </si>
  <si>
    <t>Rates</t>
  </si>
  <si>
    <t>Other Data Needed</t>
  </si>
  <si>
    <t xml:space="preserve">EAST           </t>
  </si>
  <si>
    <t xml:space="preserve">E. THOREAU  </t>
  </si>
  <si>
    <t xml:space="preserve">FTS-1   </t>
  </si>
  <si>
    <t xml:space="preserve">ITS-1   </t>
  </si>
  <si>
    <t xml:space="preserve">IGNACIO     </t>
  </si>
  <si>
    <t xml:space="preserve">SAN JUAN    </t>
  </si>
  <si>
    <t xml:space="preserve">THOREAU     </t>
  </si>
  <si>
    <t xml:space="preserve">W. THOREAU  </t>
  </si>
  <si>
    <t xml:space="preserve">IGNACIO        </t>
  </si>
  <si>
    <t xml:space="preserve">IGN_BLANCO     </t>
  </si>
  <si>
    <t xml:space="preserve">WEST           </t>
  </si>
  <si>
    <t xml:space="preserve">Total of EAST           </t>
  </si>
  <si>
    <t xml:space="preserve">Total EAST           </t>
  </si>
  <si>
    <t xml:space="preserve">Total of IGNACIO        </t>
  </si>
  <si>
    <t xml:space="preserve">Total IGNACIO        </t>
  </si>
  <si>
    <t xml:space="preserve">Total of IGN_BLANCO     </t>
  </si>
  <si>
    <t xml:space="preserve">Total IGN_BLANCO     </t>
  </si>
  <si>
    <t xml:space="preserve">Total of WEST           </t>
  </si>
  <si>
    <t xml:space="preserve">Total WEST           </t>
  </si>
  <si>
    <t>RES</t>
  </si>
  <si>
    <t>Summary Demand Report</t>
  </si>
  <si>
    <t>U S GAS TRANSPORTATION, INC.</t>
  </si>
  <si>
    <t>RICHARDSON PRODUCTS COMPANY</t>
  </si>
  <si>
    <t>EASTERN NEW MEXICO GAS ASSOCIATION</t>
  </si>
  <si>
    <t>DUKE ENERGY TRADING AND MARKETING,L.L.C.</t>
  </si>
  <si>
    <t>AGAVE ENERGY CO.</t>
  </si>
  <si>
    <t>ASTRA POWER LLC</t>
  </si>
  <si>
    <t>PNM GAS SERVICES</t>
  </si>
  <si>
    <t>ENRON NORTH AMERICA CORP.</t>
  </si>
  <si>
    <t>SEMPRA ENERGY TRADING CORP.</t>
  </si>
  <si>
    <t>NEW MEXICO NATURAL GAS INC</t>
  </si>
  <si>
    <t>ONEOK ENERGY MARKETING AND TRADING COMPA</t>
  </si>
  <si>
    <t>BURLINGTON RESOURCES TRADING, INC.</t>
  </si>
  <si>
    <t>RELIANT ENERGY SERVICES, INC.</t>
  </si>
  <si>
    <t>TEXACO NATURAL GAS, INC.</t>
  </si>
  <si>
    <t>EL PASO MERCHANT ENERGY, L.P.</t>
  </si>
  <si>
    <t>WILLIAMS ENERGY MARKETING &amp; TRADING CO.</t>
  </si>
  <si>
    <t>BP ENERGY COMPANY</t>
  </si>
  <si>
    <t>RED CEDAR GATHERING COMPANY</t>
  </si>
  <si>
    <t>PHILLIPS PETROLEUM COMPANY</t>
  </si>
  <si>
    <t>PAN-ALBERTA GAS (U.S.), INC.</t>
  </si>
  <si>
    <t>PG&amp;E ENERGY TRADING-GAS CORPORATION</t>
  </si>
  <si>
    <t>SOUTHERN CALIFORNIA GAS COMPANY</t>
  </si>
  <si>
    <t>ARIZONA PUBLIC SERVICE COMPANY</t>
  </si>
  <si>
    <t>TXU ENERGY TRADING COMPANY</t>
  </si>
  <si>
    <t>NORTH STAR STEEL COMPANY</t>
  </si>
  <si>
    <t>SACRAMENTO MUNICIPAL UTILITY DISTRICT</t>
  </si>
  <si>
    <t>SOUTHERN ENERGY, INC.</t>
  </si>
  <si>
    <t>EL PASO ENERGY MARKETING COMPANY</t>
  </si>
  <si>
    <t>PACIFIC GAS AND ELECTRIC COMPANY</t>
  </si>
  <si>
    <t>CONOCO, INC.</t>
  </si>
  <si>
    <t xml:space="preserve">  </t>
  </si>
  <si>
    <t>SOUTHERN UTE INDIAN TRIBE</t>
  </si>
  <si>
    <t xml:space="preserve">SAN JUAN       </t>
  </si>
  <si>
    <t xml:space="preserve">Total of SAN JUAN       </t>
  </si>
  <si>
    <t xml:space="preserve">Total SAN JUAN       </t>
  </si>
  <si>
    <t>Demand Summary</t>
  </si>
  <si>
    <t>EAST           EOT -EOT</t>
  </si>
  <si>
    <t>EAST           IG - EOT</t>
  </si>
  <si>
    <t>EAST           SJ - EOT</t>
  </si>
  <si>
    <t>EAST           THOR- EOT</t>
  </si>
  <si>
    <t>EAST           WOT -EOT</t>
  </si>
  <si>
    <t>SAN JUAN       SJ - SJ</t>
  </si>
  <si>
    <t>SAN JUAN       SJ - THOR</t>
  </si>
  <si>
    <t>WEST           EOT- WOT</t>
  </si>
  <si>
    <t>WEST           IG - WOT</t>
  </si>
  <si>
    <t>WEST           SJ - WOT</t>
  </si>
  <si>
    <t>WEST           THOR - WOT</t>
  </si>
  <si>
    <t>Total Fuel</t>
  </si>
  <si>
    <t>Total WEST          DEMAND</t>
  </si>
  <si>
    <t>Total SAN JUAN       DEMAND</t>
  </si>
  <si>
    <t>Total IGN_BLANCO     DEMAND</t>
  </si>
  <si>
    <t>Total IGNACIO        DEMAND</t>
  </si>
  <si>
    <t>Total EAST           DEMAND</t>
  </si>
  <si>
    <t>EAST           EOT to EOT</t>
  </si>
  <si>
    <t>EAST           IG to EOT</t>
  </si>
  <si>
    <t>EAST           SJ to EOT</t>
  </si>
  <si>
    <t>EAST           Thor to EOT</t>
  </si>
  <si>
    <t>EAST           WOT to EOT</t>
  </si>
  <si>
    <t>SAN JUAN       SJ to SJ</t>
  </si>
  <si>
    <t>SAN JUAN       SJ to THOR</t>
  </si>
  <si>
    <t>WEST           EOT to WOT</t>
  </si>
  <si>
    <t>WEST           IG to WOT</t>
  </si>
  <si>
    <t>WEST           SJ to WOT</t>
  </si>
  <si>
    <t>WEST           THOR to WOT</t>
  </si>
  <si>
    <t>WEST           WOT to WOT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</si>
  <si>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</si>
  <si>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</si>
  <si>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</si>
  <si>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</si>
  <si>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</si>
  <si>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 to EP Blanco (.25%)</t>
  </si>
  <si>
    <t xml:space="preserve">   IG to Blanco Hub and SJ to Thor (.25%)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</si>
  <si>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</si>
  <si>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</si>
  <si>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</si>
  <si>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</si>
  <si>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</si>
  <si>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</si>
  <si>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</si>
  <si>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 to EP Blanco </t>
  </si>
  <si>
    <t xml:space="preserve">   IG to Blanco Hub and SJ to Thor </t>
  </si>
  <si>
    <t xml:space="preserve">   IG/SJ to East </t>
  </si>
  <si>
    <t xml:space="preserve">   East to East </t>
  </si>
  <si>
    <t>Total Daily Receipts</t>
  </si>
  <si>
    <t>Back off:</t>
  </si>
  <si>
    <t>Adjusted Total Daily Receipts</t>
  </si>
  <si>
    <t>Total Monthly Receipts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</si>
  <si>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</si>
  <si>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</si>
  <si>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</si>
  <si>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</si>
  <si>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</si>
  <si>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</si>
  <si>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Total Retained $</t>
  </si>
  <si>
    <t>Additional Revenue from Selling Hedged Volumes</t>
  </si>
  <si>
    <t>Less: Fuel Used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</si>
  <si>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</si>
  <si>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</si>
  <si>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</si>
  <si>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</si>
  <si>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</si>
  <si>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</si>
  <si>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</si>
  <si>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</si>
  <si>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</si>
  <si>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Unhedged Volumes</t>
  </si>
  <si>
    <t>Less: Total UAF</t>
  </si>
  <si>
    <t>Factor being used</t>
  </si>
  <si>
    <t>UAF Volume</t>
  </si>
  <si>
    <t>UAF Dollar</t>
  </si>
  <si>
    <t>2001 Plan UAF Calculation</t>
  </si>
  <si>
    <t>Excess Fuel Volumes</t>
  </si>
  <si>
    <t>Hedged volumes</t>
  </si>
  <si>
    <t>Unhedged Volumes available</t>
  </si>
  <si>
    <t>Negociated Rate Deal Diff. - East to West</t>
  </si>
  <si>
    <t>Negociated Rate Deal Diff. - San Juan to West</t>
  </si>
  <si>
    <t>Negociated Rate Deal Diff. - East to East</t>
  </si>
  <si>
    <t>Negociated Rate Deal Diff. - San Juan to East</t>
  </si>
  <si>
    <t xml:space="preserve">   San Juan to Thoreau/ Ignacio to Blanco Hub Del. Vols.</t>
  </si>
  <si>
    <t>DUKE ENERGY FIELD SERVICES, LP</t>
  </si>
  <si>
    <t>Negociated Rate Deal Diff. - Ignacio to Blanco</t>
  </si>
  <si>
    <t>IGNACIO        EL PASO BLANCO</t>
  </si>
  <si>
    <t>IGNACIO        IG to EL PASO BLANCO</t>
  </si>
  <si>
    <t>IGN_BLANCO     IG to BLANCO HUB</t>
  </si>
  <si>
    <t>Calculated Total Fuel Upside</t>
  </si>
  <si>
    <t xml:space="preserve">  Calculated Total Fuel Upside</t>
  </si>
  <si>
    <t>Fuel Revenue on Unhedged</t>
  </si>
  <si>
    <t>Original Hegded Fuel Revenue</t>
  </si>
  <si>
    <t>Additional Hedged fuel Revenue</t>
  </si>
  <si>
    <t>Commodity</t>
  </si>
  <si>
    <t>Commodity               Commodity</t>
  </si>
  <si>
    <t>DATA INPUT SCREEN</t>
  </si>
  <si>
    <t>CITIZENS COMMUNICATIONS COMPANY</t>
  </si>
  <si>
    <t>WEST           WOT - WOT</t>
  </si>
  <si>
    <t>Negociated Rate Deal Diff. - Ignacio  (to El Paso)</t>
  </si>
  <si>
    <t>WEST:  THOREAU</t>
  </si>
  <si>
    <t xml:space="preserve">    FTS</t>
  </si>
  <si>
    <t xml:space="preserve">    TOTAL THOREAU TO WEST</t>
  </si>
  <si>
    <t>WEST: EAST OF THOREAU</t>
  </si>
  <si>
    <t xml:space="preserve">   LFT</t>
  </si>
  <si>
    <t xml:space="preserve">    TOTAL EAST OF THOREAU TO WEST</t>
  </si>
  <si>
    <t>WEST: IGNACIO</t>
  </si>
  <si>
    <t xml:space="preserve">    TOTAL IGNACIO TO WEST</t>
  </si>
  <si>
    <t>WEST: SAN JUAN</t>
  </si>
  <si>
    <t xml:space="preserve">    LFT--San Juan</t>
  </si>
  <si>
    <t xml:space="preserve">    TOTAL SAN JUAN TO WEST</t>
  </si>
  <si>
    <t xml:space="preserve">         SUBTOTAL WEST DEMAND</t>
  </si>
  <si>
    <t xml:space="preserve">         SUBTOTAL WEST COMMODITY</t>
  </si>
  <si>
    <t>EAST</t>
  </si>
  <si>
    <t>EAST: WEST OF THOREAU and Thoreau</t>
  </si>
  <si>
    <t xml:space="preserve">    TOTAL THOREAU TO EAST</t>
  </si>
  <si>
    <t>EAST: EAST TO EAST</t>
  </si>
  <si>
    <t xml:space="preserve">    PNR-East of Thoreau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</si>
  <si>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</si>
  <si>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</si>
  <si>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</si>
  <si>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</si>
  <si>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</si>
  <si>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 xml:space="preserve">         SUBTOTAL EAST DEMAND</t>
  </si>
  <si>
    <t xml:space="preserve">         SUBTOTAL EAST COMMODITY</t>
  </si>
  <si>
    <t>IGNACIO/BLANCO</t>
  </si>
  <si>
    <t>IGNACIO TO BLANCO HUB</t>
  </si>
  <si>
    <t xml:space="preserve">     TOTAL IGNACIO TO BLANCO HUB</t>
  </si>
  <si>
    <t xml:space="preserve">         SUBTOTAL IGNACIO DEMAND</t>
  </si>
  <si>
    <t xml:space="preserve">         SUBTOTAL IGNACIO COMMODITY</t>
  </si>
  <si>
    <t>TOTAL IGNACIO</t>
  </si>
  <si>
    <t>SAN JUAN</t>
  </si>
  <si>
    <t>SAN JUAN TO THOREAU:</t>
  </si>
  <si>
    <t xml:space="preserve">   FR</t>
  </si>
  <si>
    <t xml:space="preserve">      SUBTOTAL SAN JUAN DEMAND</t>
  </si>
  <si>
    <t xml:space="preserve">      SUBTOTAL SAN JUAN COMMODITY</t>
  </si>
  <si>
    <t>TOTAL SAN JUAN</t>
  </si>
  <si>
    <t>COMPANY TOTAL</t>
  </si>
  <si>
    <t xml:space="preserve">    PNR</t>
  </si>
  <si>
    <t xml:space="preserve">    LFT</t>
  </si>
  <si>
    <t>TOTAL COMPANY DEMAND</t>
  </si>
  <si>
    <t>TOTAL COMPANY COMMODITY</t>
  </si>
  <si>
    <t>TOTAL COMPANY</t>
  </si>
  <si>
    <t>MARGIN CALCULATION</t>
  </si>
  <si>
    <t>COST OF TRANSPORT:</t>
  </si>
  <si>
    <t xml:space="preserve">TCR  AMORTIZATION EXPENSE </t>
  </si>
  <si>
    <t>GRI,ACA EXPENSE</t>
  </si>
  <si>
    <t>NET FUEL EXPENSE (RETAINED)</t>
  </si>
  <si>
    <t>TOTAL COST OF TRANSPORT</t>
  </si>
  <si>
    <t>BASS ENTERPRISES PRODUCTION COMPANY</t>
  </si>
  <si>
    <t>GRI</t>
  </si>
  <si>
    <t>Area</t>
  </si>
  <si>
    <t>MDQ</t>
  </si>
  <si>
    <t>EOT to WOT</t>
  </si>
  <si>
    <t>Agave</t>
  </si>
  <si>
    <t>SoCal</t>
  </si>
  <si>
    <t>PG&amp;E</t>
  </si>
  <si>
    <t>APS</t>
  </si>
  <si>
    <t>Duke</t>
  </si>
  <si>
    <t>Reliant</t>
  </si>
  <si>
    <t>Mavrix</t>
  </si>
  <si>
    <t>Thoreau to WOT</t>
  </si>
  <si>
    <t>CFS Rate</t>
  </si>
  <si>
    <t>Conoco</t>
  </si>
  <si>
    <t>SMUD</t>
  </si>
  <si>
    <t>4/31/2007</t>
  </si>
  <si>
    <t>Special Calc</t>
  </si>
  <si>
    <t>Amoco</t>
  </si>
  <si>
    <t>Engage</t>
  </si>
  <si>
    <t>TXU</t>
  </si>
  <si>
    <t>Dynegy</t>
  </si>
  <si>
    <t>Santa Fe</t>
  </si>
  <si>
    <t>ECT</t>
  </si>
  <si>
    <t>Assumed Resubscription</t>
  </si>
  <si>
    <t>Phillips</t>
  </si>
  <si>
    <t>Williams</t>
  </si>
  <si>
    <t>BP Energy</t>
  </si>
  <si>
    <t>Red Cedar</t>
  </si>
  <si>
    <t>East to East</t>
  </si>
  <si>
    <t>PNM (*Season)</t>
  </si>
  <si>
    <t>24198*SC</t>
  </si>
  <si>
    <t>Richardson</t>
  </si>
  <si>
    <t>Continental</t>
  </si>
  <si>
    <t>E.New Mexico</t>
  </si>
  <si>
    <t>Burlington</t>
  </si>
  <si>
    <t>27137/NS</t>
  </si>
  <si>
    <t>USGT</t>
  </si>
  <si>
    <t>26490***</t>
  </si>
  <si>
    <t>New Mexico Natural</t>
  </si>
  <si>
    <t xml:space="preserve">PNM  </t>
  </si>
  <si>
    <t>Astra Power</t>
  </si>
  <si>
    <t>SJ (1) Exp</t>
  </si>
  <si>
    <t>Special Calc:1 -part</t>
  </si>
  <si>
    <t>Emerald Gas</t>
  </si>
  <si>
    <t>Valero</t>
  </si>
  <si>
    <t xml:space="preserve">SJ(1) Exp </t>
  </si>
  <si>
    <t>Max Rates</t>
  </si>
  <si>
    <t>SJ(1) Exp</t>
  </si>
  <si>
    <t>INPUTS FOR DEMAND REVENUES AND VOLUMES</t>
  </si>
  <si>
    <t>DAYS OF MONTH</t>
  </si>
  <si>
    <t>MARGIN SUMMARY</t>
  </si>
  <si>
    <t>1st Qtr</t>
  </si>
  <si>
    <t>2nd Qtr</t>
  </si>
  <si>
    <t>3rd Qtr</t>
  </si>
  <si>
    <t>4th Qtr</t>
  </si>
  <si>
    <t>2001 Annual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</si>
  <si>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</si>
  <si>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</si>
  <si>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</si>
  <si>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</si>
  <si>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</si>
  <si>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</si>
  <si>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</si>
  <si>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</si>
  <si>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</si>
  <si>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</si>
  <si>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</si>
  <si>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</si>
  <si>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</si>
  <si>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TSPT VOLUME (MMMBTU/DAY)</t>
  </si>
  <si>
    <t>WEST: THOREAU</t>
  </si>
  <si>
    <t xml:space="preserve">    FTS </t>
  </si>
  <si>
    <t xml:space="preserve">    FR </t>
  </si>
  <si>
    <t xml:space="preserve">    ITS  (incl.West of Thoreau)</t>
  </si>
  <si>
    <t xml:space="preserve">WEST: EAST OF THOREAU </t>
  </si>
  <si>
    <t xml:space="preserve">    ITS </t>
  </si>
  <si>
    <t>WEST:  SAN JUAN</t>
  </si>
  <si>
    <t>TOTAL TRANSPORT WEST</t>
  </si>
  <si>
    <t>TOTAL DEMAND WEST</t>
  </si>
  <si>
    <t>TOTAL TRANSPORT EAST</t>
  </si>
  <si>
    <t>TOTAL DEMAND EAST</t>
  </si>
  <si>
    <t xml:space="preserve">    DEMAND</t>
  </si>
  <si>
    <t xml:space="preserve">     TOTAL IGNACIO TO EL PASO BLANCO</t>
  </si>
  <si>
    <t>TOTAL TRANSPORT IGNACIO/BLANCO</t>
  </si>
  <si>
    <t>TOTAL DEMAND IGNACIO/BLANCO</t>
  </si>
  <si>
    <t>THOREAU:  SAN JUAN</t>
  </si>
  <si>
    <t>TOTAL TRANSPORT SAN JUAN</t>
  </si>
  <si>
    <t>TOTAL SAN JUAN DEMAND</t>
  </si>
  <si>
    <t xml:space="preserve">     (Total Lateral Demand)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</si>
  <si>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</si>
  <si>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</si>
  <si>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</si>
  <si>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</si>
  <si>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</si>
  <si>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</si>
  <si>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 IGNACIO</t>
  </si>
  <si>
    <t xml:space="preserve">EAST:  WEST OF THOREAU </t>
  </si>
  <si>
    <t>EAST:  EAST TO EAST</t>
  </si>
  <si>
    <t>EAST:  IGNACIO TO EAST</t>
  </si>
  <si>
    <t xml:space="preserve">TSPT REVENUE </t>
  </si>
  <si>
    <t>SANTA FE SETTLEMENT</t>
  </si>
  <si>
    <t>Hedging</t>
  </si>
  <si>
    <t>Alternate Receipt points reserve reversal</t>
  </si>
  <si>
    <t>Forecast Adjustment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</si>
  <si>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</si>
  <si>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</si>
  <si>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</si>
  <si>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</si>
  <si>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</si>
  <si>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</si>
  <si>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</si>
  <si>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</si>
  <si>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</si>
  <si>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</si>
  <si>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</si>
  <si>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</si>
  <si>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</si>
  <si>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</si>
  <si>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</si>
  <si>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</si>
  <si>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</si>
  <si>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</si>
  <si>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</si>
  <si>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</si>
  <si>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</si>
  <si>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</si>
  <si>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</si>
  <si>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</si>
  <si>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</si>
  <si>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</si>
  <si>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</si>
  <si>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</si>
  <si>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</si>
  <si>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</si>
  <si>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</si>
  <si>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</si>
  <si>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</si>
  <si>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</si>
  <si>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Thoreau/ Ignacio to Blanco</t>
  </si>
  <si>
    <t>Ignacio to El Paso Blanco</t>
  </si>
  <si>
    <t>TOTAL FUEL GROSS UP</t>
  </si>
  <si>
    <t>LESS FUEL USE</t>
  </si>
  <si>
    <t xml:space="preserve">NET FUEL </t>
  </si>
  <si>
    <t>INDEX PRICE</t>
  </si>
  <si>
    <t>SOUTHWEST GAS CORPORATION</t>
  </si>
  <si>
    <t>MAVRIX TRANSPORTATION TRADING COMPANY</t>
  </si>
  <si>
    <t>DYNEGY MARKETING AND TRADE</t>
  </si>
  <si>
    <t>2002 - 2005 Surcharge Detail</t>
  </si>
  <si>
    <t>Note: These surcharges are included in the total rates and margin calculations, this page is FYI</t>
  </si>
  <si>
    <t>TWO-PART or MAX RATE DEMAND VOLUME BREAKOUT Summary</t>
  </si>
  <si>
    <t>Fuel used percentage</t>
  </si>
  <si>
    <t>UAF percentage</t>
  </si>
  <si>
    <t>Hedged Price</t>
  </si>
  <si>
    <t>Hedged volume</t>
  </si>
  <si>
    <t>CALCULATION</t>
  </si>
  <si>
    <t>Unhedged Monthly Index Price</t>
  </si>
  <si>
    <t>COMMODITY VOLUME LOAD FACTORS</t>
  </si>
  <si>
    <t>EAST :  From EOT, WOT &amp; Thoreau</t>
  </si>
  <si>
    <t>EAST :  From IG &amp; SJ</t>
  </si>
  <si>
    <t>IGNACIO:  To El Paso Blanco</t>
  </si>
  <si>
    <t>IGNACIO_BLANCO:  To Blanco Hub</t>
  </si>
  <si>
    <t>THOREAU:  From SJ</t>
  </si>
  <si>
    <t>WEST:  From EOT</t>
  </si>
  <si>
    <t>WEST:  From IG &amp; SJ</t>
  </si>
  <si>
    <t>WEST:  From Thoreau &amp; WOT</t>
  </si>
  <si>
    <t>INPUT</t>
  </si>
  <si>
    <t>REVENUE DIFFERENCE FOR NEGOTIATED RATE DEALS</t>
  </si>
  <si>
    <t>FINAL DEMAND REVENUES AND VOLUMES</t>
  </si>
  <si>
    <t>"COPY/PASTE" FROM DEMAND SUMMARY TAB</t>
  </si>
  <si>
    <t>ADDITIONAL DEMAND (LFT, Daily Firms, etc.)</t>
  </si>
  <si>
    <t>Plan</t>
  </si>
  <si>
    <t>2002 PLAN</t>
  </si>
  <si>
    <t>S:\Marketing\TWFIN\MKT_ANLY\TW\TWFIN\2001\Misc\[PLAN_FORECAST_DESIGN.xls]/Summary</t>
  </si>
  <si>
    <t>FTS-1 COMMODITY REVENUE AND VOLUMES</t>
  </si>
  <si>
    <t>Separated for FINAL DEMAND REVENUE Calculation</t>
  </si>
  <si>
    <t>CALC</t>
  </si>
  <si>
    <t>ONE-PART RATE CONTRACTS - DEMAND COMMODITY CREDIT</t>
  </si>
  <si>
    <t>ONE-PART RATE DEMAND CONTRACTS VOLUMES</t>
  </si>
  <si>
    <t>Transwestern Long-Term Revenues:</t>
  </si>
  <si>
    <t>Start Term/</t>
  </si>
  <si>
    <t>Term</t>
  </si>
  <si>
    <t>#</t>
  </si>
  <si>
    <t>Dem/M</t>
  </si>
  <si>
    <t>Dem/D</t>
  </si>
  <si>
    <t>Total Rate</t>
  </si>
  <si>
    <t>Delivery</t>
  </si>
  <si>
    <t>Rec</t>
  </si>
  <si>
    <t xml:space="preserve">Del </t>
  </si>
  <si>
    <t>CR#</t>
  </si>
  <si>
    <t>Description</t>
  </si>
  <si>
    <t>End</t>
  </si>
  <si>
    <t>Days</t>
  </si>
  <si>
    <t>MMBtu</t>
  </si>
  <si>
    <t>$</t>
  </si>
  <si>
    <t>$ Revenue</t>
  </si>
  <si>
    <t>Point</t>
  </si>
  <si>
    <t>Summary</t>
  </si>
  <si>
    <t>EOT</t>
  </si>
  <si>
    <t>1-part</t>
  </si>
  <si>
    <t>Lone Star Pecos</t>
  </si>
  <si>
    <t>Verify rate with Brenda or CMS.  Rate changes every 12 months of continuous gas flow.</t>
  </si>
  <si>
    <t>ML East</t>
  </si>
  <si>
    <t>Volumetric</t>
  </si>
  <si>
    <t>Cen Pool to E. New Mexico</t>
  </si>
  <si>
    <t>Pool to East</t>
  </si>
  <si>
    <t>KN Processing</t>
  </si>
  <si>
    <t>Hemphill to NNG Beaver</t>
  </si>
  <si>
    <t xml:space="preserve">     26490***</t>
  </si>
  <si>
    <t>1-Part</t>
  </si>
  <si>
    <t>$.14 West/$.06 East rates</t>
  </si>
  <si>
    <t>EOTWOT</t>
  </si>
  <si>
    <t>Optional 2nd Term after October 31, 2001 at $.01 higher rate</t>
  </si>
  <si>
    <t>1 Part</t>
  </si>
  <si>
    <t>WOT - Valero Pecos</t>
  </si>
  <si>
    <t>WOT</t>
  </si>
  <si>
    <t>New Mexico</t>
  </si>
  <si>
    <t>New Mexico Nat Gas</t>
  </si>
  <si>
    <t>Alt. To Border ($.015), E to E Demand Rate Increase to $.02????</t>
  </si>
  <si>
    <t>eot</t>
  </si>
  <si>
    <t>Duke Energy</t>
  </si>
  <si>
    <t>W. TX Gas</t>
  </si>
  <si>
    <t>Cen Pool to W TX Winkler</t>
  </si>
  <si>
    <t>Alt. Sharing to Cal. Border(70/30)</t>
  </si>
  <si>
    <t>Bass Enterprises</t>
  </si>
  <si>
    <t>MDQ changes monthly</t>
  </si>
  <si>
    <t>80 MM/D (Jan,Feb,Nov,Dec) 35 MM/D (Mar,April,Oct) 20 MM/D - Remaining months - Max Rate.</t>
  </si>
  <si>
    <t>Avg. Rate =</t>
  </si>
  <si>
    <t>IG</t>
  </si>
  <si>
    <t>Fixed</t>
  </si>
  <si>
    <t>San Juan Expansion</t>
  </si>
  <si>
    <t>Ignacio - Oasis</t>
  </si>
  <si>
    <t>fixed</t>
  </si>
  <si>
    <t>SJ</t>
  </si>
  <si>
    <t>Blmfield to  Val Ward &amp; Oasis</t>
  </si>
  <si>
    <t>Bloomfield to East</t>
  </si>
  <si>
    <t>Esc. $.005/yr</t>
  </si>
  <si>
    <t>ML Exp. East</t>
  </si>
  <si>
    <t>IGBH</t>
  </si>
  <si>
    <t>Ign - Blanco</t>
  </si>
  <si>
    <t>Ignacio to Blanco &amp; I/B Link</t>
  </si>
  <si>
    <t>Ignacio to I/B Link</t>
  </si>
  <si>
    <t>PNM</t>
  </si>
  <si>
    <t>Ignacio - IB Link</t>
  </si>
  <si>
    <t>SoCal/Pan Alberta</t>
  </si>
  <si>
    <t>La Plata to I/B Link</t>
  </si>
  <si>
    <t>Sempra Energy</t>
  </si>
  <si>
    <t>IGEP</t>
  </si>
  <si>
    <t>Southern Ute</t>
  </si>
  <si>
    <t>Bloomfield / Blanco</t>
  </si>
  <si>
    <t xml:space="preserve">Ignacio to Blanco </t>
  </si>
  <si>
    <t>Fixed-Changes 4/1/01;11/1/01;4/1/02;11/1/02;4/1/03;11/1/03;4/1/04;11/1/04;4/1/05;11/1/05</t>
  </si>
  <si>
    <t>Ignacio - EL Paso Blanco</t>
  </si>
  <si>
    <t>70% min load Factor.</t>
  </si>
  <si>
    <t>Texaco Natural</t>
  </si>
  <si>
    <t>T</t>
  </si>
  <si>
    <t>SJ Original</t>
  </si>
  <si>
    <t>Pacific G&amp;E</t>
  </si>
  <si>
    <t>Special Cal.</t>
  </si>
  <si>
    <t>San Juan + I-B Alt RP's</t>
  </si>
  <si>
    <t>Navajo Tribe</t>
  </si>
  <si>
    <t>FTS-2 / mo to mo</t>
  </si>
  <si>
    <t>Blanco Hub to Standing Rock</t>
  </si>
  <si>
    <t>Duke(PG&amp;E Release)</t>
  </si>
  <si>
    <t>Citizens Util</t>
  </si>
  <si>
    <t>El Paso(PG&amp;E Release)</t>
  </si>
  <si>
    <t>SoCal*</t>
  </si>
  <si>
    <t>Original Cap.</t>
  </si>
  <si>
    <t>Various to Needles</t>
  </si>
  <si>
    <t>1 part</t>
  </si>
  <si>
    <t>EOT to CA</t>
  </si>
  <si>
    <t>W Tx Pool - Socal Ne</t>
  </si>
  <si>
    <t>Mercado</t>
  </si>
  <si>
    <t>EOT-WOT</t>
  </si>
  <si>
    <t>Arizona Pub Ser</t>
  </si>
  <si>
    <t>EOT-SoCal Topock</t>
  </si>
  <si>
    <t>IOS #13 Winner</t>
  </si>
  <si>
    <t>RevisedDuke Energy</t>
  </si>
  <si>
    <t>EOT to SoCal (Blended Rate)</t>
  </si>
  <si>
    <t>Gallup Expansion</t>
  </si>
  <si>
    <t>SW Gas</t>
  </si>
  <si>
    <t>OneOK Energy</t>
  </si>
  <si>
    <t>If released - we'll share 50/50</t>
  </si>
  <si>
    <t xml:space="preserve">1-part (Nov Rate Change) </t>
  </si>
  <si>
    <t>Florida/Bloomfield to West</t>
  </si>
  <si>
    <t>Special Calc: Alt</t>
  </si>
  <si>
    <t>Bloomfield - CA (April Change)</t>
  </si>
  <si>
    <t>Bloomfield - CA</t>
  </si>
  <si>
    <t>Bloomfield-CA (no fuel)</t>
  </si>
  <si>
    <t xml:space="preserve">Southern </t>
  </si>
  <si>
    <t>Gallup</t>
  </si>
  <si>
    <t>sj - wot</t>
  </si>
  <si>
    <t>sj</t>
  </si>
  <si>
    <t>NSS</t>
  </si>
  <si>
    <t>SJ TO WOT</t>
  </si>
  <si>
    <t>SJ to Cal.</t>
  </si>
  <si>
    <t>EP</t>
  </si>
  <si>
    <t>Santa Fe/Texaco*</t>
  </si>
  <si>
    <t>Thoreau to Topock</t>
  </si>
  <si>
    <t>Conoco*</t>
  </si>
  <si>
    <t>ML Exp. West</t>
  </si>
  <si>
    <t>Thoreau to Needles</t>
  </si>
  <si>
    <t>Pacific G&amp;E*</t>
  </si>
  <si>
    <t>Citizens Util*</t>
  </si>
  <si>
    <t>Thoreau to Flagstaff</t>
  </si>
  <si>
    <t>North Star Steele</t>
  </si>
  <si>
    <t>05/01/01</t>
  </si>
  <si>
    <t>05/31/02</t>
  </si>
  <si>
    <t>Placeholder</t>
  </si>
  <si>
    <t xml:space="preserve">Firm Delivery "Place Holder" </t>
  </si>
  <si>
    <t>Avg Dem</t>
  </si>
  <si>
    <t>Avg Com</t>
  </si>
  <si>
    <t>Avg Deal</t>
  </si>
  <si>
    <t>Long Term</t>
  </si>
  <si>
    <t>Max rates</t>
  </si>
  <si>
    <t>ITS-1 COMMODITY REVENUE AND VOLUMES</t>
  </si>
  <si>
    <t>2002 Plan</t>
  </si>
  <si>
    <t>Inclusion Key</t>
  </si>
  <si>
    <t>Y</t>
  </si>
  <si>
    <t>Y = Yes, include in 2002 Plan.     N = No, not included in 2002 Plan.</t>
  </si>
  <si>
    <t>Company</t>
  </si>
  <si>
    <t>IGNACIO TO EL PASO BLANCO HUB</t>
  </si>
  <si>
    <t xml:space="preserve">   PNR</t>
  </si>
  <si>
    <t>CALCULATION  - ONLY INPUT COMMODITY RATES</t>
  </si>
  <si>
    <t>2-part</t>
  </si>
  <si>
    <t>NEG-Max Rates</t>
  </si>
  <si>
    <t>PPL</t>
  </si>
  <si>
    <t>Western</t>
  </si>
  <si>
    <t>Oneok</t>
  </si>
  <si>
    <t>Calpine</t>
  </si>
  <si>
    <t>US Gypsum</t>
  </si>
  <si>
    <t>Frito Lay</t>
  </si>
  <si>
    <t xml:space="preserve">APS </t>
  </si>
  <si>
    <t>TOTAL EOT TO WOT</t>
  </si>
  <si>
    <t xml:space="preserve">       Subtotal Other</t>
  </si>
  <si>
    <t xml:space="preserve">       Subtotal Red Rock</t>
  </si>
  <si>
    <t>#  Days</t>
  </si>
  <si>
    <t>Red Rock</t>
  </si>
  <si>
    <t>One -part</t>
  </si>
  <si>
    <t>Negotiated rate</t>
  </si>
  <si>
    <t>IGNACIO - TO EL PASO BLANCO</t>
  </si>
  <si>
    <t>TOTAL IGNACIO TO EL PASO BLANCO</t>
  </si>
  <si>
    <t>BP</t>
  </si>
  <si>
    <t>Place Holder</t>
  </si>
  <si>
    <t>TOTAL '02</t>
  </si>
  <si>
    <t>Less: Adjustment for Hedging (5/d)</t>
  </si>
  <si>
    <t>Additional Fuel Information</t>
  </si>
  <si>
    <t>EOT to EOT</t>
  </si>
  <si>
    <t>TOTAL EOT TO EOT</t>
  </si>
  <si>
    <t>PG&amp;E (Resubscribe)</t>
  </si>
  <si>
    <t>Sid Richardson (Resubscribe)</t>
  </si>
  <si>
    <t>Duke (Resubscribe)</t>
  </si>
  <si>
    <t>KN Processing (Resubscribe)</t>
  </si>
  <si>
    <t>TOTAL SJ TO WOT</t>
  </si>
  <si>
    <t>NEGOCIATED RATE CONTRACTS - ADDITIONAL REVENUE ABOVE MAX RATES</t>
  </si>
  <si>
    <t>Negociated Rate Contracts</t>
  </si>
  <si>
    <t xml:space="preserve">Reliant </t>
  </si>
  <si>
    <t>Dynegy  - INDEX REVENUE</t>
  </si>
  <si>
    <t>Dynegy  - CBS Max Demand</t>
  </si>
  <si>
    <t>Dynegy  - CBS Commodity</t>
  </si>
  <si>
    <t>Dynegy  - Plan Model Fuel Retainage</t>
  </si>
  <si>
    <t>%</t>
  </si>
  <si>
    <t>Reliant  - CBS Max Demand</t>
  </si>
  <si>
    <t>Reliant  - CBS Commodity</t>
  </si>
  <si>
    <t>Reliant  - Plan Model Fuel Retainage</t>
  </si>
  <si>
    <t>ANNUAL TOTAL ADDITIONAL</t>
  </si>
  <si>
    <t>Oneok (Resubscribe)</t>
  </si>
  <si>
    <t>Negoti. Deals Adjustment to Fuel Retainage Calc.(sj to wot)</t>
  </si>
  <si>
    <t>CFC Rate Increase</t>
  </si>
  <si>
    <t>THOR to WOT</t>
  </si>
  <si>
    <t>Conoco, Inc.</t>
  </si>
  <si>
    <t>El Paso Energy</t>
  </si>
  <si>
    <t>Texaco Natural Gas</t>
  </si>
  <si>
    <t>Citizens Utilities Co.</t>
  </si>
  <si>
    <t>TOTAL THOR TO WOT</t>
  </si>
  <si>
    <t>SJ to THOR</t>
  </si>
  <si>
    <t>20/31/05</t>
  </si>
  <si>
    <t>CFC RATE</t>
  </si>
  <si>
    <t>INCREASE</t>
  </si>
  <si>
    <t>Red Rock Contracts, Resubscribed Contracts and Rate Increases</t>
  </si>
  <si>
    <t>TOTAL BY</t>
  </si>
  <si>
    <t>CONTRACT</t>
  </si>
  <si>
    <t>Terminations/Resubscriptions Analysis</t>
  </si>
  <si>
    <t>2002 Plan Compared to 2001 2CE</t>
  </si>
  <si>
    <t>Average</t>
  </si>
  <si>
    <t>CE</t>
  </si>
  <si>
    <t>ML Exp East</t>
  </si>
  <si>
    <t>Aurora</t>
  </si>
  <si>
    <t>2001 2CE COMPARED TO 2002 PLAN</t>
  </si>
  <si>
    <t>2001 PLAN COMPARED TO 2002 PLAN</t>
  </si>
  <si>
    <t>Alternate West</t>
  </si>
  <si>
    <t xml:space="preserve">TOTAL </t>
  </si>
  <si>
    <t>2001 PLAN COMPARED TO 2002 PLAN  BY CONTRACT</t>
  </si>
  <si>
    <t>Other Rates</t>
  </si>
  <si>
    <t>SJ/IG Terminations</t>
  </si>
  <si>
    <t>Other Termination</t>
  </si>
  <si>
    <t>New Contracts in 2001</t>
  </si>
  <si>
    <t>Richardson (flows all 12 Months)</t>
  </si>
  <si>
    <t>on TAB</t>
  </si>
  <si>
    <t>GRI Calculations</t>
  </si>
  <si>
    <t>Contract #</t>
  </si>
  <si>
    <t>MMBtu/day</t>
  </si>
  <si>
    <t>GRI Rate</t>
  </si>
  <si>
    <t>Start date:  11/1/02</t>
  </si>
  <si>
    <t>End date: 2/28/02</t>
  </si>
  <si>
    <t>Start date:   3/1/02</t>
  </si>
  <si>
    <t>SJ to WOT</t>
  </si>
  <si>
    <t>End date: 1/31/02</t>
  </si>
  <si>
    <t>4/1/02 - 10/31/02</t>
  </si>
  <si>
    <t>IG to EP Blanco</t>
  </si>
  <si>
    <t>Check</t>
  </si>
  <si>
    <t xml:space="preserve">    EAST OF THOREAU TO WEST(Socal)</t>
  </si>
  <si>
    <t xml:space="preserve">   THOREAU TO WEST(Other CFC's)</t>
  </si>
  <si>
    <t>LOAD FACTOR</t>
  </si>
  <si>
    <t>TOTAL GRI DEMAND</t>
  </si>
  <si>
    <t>TOTAL GRI COMMODITY</t>
  </si>
  <si>
    <t>TOTAL GRI</t>
  </si>
  <si>
    <t>GRI Discount 8/1</t>
  </si>
  <si>
    <t>FUEL BURNED ASSUMING 100% EAST RETAINAGE BURNT</t>
  </si>
  <si>
    <t>EAST Retainage</t>
  </si>
  <si>
    <t>West Deliveries</t>
  </si>
  <si>
    <t>WEST Retainage</t>
  </si>
  <si>
    <t>East Deliveries</t>
  </si>
  <si>
    <t>Deliveries MMBTU/Day</t>
  </si>
  <si>
    <t>Retainage Monthly MMBTU</t>
  </si>
  <si>
    <t>West(.018/.022 of Deliveries)</t>
  </si>
  <si>
    <t>Total Retainage</t>
  </si>
  <si>
    <t>Burned Alternate Method Monthly MMBTU</t>
  </si>
  <si>
    <t>Burned .018 /.022Of Deliveries-Old method</t>
  </si>
  <si>
    <t>Fuel Index Price</t>
  </si>
  <si>
    <t>Difference Alt Method and Old Method  $</t>
  </si>
  <si>
    <t>Difference Alt Method and Old Method MMBTU</t>
  </si>
  <si>
    <t>East 110% of Retainage</t>
  </si>
  <si>
    <t>Unsubscribed</t>
  </si>
  <si>
    <t>Sid/Bass</t>
  </si>
  <si>
    <t>WOT to WOT</t>
  </si>
  <si>
    <t>North Star Steel</t>
  </si>
  <si>
    <t>one part rate</t>
  </si>
  <si>
    <t>TOTAL WOT TO WOT</t>
  </si>
  <si>
    <t>one-part</t>
  </si>
  <si>
    <t>Sums by</t>
  </si>
  <si>
    <t>CFC</t>
  </si>
  <si>
    <t xml:space="preserve">Contract </t>
  </si>
  <si>
    <t>Index</t>
  </si>
  <si>
    <t>Rates Increase</t>
  </si>
  <si>
    <t>SCS</t>
  </si>
  <si>
    <t>Rate Decrease</t>
  </si>
  <si>
    <t>Rates/vols</t>
  </si>
  <si>
    <t>Contracts</t>
  </si>
  <si>
    <t>KN Marketing</t>
  </si>
  <si>
    <t>SWG</t>
  </si>
  <si>
    <t>THOREAU TO WOT</t>
  </si>
  <si>
    <t>Texaco</t>
  </si>
  <si>
    <t>Citizens</t>
  </si>
  <si>
    <t>El Paso (PG&amp;E Release)</t>
  </si>
  <si>
    <t>Duke (PG&amp;E Release)</t>
  </si>
  <si>
    <t>4/31/07</t>
  </si>
  <si>
    <t>North Star</t>
  </si>
  <si>
    <t>Southern</t>
  </si>
  <si>
    <t>El Paso</t>
  </si>
  <si>
    <t>IGNACIO TO WOT</t>
  </si>
  <si>
    <t>SJ TO THOREAU</t>
  </si>
  <si>
    <t>OneOK Energy Resubscription</t>
  </si>
  <si>
    <t xml:space="preserve">                                       </t>
  </si>
  <si>
    <t>Resubscribed</t>
  </si>
  <si>
    <t>TOTAL EOT</t>
  </si>
  <si>
    <t>Resubscribe</t>
  </si>
  <si>
    <t>Adjustment</t>
  </si>
  <si>
    <t>2002 total</t>
  </si>
  <si>
    <t>Reversal</t>
  </si>
  <si>
    <t>SW Gas Payment</t>
  </si>
  <si>
    <t>TOTAL IGNACIO TO BLANCO</t>
  </si>
  <si>
    <t>MAVRIX/UNSUBSCRIBED</t>
  </si>
  <si>
    <t>Less: Adjustment for Hedging (15/d)</t>
  </si>
  <si>
    <t>Stretch</t>
  </si>
  <si>
    <t>INPUT FROM RED ROCK, NEW K'S TAB &amp; STRETCH TAB</t>
  </si>
  <si>
    <t>FIRM</t>
  </si>
  <si>
    <t>INTERRUPTIBLE</t>
  </si>
  <si>
    <t>IT DATA INPUT SCREEN</t>
  </si>
  <si>
    <t>(if applicable)</t>
  </si>
  <si>
    <t>Correct NOV/DEC Rev</t>
  </si>
  <si>
    <t>Maverix</t>
  </si>
  <si>
    <t>Y = Yes, include in 2002 Plan.     N = Do not included in 2002 Plan.</t>
  </si>
  <si>
    <t>TOTAL SJ TO THOR</t>
  </si>
  <si>
    <t>INPUT FROM IT TAB &amp; STRETCH TAB</t>
  </si>
  <si>
    <t>Firm</t>
  </si>
  <si>
    <t xml:space="preserve">     26490/26606</t>
  </si>
  <si>
    <t>ENA</t>
  </si>
  <si>
    <t>Load Factor</t>
  </si>
  <si>
    <t>EOT/Thor</t>
  </si>
  <si>
    <t>Hedge</t>
  </si>
  <si>
    <t>Contracted</t>
  </si>
  <si>
    <t>Uncontracted</t>
  </si>
  <si>
    <t>IGNACIO - TO BLANCO HUB</t>
  </si>
  <si>
    <t>Phillips Petroleum</t>
  </si>
  <si>
    <t>Citizens Util/ENA</t>
  </si>
  <si>
    <t>20834/26519</t>
  </si>
  <si>
    <t>21375/25923</t>
  </si>
  <si>
    <t>Santa Fe/Texaco</t>
  </si>
  <si>
    <t xml:space="preserve">OneOK </t>
  </si>
  <si>
    <t>Rate Stretch</t>
  </si>
  <si>
    <t>20746/25924</t>
  </si>
  <si>
    <t>TCR Surcharge</t>
  </si>
  <si>
    <t>Transwestern Contracted and Resubscribed(Uncontracted) Revenues:</t>
  </si>
  <si>
    <t>Seasonal</t>
  </si>
  <si>
    <t>Transwestern Contracted (only) Revenues:</t>
  </si>
  <si>
    <t>Total Stretch (both FT &amp; IT)</t>
  </si>
  <si>
    <t>Average = (0.0640)</t>
  </si>
  <si>
    <t>Stretch @ 2.67</t>
  </si>
  <si>
    <t>UAF Unhedged volumes</t>
  </si>
  <si>
    <t>9/20</t>
  </si>
  <si>
    <t>10/01</t>
  </si>
  <si>
    <t>Stretch @ 2.79</t>
  </si>
  <si>
    <t>10/01/01</t>
  </si>
  <si>
    <t>Adj. Index</t>
  </si>
  <si>
    <t>Stretch @ 2.63</t>
  </si>
  <si>
    <t>Breakdown Information:</t>
  </si>
  <si>
    <t>I to I Fuel Usage Volume</t>
  </si>
  <si>
    <t>I to I Fuel Usage @ Plan Index Price</t>
  </si>
  <si>
    <t>Red Rock Usage Calculation</t>
  </si>
  <si>
    <t>I to I Usage Calculation</t>
  </si>
  <si>
    <t xml:space="preserve">      Total Red Rock Deliveries EOT to WOT (Commodity)</t>
  </si>
  <si>
    <t xml:space="preserve">      Total Deliveries  West (Commodity)</t>
  </si>
  <si>
    <t xml:space="preserve">    Net West Deliveries without Red Rock</t>
  </si>
  <si>
    <t xml:space="preserve">    West Burned for Non-Red Rock @ .018</t>
  </si>
  <si>
    <t xml:space="preserve">    Total Burned inclusive of Red Rock (line133)</t>
  </si>
  <si>
    <t xml:space="preserve">    Net Usage attributable to Red Rock</t>
  </si>
  <si>
    <t xml:space="preserve">    Net Usage attributable to Red Rock @ Index Price</t>
  </si>
  <si>
    <t>ACA Calculations</t>
  </si>
  <si>
    <t>Total Throughput</t>
  </si>
  <si>
    <t>ACA Rate</t>
  </si>
  <si>
    <t>TOTAL 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</si>
</sst>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0.0"/>
    <numFmt numFmtId="169" formatCode="_(&quot;$&quot;* #,##0_);_(&quot;$&quot;* \(#,##0\);_(&quot;$&quot;* &quot;-&quot;??_);_(@_)"/>
    <numFmt numFmtId="170" formatCode="&quot;$&quot;#,##0.0000"/>
    <numFmt numFmtId="171" formatCode="&quot;$&quot;#,##0.00"/>
    <numFmt numFmtId="172" formatCode="_(* #,##0_);_(* \(#,##0\);_(* &quot;-&quot;??_);_(@_)"/>
    <numFmt numFmtId="173" formatCode="mmmm\-yy"/>
    <numFmt numFmtId="174" formatCode="0.0000"/>
    <numFmt numFmtId="175" formatCode="_(* #,##0.000_);_(* \(#,##0.000\);_(* &quot;-&quot;??_);_(@_)"/>
    <numFmt numFmtId="177" formatCode="_(&quot;$&quot;* #,##0.000_);_(&quot;$&quot;* \(#,##0.000\);_(&quot;$&quot;* &quot;-&quot;??_);_(@_)"/>
    <numFmt numFmtId="178" formatCode="0.000"/>
    <numFmt numFmtId="181" formatCode="_(&quot;$&quot;* #,##0.0000_);_(&quot;$&quot;* \(#,##0.0000\);_(&quot;$&quot;* &quot;-&quot;??_);_(@_)"/>
    <numFmt numFmtId="182" formatCode="&quot;$&quot;#,##0"/>
    <numFmt numFmtId="184" formatCode="mm/dd/yy"/>
    <numFmt numFmtId="185" formatCode="#,##0.0_);\(#,##0.0\)"/>
    <numFmt numFmtId="186" formatCode="#,##0.0_);[Red]\(#,##0.0\)"/>
    <numFmt numFmtId="187" formatCode="#,##0.000000"/>
    <numFmt numFmtId="190" formatCode="0_)"/>
    <numFmt numFmtId="191" formatCode="mm/dd/yy_)"/>
    <numFmt numFmtId="192" formatCode="&quot;$&quot;#,##0.0000_);\(&quot;$&quot;#,##0.0000\)"/>
    <numFmt numFmtId="193" formatCode="_(* #,##0.0000_);_(* \(#,##0.0000\);_(* &quot;-&quot;????_);_(@_)"/>
    <numFmt numFmtId="194" formatCode="#,##0.0000_);\(#,##0.0000\)"/>
    <numFmt numFmtId="197" formatCode="0.0000%;[Red]\-0.0000%"/>
    <numFmt numFmtId="198" formatCode="#,##0.000_);\(#,##0.000\)"/>
    <numFmt numFmtId="202" formatCode="&quot;$&quot;#,##0.0_);\(&quot;$&quot;#,##0.0\)"/>
    <numFmt numFmtId="204" formatCode="_(* #,##0.0000_);_(* \(#,##0.0000\);_(* &quot;-&quot;?_);_(@_)"/>
    <numFmt numFmtId="206" formatCode="#,##0.000"/>
    <numFmt numFmtId="207" formatCode="m/d/yy\ h:mm\ AM/PM"/>
  </numFmts>
  <fonts count="9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</font>
    <font>
      <sz val="10"/>
      <color indexed="8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/>
      <sz val="7.5"/>
      <color indexed="36"/>
      <name val="Arial"/>
    </font>
    <font>
      <b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 Narrow"/>
      <family val="2"/>
    </font>
    <font>
      <sz val="9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7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color indexed="61"/>
      <name val="Arial"/>
      <family val="2"/>
    </font>
    <font>
      <b/>
      <i/>
      <sz val="10"/>
      <name val="Arial Narrow"/>
      <family val="2"/>
    </font>
    <font>
      <b/>
      <sz val="10"/>
      <name val="Arial Narrow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14"/>
      <name val="Arial Narrow"/>
      <family val="2"/>
    </font>
    <font>
      <sz val="7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b/>
      <sz val="7"/>
      <name val="Arial Narrow"/>
      <family val="2"/>
    </font>
    <font>
      <b/>
      <sz val="9"/>
      <color indexed="8"/>
      <name val="Arial"/>
      <family val="2"/>
    </font>
    <font>
      <b/>
      <sz val="10"/>
      <color indexed="10"/>
      <name val="Arial Narrow"/>
      <family val="2"/>
    </font>
    <font>
      <sz val="10"/>
      <color indexed="12"/>
      <name val="Arial Narrow"/>
      <family val="2"/>
    </font>
    <font>
      <b/>
      <u/>
      <sz val="10"/>
      <name val="Arial Narrow"/>
      <family val="2"/>
    </font>
    <font>
      <b/>
      <sz val="9"/>
      <name val="Arial"/>
      <family val="2"/>
    </font>
    <font>
      <sz val="10"/>
      <color indexed="12"/>
      <name val="Arial Narrow"/>
    </font>
    <font>
      <b/>
      <sz val="7"/>
      <name val="Arial"/>
      <family val="2"/>
    </font>
    <font>
      <i/>
      <sz val="11"/>
      <color indexed="10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0"/>
      <name val="Arial"/>
    </font>
    <font>
      <b/>
      <sz val="10"/>
      <color indexed="56"/>
      <name val="Arial"/>
      <family val="2"/>
    </font>
    <font>
      <sz val="7"/>
      <name val="Small Fonts"/>
      <family val="2"/>
    </font>
    <font>
      <sz val="10"/>
      <color indexed="56"/>
      <name val="Arial"/>
    </font>
    <font>
      <b/>
      <sz val="10"/>
      <color indexed="56"/>
      <name val="Arial"/>
    </font>
    <font>
      <sz val="7"/>
      <name val="Arial"/>
    </font>
    <font>
      <sz val="10"/>
      <color indexed="14"/>
      <name val="Arial"/>
      <family val="2"/>
    </font>
    <font>
      <sz val="8"/>
      <color indexed="14"/>
      <name val="Arial"/>
      <family val="2"/>
    </font>
    <font>
      <sz val="7"/>
      <color indexed="14"/>
      <name val="Arial"/>
      <family val="2"/>
    </font>
    <font>
      <sz val="10"/>
      <color indexed="5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b/>
      <sz val="7"/>
      <name val="Arial"/>
    </font>
    <font>
      <sz val="10"/>
      <color indexed="10"/>
      <name val="Arial"/>
    </font>
    <font>
      <sz val="7"/>
      <color indexed="10"/>
      <name val="Small Fonts"/>
      <family val="2"/>
    </font>
    <font>
      <b/>
      <sz val="10"/>
      <color indexed="10"/>
      <name val="Arial"/>
    </font>
    <font>
      <sz val="10"/>
      <color indexed="14"/>
      <name val="Arial"/>
    </font>
    <font>
      <sz val="7"/>
      <color indexed="14"/>
      <name val="Small Fonts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color indexed="17"/>
      <name val="Arial Narrow"/>
      <family val="2"/>
    </font>
    <font>
      <i/>
      <sz val="8"/>
      <name val="Arial"/>
      <family val="2"/>
    </font>
    <font>
      <sz val="10"/>
      <color indexed="53"/>
      <name val="Arial"/>
      <family val="2"/>
    </font>
    <font>
      <sz val="10"/>
      <color indexed="12"/>
      <name val="Arial"/>
    </font>
    <font>
      <sz val="7"/>
      <color indexed="12"/>
      <name val="Small Fonts"/>
      <family val="2"/>
    </font>
    <font>
      <b/>
      <sz val="10"/>
      <color indexed="12"/>
      <name val="Arial"/>
    </font>
    <font>
      <b/>
      <sz val="9"/>
      <color indexed="14"/>
      <name val="Arial"/>
      <family val="2"/>
    </font>
    <font>
      <sz val="9"/>
      <color indexed="14"/>
      <name val="Arial"/>
      <family val="2"/>
    </font>
    <font>
      <u/>
      <sz val="9"/>
      <name val="Arial"/>
      <family val="2"/>
    </font>
    <font>
      <i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9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4" fontId="7" fillId="0" borderId="0" xfId="1" applyNumberFormat="1" applyFont="1" applyBorder="1"/>
    <xf numFmtId="166" fontId="7" fillId="0" borderId="0" xfId="2" applyNumberFormat="1" applyFont="1"/>
    <xf numFmtId="166" fontId="0" fillId="0" borderId="0" xfId="0" applyNumberFormat="1"/>
    <xf numFmtId="164" fontId="7" fillId="0" borderId="0" xfId="1" applyNumberFormat="1" applyFont="1"/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8" fontId="6" fillId="0" borderId="0" xfId="0" applyNumberFormat="1" applyFont="1"/>
    <xf numFmtId="0" fontId="6" fillId="0" borderId="0" xfId="0" applyFont="1"/>
    <xf numFmtId="170" fontId="6" fillId="0" borderId="0" xfId="0" applyNumberFormat="1" applyFont="1"/>
    <xf numFmtId="169" fontId="4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72" fontId="0" fillId="0" borderId="0" xfId="1" applyNumberFormat="1" applyFont="1"/>
    <xf numFmtId="164" fontId="6" fillId="0" borderId="0" xfId="0" applyNumberFormat="1" applyFont="1"/>
    <xf numFmtId="169" fontId="0" fillId="0" borderId="4" xfId="2" applyNumberFormat="1" applyFont="1" applyBorder="1"/>
    <xf numFmtId="172" fontId="15" fillId="0" borderId="0" xfId="1" applyNumberFormat="1" applyFont="1"/>
    <xf numFmtId="0" fontId="15" fillId="0" borderId="0" xfId="0" applyFont="1"/>
    <xf numFmtId="0" fontId="4" fillId="0" borderId="0" xfId="0" applyFont="1"/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/>
    <xf numFmtId="0" fontId="18" fillId="0" borderId="8" xfId="0" applyFont="1" applyBorder="1"/>
    <xf numFmtId="0" fontId="19" fillId="0" borderId="9" xfId="0" applyFont="1" applyBorder="1"/>
    <xf numFmtId="43" fontId="15" fillId="0" borderId="0" xfId="1" applyFont="1"/>
    <xf numFmtId="0" fontId="4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184" fontId="0" fillId="0" borderId="0" xfId="0" applyNumberFormat="1"/>
    <xf numFmtId="184" fontId="0" fillId="0" borderId="0" xfId="0" applyNumberFormat="1" applyAlignment="1">
      <alignment horizontal="center"/>
    </xf>
    <xf numFmtId="184" fontId="14" fillId="0" borderId="0" xfId="0" applyNumberFormat="1" applyFont="1" applyAlignment="1">
      <alignment horizontal="center"/>
    </xf>
    <xf numFmtId="172" fontId="6" fillId="0" borderId="0" xfId="1" applyNumberFormat="1" applyFont="1"/>
    <xf numFmtId="43" fontId="15" fillId="0" borderId="10" xfId="1" applyFont="1" applyBorder="1"/>
    <xf numFmtId="172" fontId="15" fillId="0" borderId="10" xfId="1" applyNumberFormat="1" applyFont="1" applyBorder="1"/>
    <xf numFmtId="0" fontId="0" fillId="2" borderId="0" xfId="0" applyFill="1"/>
    <xf numFmtId="43" fontId="15" fillId="0" borderId="0" xfId="1" applyFont="1" applyBorder="1"/>
    <xf numFmtId="164" fontId="2" fillId="0" borderId="0" xfId="1" applyNumberFormat="1" applyFont="1"/>
    <xf numFmtId="0" fontId="6" fillId="0" borderId="4" xfId="0" applyFont="1" applyBorder="1"/>
    <xf numFmtId="0" fontId="13" fillId="0" borderId="0" xfId="0" applyFont="1"/>
    <xf numFmtId="168" fontId="6" fillId="0" borderId="4" xfId="0" applyNumberFormat="1" applyFont="1" applyBorder="1"/>
    <xf numFmtId="174" fontId="6" fillId="0" borderId="0" xfId="0" applyNumberFormat="1" applyFont="1"/>
    <xf numFmtId="164" fontId="6" fillId="0" borderId="0" xfId="1" applyNumberFormat="1" applyFont="1"/>
    <xf numFmtId="2" fontId="6" fillId="0" borderId="4" xfId="0" applyNumberFormat="1" applyFont="1" applyBorder="1"/>
    <xf numFmtId="2" fontId="6" fillId="0" borderId="0" xfId="0" applyNumberFormat="1" applyFont="1"/>
    <xf numFmtId="38" fontId="6" fillId="0" borderId="0" xfId="0" applyNumberFormat="1" applyFont="1"/>
    <xf numFmtId="38" fontId="0" fillId="0" borderId="0" xfId="0" applyNumberFormat="1"/>
    <xf numFmtId="186" fontId="6" fillId="0" borderId="0" xfId="0" applyNumberFormat="1" applyFont="1"/>
    <xf numFmtId="182" fontId="6" fillId="0" borderId="0" xfId="0" applyNumberFormat="1" applyFont="1"/>
    <xf numFmtId="182" fontId="0" fillId="0" borderId="0" xfId="0" applyNumberFormat="1"/>
    <xf numFmtId="0" fontId="23" fillId="0" borderId="0" xfId="0" applyFont="1"/>
    <xf numFmtId="182" fontId="23" fillId="0" borderId="0" xfId="0" applyNumberFormat="1" applyFont="1"/>
    <xf numFmtId="182" fontId="6" fillId="0" borderId="11" xfId="0" applyNumberFormat="1" applyFont="1" applyBorder="1"/>
    <xf numFmtId="182" fontId="0" fillId="0" borderId="11" xfId="0" applyNumberFormat="1" applyBorder="1"/>
    <xf numFmtId="170" fontId="0" fillId="0" borderId="0" xfId="0" applyNumberFormat="1"/>
    <xf numFmtId="187" fontId="6" fillId="0" borderId="0" xfId="0" applyNumberFormat="1" applyFont="1"/>
    <xf numFmtId="187" fontId="0" fillId="0" borderId="0" xfId="0" applyNumberFormat="1"/>
    <xf numFmtId="0" fontId="24" fillId="0" borderId="0" xfId="0" applyFont="1"/>
    <xf numFmtId="182" fontId="24" fillId="0" borderId="0" xfId="0" applyNumberFormat="1" applyFont="1"/>
    <xf numFmtId="0" fontId="25" fillId="0" borderId="0" xfId="0" applyFont="1"/>
    <xf numFmtId="182" fontId="23" fillId="0" borderId="4" xfId="0" applyNumberFormat="1" applyFont="1" applyBorder="1"/>
    <xf numFmtId="182" fontId="4" fillId="0" borderId="0" xfId="0" applyNumberFormat="1" applyFont="1"/>
    <xf numFmtId="0" fontId="6" fillId="0" borderId="6" xfId="0" applyFont="1" applyBorder="1"/>
    <xf numFmtId="0" fontId="6" fillId="0" borderId="11" xfId="0" applyFont="1" applyBorder="1"/>
    <xf numFmtId="0" fontId="15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164" fontId="6" fillId="0" borderId="0" xfId="1" applyNumberFormat="1" applyFont="1" applyBorder="1"/>
    <xf numFmtId="164" fontId="6" fillId="0" borderId="10" xfId="0" applyNumberFormat="1" applyFont="1" applyBorder="1"/>
    <xf numFmtId="43" fontId="6" fillId="0" borderId="0" xfId="0" applyNumberFormat="1" applyFont="1"/>
    <xf numFmtId="44" fontId="15" fillId="0" borderId="0" xfId="2" applyFont="1" applyBorder="1"/>
    <xf numFmtId="0" fontId="6" fillId="0" borderId="10" xfId="0" applyFont="1" applyBorder="1"/>
    <xf numFmtId="169" fontId="6" fillId="0" borderId="0" xfId="2" applyNumberFormat="1" applyFont="1" applyBorder="1"/>
    <xf numFmtId="169" fontId="6" fillId="0" borderId="10" xfId="0" applyNumberFormat="1" applyFont="1" applyBorder="1"/>
    <xf numFmtId="0" fontId="6" fillId="0" borderId="13" xfId="0" applyFont="1" applyBorder="1"/>
    <xf numFmtId="0" fontId="6" fillId="0" borderId="14" xfId="0" applyFont="1" applyBorder="1"/>
    <xf numFmtId="174" fontId="15" fillId="0" borderId="0" xfId="0" applyNumberFormat="1" applyFont="1" applyBorder="1"/>
    <xf numFmtId="0" fontId="4" fillId="0" borderId="6" xfId="0" applyFont="1" applyBorder="1"/>
    <xf numFmtId="186" fontId="15" fillId="0" borderId="0" xfId="2" applyNumberFormat="1" applyFont="1" applyBorder="1"/>
    <xf numFmtId="186" fontId="6" fillId="0" borderId="0" xfId="2" applyNumberFormat="1" applyFont="1" applyBorder="1"/>
    <xf numFmtId="22" fontId="13" fillId="0" borderId="0" xfId="0" applyNumberFormat="1" applyFont="1"/>
    <xf numFmtId="0" fontId="6" fillId="0" borderId="0" xfId="0" quotePrefix="1" applyFont="1" applyAlignment="1">
      <alignment horizontal="center"/>
    </xf>
    <xf numFmtId="169" fontId="2" fillId="0" borderId="0" xfId="2" applyNumberFormat="1" applyFont="1"/>
    <xf numFmtId="164" fontId="2" fillId="0" borderId="0" xfId="0" applyNumberFormat="1" applyFont="1"/>
    <xf numFmtId="166" fontId="0" fillId="0" borderId="4" xfId="2" applyNumberFormat="1" applyFont="1" applyBorder="1"/>
    <xf numFmtId="166" fontId="0" fillId="0" borderId="4" xfId="0" applyNumberFormat="1" applyBorder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0" borderId="12" xfId="0" applyFont="1" applyBorder="1"/>
    <xf numFmtId="0" fontId="2" fillId="3" borderId="0" xfId="0" applyFont="1" applyFill="1"/>
    <xf numFmtId="0" fontId="32" fillId="0" borderId="0" xfId="0" applyFont="1"/>
    <xf numFmtId="0" fontId="6" fillId="0" borderId="10" xfId="0" quotePrefix="1" applyFont="1" applyBorder="1"/>
    <xf numFmtId="0" fontId="33" fillId="0" borderId="0" xfId="0" applyFont="1"/>
    <xf numFmtId="167" fontId="35" fillId="0" borderId="0" xfId="0" applyNumberFormat="1" applyFont="1" applyFill="1" applyBorder="1" applyAlignment="1" applyProtection="1">
      <alignment vertical="center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92" fontId="11" fillId="0" borderId="0" xfId="0" applyNumberFormat="1" applyFont="1" applyFill="1" applyAlignment="1" applyProtection="1">
      <alignment vertical="center"/>
      <protection locked="0"/>
    </xf>
    <xf numFmtId="192" fontId="21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185" fontId="35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Alignment="1" applyProtection="1">
      <alignment vertical="center"/>
      <protection locked="0"/>
    </xf>
    <xf numFmtId="167" fontId="35" fillId="0" borderId="4" xfId="2" applyNumberFormat="1" applyFont="1" applyFill="1" applyBorder="1" applyAlignment="1" applyProtection="1">
      <alignment vertical="center"/>
      <protection locked="0"/>
    </xf>
    <xf numFmtId="0" fontId="35" fillId="0" borderId="16" xfId="0" applyFont="1" applyFill="1" applyBorder="1" applyAlignment="1">
      <alignment horizontal="left" vertical="center"/>
    </xf>
    <xf numFmtId="185" fontId="35" fillId="0" borderId="17" xfId="0" applyNumberFormat="1" applyFont="1" applyFill="1" applyBorder="1" applyAlignment="1" applyProtection="1">
      <alignment vertical="center"/>
    </xf>
    <xf numFmtId="167" fontId="35" fillId="0" borderId="17" xfId="0" applyNumberFormat="1" applyFont="1" applyFill="1" applyBorder="1" applyAlignment="1" applyProtection="1">
      <alignment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167" fontId="21" fillId="0" borderId="0" xfId="0" applyNumberFormat="1" applyFont="1" applyFill="1" applyBorder="1" applyAlignment="1" applyProtection="1">
      <alignment vertical="center"/>
    </xf>
    <xf numFmtId="185" fontId="35" fillId="0" borderId="4" xfId="0" applyNumberFormat="1" applyFont="1" applyFill="1" applyBorder="1" applyAlignment="1" applyProtection="1">
      <alignment vertical="center"/>
    </xf>
    <xf numFmtId="185" fontId="35" fillId="0" borderId="15" xfId="0" applyNumberFormat="1" applyFont="1" applyFill="1" applyBorder="1" applyAlignment="1" applyProtection="1">
      <alignment vertical="center"/>
    </xf>
    <xf numFmtId="185" fontId="21" fillId="0" borderId="0" xfId="0" applyNumberFormat="1" applyFont="1" applyFill="1" applyAlignment="1" applyProtection="1">
      <alignment vertical="center"/>
    </xf>
    <xf numFmtId="167" fontId="21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Border="1" applyAlignment="1" applyProtection="1">
      <alignment vertical="center"/>
      <protection locked="0"/>
    </xf>
    <xf numFmtId="167" fontId="35" fillId="0" borderId="4" xfId="0" applyNumberFormat="1" applyFont="1" applyFill="1" applyBorder="1" applyAlignment="1" applyProtection="1">
      <alignment vertical="center"/>
    </xf>
    <xf numFmtId="185" fontId="36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horizontal="left" vertical="center"/>
    </xf>
    <xf numFmtId="167" fontId="35" fillId="0" borderId="15" xfId="0" applyNumberFormat="1" applyFont="1" applyFill="1" applyBorder="1" applyAlignment="1" applyProtection="1">
      <alignment vertical="center"/>
    </xf>
    <xf numFmtId="185" fontId="35" fillId="0" borderId="0" xfId="0" applyNumberFormat="1" applyFont="1" applyFill="1" applyBorder="1" applyAlignment="1" applyProtection="1">
      <alignment vertical="center"/>
    </xf>
    <xf numFmtId="0" fontId="37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left" vertical="center"/>
    </xf>
    <xf numFmtId="185" fontId="21" fillId="2" borderId="0" xfId="0" applyNumberFormat="1" applyFont="1" applyFill="1" applyBorder="1" applyAlignment="1" applyProtection="1">
      <alignment vertical="center"/>
    </xf>
    <xf numFmtId="0" fontId="21" fillId="0" borderId="12" xfId="0" quotePrefix="1" applyFont="1" applyFill="1" applyBorder="1" applyAlignment="1">
      <alignment horizontal="left" vertical="center"/>
    </xf>
    <xf numFmtId="185" fontId="21" fillId="2" borderId="15" xfId="0" applyNumberFormat="1" applyFont="1" applyFill="1" applyBorder="1" applyAlignment="1" applyProtection="1">
      <alignment vertical="center"/>
    </xf>
    <xf numFmtId="0" fontId="35" fillId="0" borderId="19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15" fillId="0" borderId="0" xfId="0" applyFont="1" applyBorder="1"/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 vertical="center"/>
    </xf>
    <xf numFmtId="0" fontId="6" fillId="0" borderId="0" xfId="0" applyFont="1" applyFill="1"/>
    <xf numFmtId="0" fontId="8" fillId="0" borderId="0" xfId="0" applyFont="1" applyAlignment="1">
      <alignment horizontal="left" vertical="center"/>
    </xf>
    <xf numFmtId="181" fontId="6" fillId="0" borderId="0" xfId="2" applyNumberFormat="1" applyFont="1" applyFill="1" applyBorder="1" applyAlignment="1">
      <alignment horizontal="center"/>
    </xf>
    <xf numFmtId="181" fontId="8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1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right"/>
    </xf>
    <xf numFmtId="181" fontId="8" fillId="0" borderId="0" xfId="2" applyNumberFormat="1" applyFont="1" applyFill="1" applyAlignment="1">
      <alignment horizontal="center"/>
    </xf>
    <xf numFmtId="181" fontId="8" fillId="0" borderId="0" xfId="2" applyNumberFormat="1" applyFont="1" applyFill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9" fontId="6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42" fillId="0" borderId="20" xfId="0" applyFont="1" applyFill="1" applyBorder="1" applyAlignment="1">
      <alignment horizontal="left" vertical="center"/>
    </xf>
    <xf numFmtId="0" fontId="43" fillId="0" borderId="0" xfId="0" applyFont="1" applyFill="1" applyAlignment="1">
      <alignment vertical="center"/>
    </xf>
    <xf numFmtId="190" fontId="43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vertical="center"/>
    </xf>
    <xf numFmtId="185" fontId="43" fillId="0" borderId="0" xfId="0" applyNumberFormat="1" applyFont="1" applyFill="1" applyAlignment="1" applyProtection="1">
      <alignment vertical="center"/>
    </xf>
    <xf numFmtId="37" fontId="31" fillId="0" borderId="0" xfId="0" applyNumberFormat="1" applyFont="1" applyFill="1" applyAlignment="1" applyProtection="1">
      <alignment vertical="center"/>
    </xf>
    <xf numFmtId="0" fontId="0" fillId="0" borderId="0" xfId="0" applyFill="1"/>
    <xf numFmtId="190" fontId="31" fillId="0" borderId="0" xfId="0" applyNumberFormat="1" applyFont="1" applyFill="1" applyAlignment="1" applyProtection="1">
      <alignment vertical="center"/>
    </xf>
    <xf numFmtId="191" fontId="31" fillId="0" borderId="0" xfId="0" applyNumberFormat="1" applyFont="1" applyFill="1" applyAlignment="1" applyProtection="1">
      <alignment vertical="center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Continuous" vertical="center"/>
    </xf>
    <xf numFmtId="185" fontId="46" fillId="0" borderId="0" xfId="0" applyNumberFormat="1" applyFont="1" applyFill="1" applyAlignment="1" applyProtection="1">
      <alignment horizontal="centerContinuous" vertical="center"/>
    </xf>
    <xf numFmtId="0" fontId="47" fillId="0" borderId="0" xfId="0" applyFont="1" applyFill="1"/>
    <xf numFmtId="37" fontId="45" fillId="0" borderId="0" xfId="0" applyNumberFormat="1" applyFont="1" applyFill="1" applyAlignment="1" applyProtection="1">
      <alignment horizontal="centerContinuous" vertical="center"/>
    </xf>
    <xf numFmtId="22" fontId="46" fillId="0" borderId="0" xfId="0" applyNumberFormat="1" applyFont="1" applyFill="1" applyAlignment="1" applyProtection="1">
      <alignment horizontal="centerContinuous" vertical="center"/>
    </xf>
    <xf numFmtId="0" fontId="45" fillId="0" borderId="0" xfId="0" applyFont="1" applyFill="1" applyAlignment="1" applyProtection="1">
      <alignment horizontal="centerContinuous" vertical="center"/>
      <protection locked="0"/>
    </xf>
    <xf numFmtId="0" fontId="45" fillId="0" borderId="0" xfId="0" applyFont="1" applyAlignment="1">
      <alignment horizontal="centerContinuous" vertical="center"/>
    </xf>
    <xf numFmtId="0" fontId="46" fillId="0" borderId="0" xfId="0" applyFont="1" applyAlignment="1">
      <alignment horizontal="centerContinuous" vertical="center"/>
    </xf>
    <xf numFmtId="0" fontId="36" fillId="0" borderId="0" xfId="0" applyFont="1" applyFill="1" applyAlignment="1">
      <alignment horizontal="left" vertical="center"/>
    </xf>
    <xf numFmtId="0" fontId="21" fillId="0" borderId="0" xfId="0" applyFont="1" applyFill="1" applyAlignment="1" applyProtection="1">
      <alignment horizontal="centerContinuous" vertical="center"/>
      <protection locked="0"/>
    </xf>
    <xf numFmtId="0" fontId="21" fillId="0" borderId="0" xfId="0" applyFont="1" applyFill="1" applyAlignment="1">
      <alignment horizontal="centerContinuous" vertical="center"/>
    </xf>
    <xf numFmtId="0" fontId="48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" fontId="49" fillId="0" borderId="0" xfId="1" applyNumberFormat="1" applyFont="1" applyFill="1" applyAlignment="1" applyProtection="1">
      <alignment horizontal="centerContinuous" vertical="center"/>
    </xf>
    <xf numFmtId="186" fontId="49" fillId="0" borderId="15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1" fontId="49" fillId="0" borderId="4" xfId="1" applyNumberFormat="1" applyFont="1" applyFill="1" applyBorder="1" applyAlignment="1" applyProtection="1">
      <alignment horizontal="centerContinuous" vertical="center"/>
    </xf>
    <xf numFmtId="0" fontId="37" fillId="0" borderId="4" xfId="0" applyFont="1" applyFill="1" applyBorder="1" applyAlignment="1">
      <alignment horizontal="left" vertical="center"/>
    </xf>
    <xf numFmtId="185" fontId="17" fillId="0" borderId="0" xfId="0" applyNumberFormat="1" applyFont="1" applyFill="1" applyAlignment="1" applyProtection="1">
      <alignment vertical="center"/>
      <protection locked="0"/>
    </xf>
    <xf numFmtId="185" fontId="17" fillId="0" borderId="0" xfId="0" applyNumberFormat="1" applyFont="1" applyFill="1" applyAlignment="1" applyProtection="1">
      <alignment vertical="center"/>
    </xf>
    <xf numFmtId="185" fontId="21" fillId="2" borderId="0" xfId="0" applyNumberFormat="1" applyFont="1" applyFill="1" applyAlignment="1" applyProtection="1">
      <alignment vertical="center"/>
    </xf>
    <xf numFmtId="185" fontId="11" fillId="0" borderId="0" xfId="0" applyNumberFormat="1" applyFont="1" applyFill="1" applyAlignment="1" applyProtection="1">
      <alignment vertical="center"/>
    </xf>
    <xf numFmtId="185" fontId="35" fillId="0" borderId="2" xfId="0" applyNumberFormat="1" applyFont="1" applyFill="1" applyBorder="1" applyAlignment="1" applyProtection="1">
      <alignment vertical="center"/>
    </xf>
    <xf numFmtId="185" fontId="17" fillId="0" borderId="2" xfId="0" applyNumberFormat="1" applyFont="1" applyFill="1" applyBorder="1" applyAlignment="1" applyProtection="1">
      <alignment vertical="center"/>
    </xf>
    <xf numFmtId="0" fontId="50" fillId="0" borderId="0" xfId="0" applyFont="1" applyFill="1"/>
    <xf numFmtId="185" fontId="6" fillId="0" borderId="0" xfId="0" applyNumberFormat="1" applyFont="1" applyFill="1"/>
    <xf numFmtId="185" fontId="0" fillId="0" borderId="0" xfId="0" applyNumberFormat="1" applyFill="1"/>
    <xf numFmtId="0" fontId="0" fillId="0" borderId="4" xfId="0" applyFill="1" applyBorder="1"/>
    <xf numFmtId="185" fontId="35" fillId="0" borderId="21" xfId="0" applyNumberFormat="1" applyFont="1" applyFill="1" applyBorder="1" applyAlignment="1" applyProtection="1">
      <alignment vertical="center"/>
    </xf>
    <xf numFmtId="0" fontId="50" fillId="0" borderId="4" xfId="0" applyFont="1" applyFill="1" applyBorder="1"/>
    <xf numFmtId="198" fontId="21" fillId="0" borderId="0" xfId="0" applyNumberFormat="1" applyFont="1" applyFill="1" applyAlignment="1" applyProtection="1">
      <alignment vertical="center"/>
    </xf>
    <xf numFmtId="185" fontId="35" fillId="0" borderId="0" xfId="0" applyNumberFormat="1" applyFont="1" applyFill="1" applyAlignment="1" applyProtection="1">
      <alignment vertical="center"/>
      <protection locked="0"/>
    </xf>
    <xf numFmtId="185" fontId="35" fillId="0" borderId="14" xfId="0" applyNumberFormat="1" applyFont="1" applyFill="1" applyBorder="1" applyAlignment="1" applyProtection="1">
      <alignment vertical="center"/>
    </xf>
    <xf numFmtId="185" fontId="35" fillId="0" borderId="22" xfId="0" applyNumberFormat="1" applyFont="1" applyFill="1" applyBorder="1" applyAlignment="1" applyProtection="1">
      <alignment vertical="center"/>
    </xf>
    <xf numFmtId="185" fontId="17" fillId="0" borderId="15" xfId="0" applyNumberFormat="1" applyFont="1" applyFill="1" applyBorder="1" applyAlignment="1" applyProtection="1">
      <alignment vertical="center"/>
    </xf>
    <xf numFmtId="185" fontId="17" fillId="0" borderId="0" xfId="0" applyNumberFormat="1" applyFont="1" applyFill="1" applyBorder="1" applyAlignment="1" applyProtection="1">
      <alignment vertical="center"/>
    </xf>
    <xf numFmtId="164" fontId="36" fillId="0" borderId="0" xfId="1" applyNumberFormat="1" applyFont="1" applyFill="1" applyAlignment="1" applyProtection="1">
      <alignment vertical="center"/>
    </xf>
    <xf numFmtId="185" fontId="51" fillId="0" borderId="0" xfId="0" applyNumberFormat="1" applyFont="1" applyFill="1" applyAlignment="1" applyProtection="1">
      <alignment vertical="center"/>
    </xf>
    <xf numFmtId="185" fontId="52" fillId="0" borderId="0" xfId="0" applyNumberFormat="1" applyFont="1" applyFill="1" applyAlignment="1" applyProtection="1">
      <alignment vertical="center"/>
    </xf>
    <xf numFmtId="185" fontId="53" fillId="0" borderId="0" xfId="0" applyNumberFormat="1" applyFont="1" applyFill="1" applyAlignment="1" applyProtection="1">
      <alignment vertical="center"/>
    </xf>
    <xf numFmtId="0" fontId="21" fillId="0" borderId="4" xfId="0" quotePrefix="1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85" fontId="35" fillId="0" borderId="5" xfId="0" applyNumberFormat="1" applyFont="1" applyFill="1" applyBorder="1" applyAlignment="1" applyProtection="1">
      <alignment vertical="center"/>
    </xf>
    <xf numFmtId="185" fontId="35" fillId="0" borderId="10" xfId="0" applyNumberFormat="1" applyFont="1" applyFill="1" applyBorder="1" applyAlignment="1" applyProtection="1">
      <alignment vertical="center"/>
    </xf>
    <xf numFmtId="0" fontId="21" fillId="0" borderId="13" xfId="0" quotePrefix="1" applyFont="1" applyFill="1" applyBorder="1" applyAlignment="1">
      <alignment horizontal="left" vertical="center"/>
    </xf>
    <xf numFmtId="185" fontId="11" fillId="0" borderId="0" xfId="0" applyNumberFormat="1" applyFont="1" applyFill="1" applyBorder="1" applyAlignment="1" applyProtection="1">
      <alignment vertical="center"/>
    </xf>
    <xf numFmtId="7" fontId="21" fillId="0" borderId="0" xfId="0" applyNumberFormat="1" applyFont="1" applyFill="1" applyAlignment="1" applyProtection="1">
      <alignment vertical="center"/>
    </xf>
    <xf numFmtId="7" fontId="35" fillId="0" borderId="0" xfId="0" applyNumberFormat="1" applyFont="1" applyFill="1" applyAlignment="1" applyProtection="1">
      <alignment vertical="center"/>
    </xf>
    <xf numFmtId="185" fontId="11" fillId="0" borderId="4" xfId="0" applyNumberFormat="1" applyFont="1" applyFill="1" applyBorder="1" applyAlignment="1" applyProtection="1">
      <alignment vertical="center"/>
    </xf>
    <xf numFmtId="7" fontId="11" fillId="0" borderId="0" xfId="0" applyNumberFormat="1" applyFont="1" applyFill="1" applyAlignment="1" applyProtection="1">
      <alignment vertical="center"/>
    </xf>
    <xf numFmtId="39" fontId="11" fillId="0" borderId="0" xfId="0" applyNumberFormat="1" applyFont="1" applyFill="1" applyAlignment="1" applyProtection="1">
      <alignment vertical="center"/>
    </xf>
    <xf numFmtId="193" fontId="21" fillId="2" borderId="0" xfId="0" applyNumberFormat="1" applyFont="1" applyFill="1" applyAlignment="1" applyProtection="1">
      <alignment vertical="center"/>
    </xf>
    <xf numFmtId="194" fontId="21" fillId="0" borderId="0" xfId="0" applyNumberFormat="1" applyFont="1" applyFill="1" applyAlignment="1" applyProtection="1">
      <alignment vertical="center"/>
    </xf>
    <xf numFmtId="194" fontId="11" fillId="0" borderId="0" xfId="0" applyNumberFormat="1" applyFont="1" applyFill="1" applyAlignment="1" applyProtection="1">
      <alignment vertical="center"/>
    </xf>
    <xf numFmtId="194" fontId="35" fillId="0" borderId="0" xfId="0" applyNumberFormat="1" applyFont="1" applyFill="1" applyAlignment="1" applyProtection="1">
      <alignment vertical="center"/>
    </xf>
    <xf numFmtId="37" fontId="21" fillId="0" borderId="0" xfId="0" applyNumberFormat="1" applyFont="1" applyFill="1" applyAlignment="1" applyProtection="1">
      <alignment vertical="center"/>
    </xf>
    <xf numFmtId="5" fontId="11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Alignment="1" applyProtection="1">
      <alignment vertical="center"/>
      <protection locked="0"/>
    </xf>
    <xf numFmtId="37" fontId="11" fillId="0" borderId="0" xfId="0" applyNumberFormat="1" applyFont="1" applyFill="1" applyAlignment="1" applyProtection="1">
      <alignment vertical="center"/>
    </xf>
    <xf numFmtId="185" fontId="31" fillId="2" borderId="0" xfId="0" applyNumberFormat="1" applyFont="1" applyFill="1" applyAlignment="1" applyProtection="1">
      <alignment vertical="center"/>
    </xf>
    <xf numFmtId="185" fontId="38" fillId="2" borderId="0" xfId="0" applyNumberFormat="1" applyFont="1" applyFill="1" applyAlignment="1" applyProtection="1">
      <alignment vertical="center"/>
    </xf>
    <xf numFmtId="185" fontId="31" fillId="2" borderId="15" xfId="0" applyNumberFormat="1" applyFont="1" applyFill="1" applyBorder="1" applyAlignment="1" applyProtection="1">
      <alignment vertical="center"/>
    </xf>
    <xf numFmtId="0" fontId="54" fillId="0" borderId="0" xfId="0" applyFont="1" applyFill="1"/>
    <xf numFmtId="37" fontId="35" fillId="0" borderId="0" xfId="0" applyNumberFormat="1" applyFont="1" applyFill="1" applyAlignment="1" applyProtection="1">
      <alignment vertical="center"/>
    </xf>
    <xf numFmtId="192" fontId="31" fillId="0" borderId="0" xfId="0" applyNumberFormat="1" applyFont="1" applyFill="1" applyAlignment="1" applyProtection="1">
      <alignment vertical="center"/>
      <protection locked="0"/>
    </xf>
    <xf numFmtId="202" fontId="55" fillId="0" borderId="2" xfId="0" applyNumberFormat="1" applyFont="1" applyFill="1" applyBorder="1" applyAlignment="1" applyProtection="1">
      <alignment vertical="center"/>
      <protection locked="0"/>
    </xf>
    <xf numFmtId="202" fontId="17" fillId="0" borderId="2" xfId="0" applyNumberFormat="1" applyFont="1" applyFill="1" applyBorder="1" applyAlignment="1" applyProtection="1">
      <alignment vertical="center"/>
      <protection locked="0"/>
    </xf>
    <xf numFmtId="185" fontId="35" fillId="0" borderId="23" xfId="0" applyNumberFormat="1" applyFont="1" applyFill="1" applyBorder="1" applyAlignment="1" applyProtection="1">
      <alignment vertical="center"/>
    </xf>
    <xf numFmtId="185" fontId="17" fillId="0" borderId="1" xfId="0" applyNumberFormat="1" applyFont="1" applyFill="1" applyBorder="1" applyAlignment="1" applyProtection="1">
      <alignment vertical="center"/>
    </xf>
    <xf numFmtId="2" fontId="0" fillId="0" borderId="4" xfId="0" applyNumberFormat="1" applyFill="1" applyBorder="1"/>
    <xf numFmtId="167" fontId="35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Border="1" applyAlignment="1" applyProtection="1">
      <alignment vertical="center"/>
    </xf>
    <xf numFmtId="204" fontId="21" fillId="0" borderId="0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2" fontId="0" fillId="0" borderId="0" xfId="0" applyNumberFormat="1" applyFill="1"/>
    <xf numFmtId="167" fontId="35" fillId="0" borderId="2" xfId="2" applyNumberFormat="1" applyFont="1" applyFill="1" applyBorder="1" applyAlignment="1" applyProtection="1">
      <alignment vertical="center"/>
      <protection locked="0"/>
    </xf>
    <xf numFmtId="185" fontId="17" fillId="0" borderId="17" xfId="0" applyNumberFormat="1" applyFont="1" applyFill="1" applyBorder="1" applyAlignment="1" applyProtection="1">
      <alignment vertical="center"/>
    </xf>
    <xf numFmtId="178" fontId="54" fillId="0" borderId="0" xfId="0" applyNumberFormat="1" applyFont="1" applyFill="1"/>
    <xf numFmtId="37" fontId="17" fillId="0" borderId="0" xfId="0" applyNumberFormat="1" applyFont="1" applyFill="1" applyBorder="1" applyAlignment="1" applyProtection="1">
      <alignment vertical="center"/>
    </xf>
    <xf numFmtId="37" fontId="0" fillId="0" borderId="0" xfId="0" applyNumberFormat="1" applyFill="1"/>
    <xf numFmtId="37" fontId="11" fillId="0" borderId="15" xfId="0" applyNumberFormat="1" applyFont="1" applyFill="1" applyBorder="1" applyAlignment="1" applyProtection="1">
      <alignment vertical="center"/>
    </xf>
    <xf numFmtId="167" fontId="11" fillId="0" borderId="0" xfId="0" applyNumberFormat="1" applyFont="1" applyFill="1" applyAlignment="1" applyProtection="1">
      <alignment vertical="center"/>
    </xf>
    <xf numFmtId="167" fontId="17" fillId="0" borderId="0" xfId="0" applyNumberFormat="1" applyFont="1" applyFill="1" applyAlignment="1" applyProtection="1">
      <alignment vertical="center"/>
    </xf>
    <xf numFmtId="185" fontId="39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7" fontId="21" fillId="2" borderId="0" xfId="0" applyNumberFormat="1" applyFont="1" applyFill="1" applyAlignment="1" applyProtection="1">
      <alignment vertical="center"/>
    </xf>
    <xf numFmtId="167" fontId="39" fillId="0" borderId="0" xfId="1" applyNumberFormat="1" applyFont="1" applyFill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48" fillId="0" borderId="0" xfId="0" applyFont="1" applyFill="1"/>
    <xf numFmtId="167" fontId="38" fillId="2" borderId="4" xfId="0" applyNumberFormat="1" applyFont="1" applyFill="1" applyBorder="1" applyAlignment="1" applyProtection="1">
      <alignment vertical="center"/>
    </xf>
    <xf numFmtId="167" fontId="56" fillId="0" borderId="4" xfId="1" applyNumberFormat="1" applyFont="1" applyFill="1" applyBorder="1" applyAlignment="1" applyProtection="1">
      <alignment vertical="center"/>
    </xf>
    <xf numFmtId="167" fontId="35" fillId="2" borderId="0" xfId="0" applyNumberFormat="1" applyFont="1" applyFill="1" applyAlignment="1" applyProtection="1">
      <alignment vertical="center"/>
    </xf>
    <xf numFmtId="167" fontId="31" fillId="0" borderId="0" xfId="0" applyNumberFormat="1" applyFont="1" applyFill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37" fontId="6" fillId="0" borderId="0" xfId="0" applyNumberFormat="1" applyFont="1" applyFill="1" applyAlignment="1" applyProtection="1">
      <alignment vertical="center"/>
      <protection locked="0"/>
    </xf>
    <xf numFmtId="167" fontId="57" fillId="2" borderId="0" xfId="0" applyNumberFormat="1" applyFont="1" applyFill="1" applyAlignment="1" applyProtection="1">
      <alignment vertical="center"/>
    </xf>
    <xf numFmtId="167" fontId="38" fillId="2" borderId="0" xfId="0" applyNumberFormat="1" applyFont="1" applyFill="1" applyAlignment="1" applyProtection="1">
      <alignment vertical="center"/>
    </xf>
    <xf numFmtId="167" fontId="21" fillId="2" borderId="4" xfId="0" applyNumberFormat="1" applyFont="1" applyFill="1" applyBorder="1" applyAlignment="1" applyProtection="1">
      <alignment vertical="center"/>
    </xf>
    <xf numFmtId="167" fontId="39" fillId="0" borderId="4" xfId="1" applyNumberFormat="1" applyFont="1" applyFill="1" applyBorder="1" applyAlignment="1" applyProtection="1">
      <alignment vertical="center"/>
    </xf>
    <xf numFmtId="167" fontId="39" fillId="0" borderId="24" xfId="0" applyNumberFormat="1" applyFont="1" applyFill="1" applyBorder="1" applyAlignment="1" applyProtection="1">
      <alignment vertical="center"/>
    </xf>
    <xf numFmtId="167" fontId="39" fillId="0" borderId="25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  <protection locked="0"/>
    </xf>
    <xf numFmtId="185" fontId="39" fillId="0" borderId="4" xfId="0" applyNumberFormat="1" applyFont="1" applyFill="1" applyBorder="1" applyAlignment="1" applyProtection="1">
      <alignment vertical="center"/>
    </xf>
    <xf numFmtId="167" fontId="43" fillId="0" borderId="4" xfId="1" applyNumberFormat="1" applyFont="1" applyFill="1" applyBorder="1" applyAlignment="1">
      <alignment vertical="center"/>
    </xf>
    <xf numFmtId="164" fontId="43" fillId="0" borderId="14" xfId="1" applyNumberFormat="1" applyFont="1" applyFill="1" applyBorder="1" applyAlignment="1">
      <alignment vertical="center"/>
    </xf>
    <xf numFmtId="167" fontId="43" fillId="0" borderId="4" xfId="0" applyNumberFormat="1" applyFont="1" applyFill="1" applyBorder="1" applyAlignment="1">
      <alignment vertical="center"/>
    </xf>
    <xf numFmtId="167" fontId="43" fillId="0" borderId="14" xfId="0" applyNumberFormat="1" applyFont="1" applyFill="1" applyBorder="1" applyAlignment="1">
      <alignment vertical="center"/>
    </xf>
    <xf numFmtId="37" fontId="39" fillId="0" borderId="0" xfId="0" applyNumberFormat="1" applyFont="1" applyFill="1" applyBorder="1" applyAlignment="1">
      <alignment horizontal="left" vertical="center"/>
    </xf>
    <xf numFmtId="167" fontId="43" fillId="0" borderId="0" xfId="0" applyNumberFormat="1" applyFont="1" applyFill="1" applyBorder="1" applyAlignment="1">
      <alignment vertical="center"/>
    </xf>
    <xf numFmtId="0" fontId="58" fillId="0" borderId="0" xfId="0" applyFont="1" applyFill="1" applyAlignment="1">
      <alignment horizontal="left" vertical="center"/>
    </xf>
    <xf numFmtId="168" fontId="31" fillId="0" borderId="0" xfId="0" applyNumberFormat="1" applyFont="1" applyFill="1" applyAlignment="1">
      <alignment vertical="center"/>
    </xf>
    <xf numFmtId="185" fontId="21" fillId="2" borderId="4" xfId="0" applyNumberFormat="1" applyFont="1" applyFill="1" applyBorder="1" applyAlignment="1" applyProtection="1">
      <alignment vertical="center"/>
    </xf>
    <xf numFmtId="167" fontId="43" fillId="0" borderId="4" xfId="0" applyNumberFormat="1" applyFont="1" applyFill="1" applyBorder="1" applyAlignment="1" applyProtection="1">
      <alignment vertical="center"/>
    </xf>
    <xf numFmtId="167" fontId="43" fillId="0" borderId="1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Border="1" applyAlignment="1" applyProtection="1">
      <alignment vertical="center"/>
    </xf>
    <xf numFmtId="37" fontId="31" fillId="2" borderId="0" xfId="0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167" fontId="39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  <protection locked="0"/>
    </xf>
    <xf numFmtId="167" fontId="39" fillId="4" borderId="4" xfId="0" applyNumberFormat="1" applyFont="1" applyFill="1" applyBorder="1" applyAlignment="1" applyProtection="1">
      <alignment vertical="center"/>
    </xf>
    <xf numFmtId="37" fontId="6" fillId="4" borderId="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Alignment="1" applyProtection="1">
      <alignment vertical="center"/>
    </xf>
    <xf numFmtId="0" fontId="39" fillId="0" borderId="0" xfId="0" quotePrefix="1" applyFont="1" applyFill="1" applyAlignment="1">
      <alignment horizontal="left" vertical="center"/>
    </xf>
    <xf numFmtId="37" fontId="31" fillId="0" borderId="0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Alignment="1" applyProtection="1">
      <alignment vertical="center"/>
    </xf>
    <xf numFmtId="37" fontId="6" fillId="0" borderId="4" xfId="0" applyNumberFormat="1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horizontal="left" vertical="center"/>
    </xf>
    <xf numFmtId="167" fontId="39" fillId="0" borderId="4" xfId="0" applyNumberFormat="1" applyFont="1" applyFill="1" applyBorder="1" applyAlignment="1" applyProtection="1">
      <alignment vertical="center"/>
    </xf>
    <xf numFmtId="167" fontId="39" fillId="0" borderId="26" xfId="0" applyNumberFormat="1" applyFont="1" applyFill="1" applyBorder="1" applyAlignment="1">
      <alignment vertical="center"/>
    </xf>
    <xf numFmtId="167" fontId="39" fillId="0" borderId="27" xfId="0" applyNumberFormat="1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vertical="center"/>
    </xf>
    <xf numFmtId="194" fontId="6" fillId="0" borderId="0" xfId="0" applyNumberFormat="1" applyFont="1" applyFill="1" applyAlignment="1" applyProtection="1">
      <alignment vertical="center"/>
    </xf>
    <xf numFmtId="0" fontId="40" fillId="0" borderId="0" xfId="0" applyFont="1" applyFill="1" applyAlignment="1">
      <alignment vertical="center"/>
    </xf>
    <xf numFmtId="194" fontId="31" fillId="0" borderId="0" xfId="0" applyNumberFormat="1" applyFont="1" applyFill="1" applyAlignment="1" applyProtection="1">
      <alignment vertical="center"/>
    </xf>
    <xf numFmtId="5" fontId="6" fillId="0" borderId="0" xfId="0" applyNumberFormat="1" applyFont="1" applyFill="1" applyAlignment="1" applyProtection="1">
      <alignment vertical="center"/>
    </xf>
    <xf numFmtId="0" fontId="39" fillId="0" borderId="4" xfId="0" applyFont="1" applyFill="1" applyBorder="1" applyAlignment="1">
      <alignment horizontal="left" vertical="center"/>
    </xf>
    <xf numFmtId="197" fontId="31" fillId="0" borderId="0" xfId="0" applyNumberFormat="1" applyFont="1" applyFill="1" applyAlignment="1" applyProtection="1">
      <alignment vertical="center"/>
      <protection locked="0"/>
    </xf>
    <xf numFmtId="167" fontId="21" fillId="2" borderId="0" xfId="0" applyNumberFormat="1" applyFont="1" applyFill="1" applyBorder="1" applyAlignment="1" applyProtection="1">
      <alignment vertical="center"/>
    </xf>
    <xf numFmtId="185" fontId="39" fillId="0" borderId="0" xfId="0" applyNumberFormat="1" applyFont="1" applyFill="1" applyBorder="1" applyAlignment="1" applyProtection="1">
      <alignment vertical="center"/>
    </xf>
    <xf numFmtId="185" fontId="43" fillId="0" borderId="4" xfId="0" applyNumberFormat="1" applyFont="1" applyFill="1" applyBorder="1" applyAlignment="1" applyProtection="1">
      <alignment vertical="center"/>
    </xf>
    <xf numFmtId="185" fontId="43" fillId="0" borderId="0" xfId="0" applyNumberFormat="1" applyFont="1" applyFill="1" applyBorder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67" fontId="43" fillId="0" borderId="26" xfId="0" applyNumberFormat="1" applyFont="1" applyFill="1" applyBorder="1" applyAlignment="1" applyProtection="1">
      <alignment vertical="center"/>
    </xf>
    <xf numFmtId="185" fontId="43" fillId="0" borderId="26" xfId="0" applyNumberFormat="1" applyFont="1" applyFill="1" applyBorder="1" applyAlignment="1" applyProtection="1">
      <alignment vertical="center"/>
    </xf>
    <xf numFmtId="198" fontId="57" fillId="0" borderId="0" xfId="0" applyNumberFormat="1" applyFont="1" applyFill="1" applyAlignment="1" applyProtection="1">
      <alignment vertical="center"/>
    </xf>
    <xf numFmtId="194" fontId="59" fillId="0" borderId="0" xfId="0" applyNumberFormat="1" applyFont="1" applyFill="1"/>
    <xf numFmtId="43" fontId="15" fillId="0" borderId="0" xfId="1" applyFont="1" applyFill="1" applyAlignment="1" applyProtection="1">
      <alignment vertical="center"/>
    </xf>
    <xf numFmtId="7" fontId="15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Alignment="1" applyProtection="1">
      <alignment vertical="center"/>
    </xf>
    <xf numFmtId="198" fontId="60" fillId="0" borderId="0" xfId="0" applyNumberFormat="1" applyFont="1" applyFill="1" applyAlignment="1" applyProtection="1">
      <alignment vertical="center"/>
    </xf>
    <xf numFmtId="0" fontId="34" fillId="0" borderId="0" xfId="0" applyFont="1" applyFill="1"/>
    <xf numFmtId="0" fontId="13" fillId="0" borderId="0" xfId="0" applyFont="1" applyFill="1"/>
    <xf numFmtId="0" fontId="61" fillId="0" borderId="0" xfId="0" applyFont="1" applyFill="1"/>
    <xf numFmtId="194" fontId="57" fillId="0" borderId="0" xfId="0" applyNumberFormat="1" applyFont="1" applyFill="1" applyAlignment="1" applyProtection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206" fontId="0" fillId="0" borderId="0" xfId="0" applyNumberFormat="1"/>
    <xf numFmtId="206" fontId="0" fillId="0" borderId="28" xfId="0" applyNumberFormat="1" applyBorder="1"/>
    <xf numFmtId="206" fontId="4" fillId="0" borderId="28" xfId="0" applyNumberFormat="1" applyFont="1" applyBorder="1"/>
    <xf numFmtId="206" fontId="0" fillId="0" borderId="0" xfId="0" applyNumberFormat="1" applyAlignment="1">
      <alignment horizontal="center"/>
    </xf>
    <xf numFmtId="206" fontId="14" fillId="0" borderId="0" xfId="0" applyNumberFormat="1" applyFont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2" fontId="15" fillId="0" borderId="0" xfId="1" applyNumberFormat="1" applyFont="1" applyBorder="1"/>
    <xf numFmtId="0" fontId="4" fillId="2" borderId="0" xfId="0" applyFont="1" applyFill="1"/>
    <xf numFmtId="43" fontId="15" fillId="2" borderId="0" xfId="1" applyFont="1" applyFill="1" applyBorder="1"/>
    <xf numFmtId="43" fontId="15" fillId="2" borderId="0" xfId="1" applyFont="1" applyFill="1"/>
    <xf numFmtId="43" fontId="15" fillId="2" borderId="10" xfId="1" applyFont="1" applyFill="1" applyBorder="1"/>
    <xf numFmtId="0" fontId="15" fillId="2" borderId="0" xfId="0" applyFont="1" applyFill="1"/>
    <xf numFmtId="172" fontId="15" fillId="2" borderId="0" xfId="1" applyNumberFormat="1" applyFont="1" applyFill="1"/>
    <xf numFmtId="172" fontId="15" fillId="2" borderId="10" xfId="1" applyNumberFormat="1" applyFont="1" applyFill="1" applyBorder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43" fontId="15" fillId="5" borderId="0" xfId="1" applyFont="1" applyFill="1" applyBorder="1"/>
    <xf numFmtId="43" fontId="15" fillId="5" borderId="0" xfId="1" applyFont="1" applyFill="1"/>
    <xf numFmtId="43" fontId="15" fillId="5" borderId="10" xfId="1" applyFont="1" applyFill="1" applyBorder="1"/>
    <xf numFmtId="0" fontId="15" fillId="5" borderId="0" xfId="0" applyFont="1" applyFill="1"/>
    <xf numFmtId="172" fontId="15" fillId="5" borderId="0" xfId="1" applyNumberFormat="1" applyFont="1" applyFill="1"/>
    <xf numFmtId="172" fontId="15" fillId="5" borderId="10" xfId="1" applyNumberFormat="1" applyFont="1" applyFill="1" applyBorder="1"/>
    <xf numFmtId="0" fontId="0" fillId="5" borderId="0" xfId="0" applyFill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/>
    <xf numFmtId="0" fontId="4" fillId="0" borderId="10" xfId="0" applyFont="1" applyBorder="1"/>
    <xf numFmtId="172" fontId="15" fillId="2" borderId="0" xfId="1" applyNumberFormat="1" applyFont="1" applyFill="1" applyBorder="1"/>
    <xf numFmtId="172" fontId="15" fillId="5" borderId="0" xfId="1" applyNumberFormat="1" applyFont="1" applyFill="1" applyBorder="1"/>
    <xf numFmtId="0" fontId="0" fillId="0" borderId="0" xfId="0" quotePrefix="1" applyBorder="1"/>
    <xf numFmtId="0" fontId="0" fillId="2" borderId="0" xfId="0" quotePrefix="1" applyFill="1" applyBorder="1"/>
    <xf numFmtId="0" fontId="0" fillId="5" borderId="0" xfId="0" quotePrefix="1" applyFill="1" applyBorder="1"/>
    <xf numFmtId="0" fontId="15" fillId="0" borderId="29" xfId="0" applyFont="1" applyBorder="1"/>
    <xf numFmtId="0" fontId="32" fillId="0" borderId="10" xfId="0" applyFont="1" applyBorder="1"/>
    <xf numFmtId="3" fontId="0" fillId="0" borderId="10" xfId="0" applyNumberFormat="1" applyBorder="1"/>
    <xf numFmtId="3" fontId="4" fillId="0" borderId="10" xfId="0" applyNumberFormat="1" applyFont="1" applyBorder="1"/>
    <xf numFmtId="0" fontId="0" fillId="2" borderId="10" xfId="0" applyFill="1" applyBorder="1"/>
    <xf numFmtId="0" fontId="0" fillId="5" borderId="10" xfId="0" applyFill="1" applyBorder="1"/>
    <xf numFmtId="0" fontId="28" fillId="5" borderId="0" xfId="0" applyFont="1" applyFill="1"/>
    <xf numFmtId="0" fontId="2" fillId="2" borderId="0" xfId="0" applyFont="1" applyFill="1"/>
    <xf numFmtId="43" fontId="8" fillId="5" borderId="0" xfId="1" applyFont="1" applyFill="1"/>
    <xf numFmtId="43" fontId="8" fillId="5" borderId="10" xfId="1" applyFont="1" applyFill="1" applyBorder="1"/>
    <xf numFmtId="0" fontId="8" fillId="5" borderId="10" xfId="0" applyFont="1" applyFill="1" applyBorder="1"/>
    <xf numFmtId="0" fontId="15" fillId="2" borderId="1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32" fillId="2" borderId="0" xfId="0" applyFont="1" applyFill="1"/>
    <xf numFmtId="0" fontId="6" fillId="2" borderId="10" xfId="0" quotePrefix="1" applyFont="1" applyFill="1" applyBorder="1"/>
    <xf numFmtId="0" fontId="32" fillId="2" borderId="10" xfId="0" applyFont="1" applyFill="1" applyBorder="1"/>
    <xf numFmtId="0" fontId="0" fillId="5" borderId="0" xfId="0" applyFill="1" applyBorder="1"/>
    <xf numFmtId="0" fontId="32" fillId="5" borderId="0" xfId="0" applyFont="1" applyFill="1"/>
    <xf numFmtId="0" fontId="6" fillId="5" borderId="0" xfId="0" quotePrefix="1" applyFont="1" applyFill="1" applyBorder="1"/>
    <xf numFmtId="0" fontId="15" fillId="5" borderId="10" xfId="0" applyFont="1" applyFill="1" applyBorder="1"/>
    <xf numFmtId="0" fontId="32" fillId="5" borderId="10" xfId="0" applyFont="1" applyFill="1" applyBorder="1"/>
    <xf numFmtId="0" fontId="28" fillId="5" borderId="0" xfId="0" applyFont="1" applyFill="1" applyBorder="1"/>
    <xf numFmtId="0" fontId="41" fillId="5" borderId="0" xfId="0" applyFont="1" applyFill="1"/>
    <xf numFmtId="0" fontId="2" fillId="5" borderId="0" xfId="0" applyFont="1" applyFill="1"/>
    <xf numFmtId="43" fontId="6" fillId="5" borderId="0" xfId="1" applyFont="1" applyFill="1"/>
    <xf numFmtId="43" fontId="6" fillId="5" borderId="10" xfId="1" applyFont="1" applyFill="1" applyBorder="1"/>
    <xf numFmtId="0" fontId="6" fillId="5" borderId="10" xfId="0" applyFont="1" applyFill="1" applyBorder="1"/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207" fontId="21" fillId="0" borderId="0" xfId="0" applyNumberFormat="1" applyFont="1" applyFill="1" applyBorder="1" applyAlignment="1">
      <alignment horizontal="left" vertical="center"/>
    </xf>
    <xf numFmtId="172" fontId="4" fillId="0" borderId="0" xfId="1" applyNumberFormat="1" applyFont="1"/>
    <xf numFmtId="0" fontId="4" fillId="0" borderId="0" xfId="0" applyFont="1" applyBorder="1"/>
    <xf numFmtId="172" fontId="14" fillId="0" borderId="0" xfId="1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2" borderId="0" xfId="1" applyNumberFormat="1" applyFont="1" applyFill="1"/>
    <xf numFmtId="165" fontId="32" fillId="2" borderId="0" xfId="1" applyNumberFormat="1" applyFont="1" applyFill="1"/>
    <xf numFmtId="43" fontId="32" fillId="2" borderId="10" xfId="1" applyFont="1" applyFill="1" applyBorder="1"/>
    <xf numFmtId="0" fontId="6" fillId="2" borderId="0" xfId="0" applyFont="1" applyFill="1"/>
    <xf numFmtId="1" fontId="0" fillId="0" borderId="0" xfId="0" applyNumberFormat="1"/>
    <xf numFmtId="1" fontId="4" fillId="0" borderId="12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/>
    <xf numFmtId="172" fontId="6" fillId="2" borderId="0" xfId="1" applyNumberFormat="1" applyFont="1" applyFill="1" applyBorder="1"/>
    <xf numFmtId="172" fontId="6" fillId="2" borderId="0" xfId="1" applyNumberFormat="1" applyFont="1" applyFill="1"/>
    <xf numFmtId="172" fontId="6" fillId="2" borderId="10" xfId="1" applyNumberFormat="1" applyFont="1" applyFill="1" applyBorder="1"/>
    <xf numFmtId="0" fontId="15" fillId="2" borderId="12" xfId="0" applyFont="1" applyFill="1" applyBorder="1"/>
    <xf numFmtId="0" fontId="15" fillId="2" borderId="29" xfId="0" applyFont="1" applyFill="1" applyBorder="1"/>
    <xf numFmtId="172" fontId="4" fillId="2" borderId="0" xfId="1" applyNumberFormat="1" applyFont="1" applyFill="1" applyBorder="1"/>
    <xf numFmtId="172" fontId="4" fillId="2" borderId="0" xfId="1" applyNumberFormat="1" applyFont="1" applyFill="1"/>
    <xf numFmtId="172" fontId="4" fillId="2" borderId="10" xfId="1" applyNumberFormat="1" applyFont="1" applyFill="1" applyBorder="1"/>
    <xf numFmtId="0" fontId="4" fillId="0" borderId="28" xfId="0" applyFont="1" applyBorder="1"/>
    <xf numFmtId="172" fontId="4" fillId="0" borderId="0" xfId="1" applyNumberFormat="1" applyFont="1" applyBorder="1"/>
    <xf numFmtId="172" fontId="0" fillId="0" borderId="12" xfId="1" applyNumberFormat="1" applyFont="1" applyBorder="1"/>
    <xf numFmtId="172" fontId="14" fillId="0" borderId="12" xfId="1" applyNumberFormat="1" applyFont="1" applyBorder="1" applyAlignment="1">
      <alignment horizontal="center"/>
    </xf>
    <xf numFmtId="0" fontId="63" fillId="0" borderId="0" xfId="0" quotePrefix="1" applyFont="1" applyAlignment="1">
      <alignment horizontal="left"/>
    </xf>
    <xf numFmtId="181" fontId="1" fillId="0" borderId="0" xfId="2" applyNumberFormat="1" applyAlignment="1">
      <alignment horizontal="center"/>
    </xf>
    <xf numFmtId="22" fontId="0" fillId="0" borderId="0" xfId="0" applyNumberFormat="1" applyAlignment="1"/>
    <xf numFmtId="22" fontId="0" fillId="0" borderId="0" xfId="0" applyNumberFormat="1" applyAlignment="1">
      <alignment horizontal="center"/>
    </xf>
    <xf numFmtId="0" fontId="64" fillId="0" borderId="0" xfId="0" applyFont="1" applyAlignment="1">
      <alignment horizontal="left"/>
    </xf>
    <xf numFmtId="22" fontId="2" fillId="0" borderId="0" xfId="0" applyNumberFormat="1" applyFont="1" applyAlignment="1"/>
    <xf numFmtId="22" fontId="2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7" fontId="65" fillId="2" borderId="0" xfId="0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5" fillId="0" borderId="0" xfId="0" quotePrefix="1" applyNumberFormat="1" applyFont="1" applyAlignment="1">
      <alignment horizontal="center"/>
    </xf>
    <xf numFmtId="181" fontId="65" fillId="0" borderId="0" xfId="2" quotePrefix="1" applyNumberFormat="1" applyFont="1" applyAlignment="1">
      <alignment horizontal="center"/>
    </xf>
    <xf numFmtId="181" fontId="65" fillId="0" borderId="0" xfId="2" applyNumberFormat="1" applyFont="1" applyAlignment="1">
      <alignment horizontal="center"/>
    </xf>
    <xf numFmtId="181" fontId="59" fillId="0" borderId="0" xfId="2" quotePrefix="1" applyNumberFormat="1" applyFont="1" applyAlignment="1">
      <alignment horizontal="center"/>
    </xf>
    <xf numFmtId="181" fontId="59" fillId="0" borderId="0" xfId="2" applyNumberFormat="1" applyFont="1" applyAlignment="1">
      <alignment horizontal="center"/>
    </xf>
    <xf numFmtId="0" fontId="65" fillId="0" borderId="0" xfId="0" applyFont="1" applyAlignment="1"/>
    <xf numFmtId="0" fontId="65" fillId="0" borderId="0" xfId="0" applyFont="1" applyAlignment="1">
      <alignment horizontal="left"/>
    </xf>
    <xf numFmtId="0" fontId="65" fillId="0" borderId="28" xfId="0" applyFont="1" applyBorder="1" applyAlignment="1">
      <alignment horizontal="center"/>
    </xf>
    <xf numFmtId="3" fontId="65" fillId="0" borderId="28" xfId="0" applyNumberFormat="1" applyFont="1" applyBorder="1" applyAlignment="1">
      <alignment horizontal="center"/>
    </xf>
    <xf numFmtId="181" fontId="65" fillId="0" borderId="28" xfId="2" applyNumberFormat="1" applyFont="1" applyBorder="1" applyAlignment="1">
      <alignment horizontal="center"/>
    </xf>
    <xf numFmtId="0" fontId="65" fillId="0" borderId="28" xfId="0" applyFont="1" applyBorder="1" applyAlignment="1"/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/>
    <xf numFmtId="0" fontId="28" fillId="0" borderId="0" xfId="0" applyFont="1" applyFill="1" applyAlignment="1">
      <alignment horizontal="center"/>
    </xf>
    <xf numFmtId="3" fontId="65" fillId="0" borderId="0" xfId="0" applyNumberFormat="1" applyFont="1" applyBorder="1" applyAlignment="1">
      <alignment horizontal="center"/>
    </xf>
    <xf numFmtId="181" fontId="65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Fill="1" applyAlignment="1">
      <alignment horizontal="center"/>
    </xf>
    <xf numFmtId="169" fontId="6" fillId="0" borderId="0" xfId="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9" fillId="0" borderId="0" xfId="0" applyFont="1" applyFill="1"/>
    <xf numFmtId="0" fontId="66" fillId="0" borderId="0" xfId="0" applyFont="1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92" fontId="1" fillId="0" borderId="0" xfId="2" quotePrefix="1" applyNumberFormat="1" applyFont="1" applyFill="1" applyAlignment="1">
      <alignment horizontal="center"/>
    </xf>
    <xf numFmtId="181" fontId="1" fillId="0" borderId="0" xfId="2" applyNumberFormat="1" applyFont="1" applyFill="1" applyBorder="1" applyAlignment="1">
      <alignment horizontal="center"/>
    </xf>
    <xf numFmtId="181" fontId="1" fillId="0" borderId="0" xfId="2" applyNumberFormat="1" applyFont="1" applyFill="1" applyAlignment="1">
      <alignment horizontal="center"/>
    </xf>
    <xf numFmtId="169" fontId="1" fillId="0" borderId="0" xfId="2" applyNumberFormat="1" applyFont="1" applyFill="1" applyAlignment="1">
      <alignment horizontal="center"/>
    </xf>
    <xf numFmtId="0" fontId="67" fillId="0" borderId="0" xfId="0" applyFont="1" applyFill="1"/>
    <xf numFmtId="0" fontId="6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68" fillId="0" borderId="0" xfId="0" applyFont="1" applyFill="1"/>
    <xf numFmtId="0" fontId="69" fillId="0" borderId="0" xfId="0" applyFont="1" applyFill="1"/>
    <xf numFmtId="192" fontId="1" fillId="0" borderId="0" xfId="2" quotePrefix="1" applyNumberFormat="1" applyFont="1" applyFill="1" applyBorder="1" applyAlignment="1">
      <alignment horizontal="center"/>
    </xf>
    <xf numFmtId="169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0" fillId="0" borderId="0" xfId="0" applyFill="1" applyBorder="1"/>
    <xf numFmtId="14" fontId="8" fillId="0" borderId="0" xfId="0" applyNumberFormat="1" applyFont="1" applyFill="1" applyBorder="1" applyAlignment="1">
      <alignment horizontal="center"/>
    </xf>
    <xf numFmtId="192" fontId="6" fillId="0" borderId="0" xfId="2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Alignment="1">
      <alignment horizontal="center"/>
    </xf>
    <xf numFmtId="0" fontId="68" fillId="0" borderId="0" xfId="0" applyFont="1" applyFill="1" applyBorder="1"/>
    <xf numFmtId="169" fontId="71" fillId="0" borderId="0" xfId="2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71" fillId="0" borderId="0" xfId="0" applyFont="1" applyFill="1" applyBorder="1"/>
    <xf numFmtId="0" fontId="71" fillId="0" borderId="0" xfId="0" applyFont="1" applyFill="1"/>
    <xf numFmtId="3" fontId="71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14" fontId="71" fillId="0" borderId="0" xfId="0" applyNumberFormat="1" applyFont="1" applyFill="1" applyBorder="1" applyAlignment="1">
      <alignment horizontal="center"/>
    </xf>
    <xf numFmtId="181" fontId="71" fillId="0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9" fontId="6" fillId="0" borderId="4" xfId="2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92" fontId="1" fillId="0" borderId="0" xfId="2" applyNumberFormat="1" applyFont="1" applyBorder="1" applyAlignment="1">
      <alignment horizontal="center"/>
    </xf>
    <xf numFmtId="181" fontId="6" fillId="0" borderId="0" xfId="2" applyNumberFormat="1" applyFont="1" applyBorder="1" applyAlignment="1">
      <alignment horizontal="center"/>
    </xf>
    <xf numFmtId="181" fontId="1" fillId="0" borderId="0" xfId="2" applyNumberFormat="1" applyFont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0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8" fillId="0" borderId="0" xfId="0" applyFont="1" applyFill="1" applyBorder="1" applyAlignment="1">
      <alignment horizontal="center"/>
    </xf>
    <xf numFmtId="192" fontId="1" fillId="0" borderId="0" xfId="2" quotePrefix="1" applyNumberFormat="1" applyFont="1" applyBorder="1" applyAlignment="1">
      <alignment horizont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/>
    <xf numFmtId="0" fontId="7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92" fontId="1" fillId="0" borderId="0" xfId="2" quotePrefix="1" applyNumberFormat="1" applyFont="1" applyAlignment="1">
      <alignment horizontal="center"/>
    </xf>
    <xf numFmtId="169" fontId="1" fillId="0" borderId="0" xfId="2" applyNumberFormat="1" applyFont="1" applyAlignment="1">
      <alignment horizontal="center"/>
    </xf>
    <xf numFmtId="0" fontId="67" fillId="0" borderId="0" xfId="0" quotePrefix="1" applyFont="1" applyBorder="1" applyAlignment="1">
      <alignment horizontal="left"/>
    </xf>
    <xf numFmtId="0" fontId="67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169" fontId="1" fillId="0" borderId="0" xfId="2" quotePrefix="1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3" fontId="1" fillId="0" borderId="4" xfId="0" applyNumberFormat="1" applyFont="1" applyFill="1" applyBorder="1" applyAlignment="1">
      <alignment horizontal="center"/>
    </xf>
    <xf numFmtId="169" fontId="1" fillId="0" borderId="4" xfId="2" applyNumberFormat="1" applyFont="1" applyFill="1" applyBorder="1" applyAlignment="1">
      <alignment horizontal="center"/>
    </xf>
    <xf numFmtId="0" fontId="0" fillId="0" borderId="0" xfId="0" applyAlignment="1"/>
    <xf numFmtId="14" fontId="1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Fill="1"/>
    <xf numFmtId="192" fontId="6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181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8" fillId="0" borderId="0" xfId="0" applyFont="1" applyFill="1" applyBorder="1" applyAlignment="1">
      <alignment horizontal="center"/>
    </xf>
    <xf numFmtId="181" fontId="74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92" fontId="11" fillId="0" borderId="0" xfId="2" quotePrefix="1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left"/>
    </xf>
    <xf numFmtId="0" fontId="67" fillId="0" borderId="0" xfId="0" applyFont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quotePrefix="1" applyFont="1" applyFill="1" applyBorder="1" applyAlignment="1">
      <alignment horizontal="left"/>
    </xf>
    <xf numFmtId="0" fontId="6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7" fontId="2" fillId="0" borderId="0" xfId="0" quotePrefix="1" applyNumberFormat="1" applyFont="1" applyFill="1" applyBorder="1" applyAlignment="1">
      <alignment horizontal="center"/>
    </xf>
    <xf numFmtId="192" fontId="1" fillId="0" borderId="0" xfId="0" applyNumberFormat="1" applyFont="1" applyBorder="1"/>
    <xf numFmtId="0" fontId="67" fillId="0" borderId="0" xfId="0" applyFont="1" applyFill="1" applyBorder="1" applyAlignment="1"/>
    <xf numFmtId="0" fontId="66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92" fontId="71" fillId="0" borderId="0" xfId="2" quotePrefix="1" applyNumberFormat="1" applyFont="1" applyFill="1" applyBorder="1" applyAlignment="1">
      <alignment horizontal="center"/>
    </xf>
    <xf numFmtId="192" fontId="7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92" fontId="0" fillId="0" borderId="0" xfId="0" applyNumberFormat="1" applyBorder="1"/>
    <xf numFmtId="181" fontId="1" fillId="0" borderId="0" xfId="2" applyNumberFormat="1" applyFill="1" applyBorder="1" applyAlignment="1">
      <alignment horizontal="center"/>
    </xf>
    <xf numFmtId="169" fontId="8" fillId="0" borderId="0" xfId="2" applyNumberFormat="1" applyFont="1" applyFill="1" applyBorder="1" applyAlignment="1">
      <alignment horizontal="center"/>
    </xf>
    <xf numFmtId="169" fontId="1" fillId="0" borderId="0" xfId="2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6" fillId="0" borderId="0" xfId="0" applyFont="1" applyFill="1" applyBorder="1"/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9" fontId="6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81" fontId="11" fillId="0" borderId="0" xfId="2" applyNumberFormat="1" applyFont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5" fillId="0" borderId="0" xfId="0" applyFont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169" fontId="1" fillId="0" borderId="0" xfId="2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quotePrefix="1" applyNumberFormat="1" applyBorder="1" applyAlignment="1">
      <alignment horizontal="left"/>
    </xf>
    <xf numFmtId="3" fontId="0" fillId="0" borderId="0" xfId="0" quotePrefix="1" applyNumberFormat="1" applyBorder="1" applyAlignment="1">
      <alignment horizontal="center"/>
    </xf>
    <xf numFmtId="181" fontId="22" fillId="0" borderId="0" xfId="2" applyNumberFormat="1" applyFont="1" applyBorder="1" applyAlignment="1">
      <alignment horizontal="center"/>
    </xf>
    <xf numFmtId="181" fontId="22" fillId="0" borderId="0" xfId="2" quotePrefix="1" applyNumberFormat="1" applyFont="1" applyBorder="1" applyAlignment="1">
      <alignment horizontal="center"/>
    </xf>
    <xf numFmtId="169" fontId="67" fillId="0" borderId="0" xfId="2" applyNumberFormat="1" applyFont="1" applyBorder="1" applyAlignment="1">
      <alignment horizontal="center"/>
    </xf>
    <xf numFmtId="192" fontId="1" fillId="0" borderId="0" xfId="2" applyNumberFormat="1" applyBorder="1" applyAlignment="1">
      <alignment horizontal="center"/>
    </xf>
    <xf numFmtId="0" fontId="64" fillId="0" borderId="0" xfId="0" applyFont="1" applyFill="1" applyBorder="1" applyAlignment="1">
      <alignment horizontal="left"/>
    </xf>
    <xf numFmtId="22" fontId="70" fillId="0" borderId="0" xfId="0" applyNumberFormat="1" applyFont="1" applyAlignment="1">
      <alignment horizontal="center"/>
    </xf>
    <xf numFmtId="0" fontId="65" fillId="0" borderId="0" xfId="0" applyFont="1" applyFill="1" applyBorder="1" applyAlignment="1">
      <alignment horizontal="left"/>
    </xf>
    <xf numFmtId="17" fontId="65" fillId="2" borderId="0" xfId="0" applyNumberFormat="1" applyFont="1" applyFill="1" applyBorder="1" applyAlignment="1">
      <alignment horizontal="center"/>
    </xf>
    <xf numFmtId="3" fontId="65" fillId="0" borderId="0" xfId="0" quotePrefix="1" applyNumberFormat="1" applyFont="1" applyBorder="1" applyAlignment="1">
      <alignment horizontal="center"/>
    </xf>
    <xf numFmtId="181" fontId="65" fillId="0" borderId="0" xfId="2" quotePrefix="1" applyNumberFormat="1" applyFont="1" applyBorder="1" applyAlignment="1">
      <alignment horizontal="center"/>
    </xf>
    <xf numFmtId="181" fontId="59" fillId="0" borderId="0" xfId="2" quotePrefix="1" applyNumberFormat="1" applyFont="1" applyBorder="1" applyAlignment="1">
      <alignment horizontal="center"/>
    </xf>
    <xf numFmtId="181" fontId="59" fillId="0" borderId="0" xfId="2" applyNumberFormat="1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65" fillId="0" borderId="0" xfId="0" applyFont="1" applyBorder="1" applyAlignment="1">
      <alignment horizontal="left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/>
    </xf>
    <xf numFmtId="169" fontId="1" fillId="0" borderId="0" xfId="2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1" fillId="0" borderId="0" xfId="2" applyNumberFormat="1" applyBorder="1" applyAlignment="1">
      <alignment horizontal="center"/>
    </xf>
    <xf numFmtId="0" fontId="64" fillId="0" borderId="0" xfId="0" applyFont="1" applyBorder="1" applyAlignment="1">
      <alignment horizontal="left"/>
    </xf>
    <xf numFmtId="192" fontId="1" fillId="0" borderId="30" xfId="2" applyNumberFormat="1" applyBorder="1" applyAlignment="1">
      <alignment horizontal="center"/>
    </xf>
    <xf numFmtId="192" fontId="1" fillId="0" borderId="12" xfId="2" applyNumberFormat="1" applyBorder="1" applyAlignment="1">
      <alignment horizontal="center"/>
    </xf>
    <xf numFmtId="192" fontId="1" fillId="0" borderId="31" xfId="2" applyNumberFormat="1" applyBorder="1" applyAlignment="1">
      <alignment horizontal="center"/>
    </xf>
    <xf numFmtId="181" fontId="22" fillId="0" borderId="30" xfId="2" applyNumberFormat="1" applyFont="1" applyBorder="1" applyAlignment="1">
      <alignment horizontal="center"/>
    </xf>
    <xf numFmtId="181" fontId="1" fillId="0" borderId="32" xfId="2" applyNumberFormat="1" applyFont="1" applyBorder="1" applyAlignment="1">
      <alignment horizontal="center"/>
    </xf>
    <xf numFmtId="181" fontId="1" fillId="0" borderId="33" xfId="2" applyNumberFormat="1" applyBorder="1" applyAlignment="1">
      <alignment horizontal="center"/>
    </xf>
    <xf numFmtId="181" fontId="1" fillId="0" borderId="28" xfId="2" applyNumberFormat="1" applyBorder="1" applyAlignment="1">
      <alignment horizontal="center"/>
    </xf>
    <xf numFmtId="181" fontId="1" fillId="0" borderId="34" xfId="2" applyNumberFormat="1" applyBorder="1" applyAlignment="1">
      <alignment horizontal="center"/>
    </xf>
    <xf numFmtId="1" fontId="15" fillId="0" borderId="0" xfId="1" applyNumberFormat="1" applyFont="1"/>
    <xf numFmtId="1" fontId="15" fillId="2" borderId="0" xfId="1" applyNumberFormat="1" applyFont="1" applyFill="1"/>
    <xf numFmtId="1" fontId="8" fillId="5" borderId="0" xfId="1" applyNumberFormat="1" applyFont="1" applyFill="1"/>
    <xf numFmtId="1" fontId="15" fillId="5" borderId="0" xfId="1" applyNumberFormat="1" applyFont="1" applyFill="1"/>
    <xf numFmtId="1" fontId="6" fillId="5" borderId="0" xfId="1" applyNumberFormat="1" applyFont="1" applyFill="1"/>
    <xf numFmtId="1" fontId="15" fillId="0" borderId="0" xfId="1" applyNumberFormat="1" applyFont="1" applyBorder="1"/>
    <xf numFmtId="1" fontId="4" fillId="0" borderId="0" xfId="0" applyNumberFormat="1" applyFont="1"/>
    <xf numFmtId="1" fontId="15" fillId="2" borderId="0" xfId="1" applyNumberFormat="1" applyFont="1" applyFill="1" applyBorder="1"/>
    <xf numFmtId="1" fontId="15" fillId="5" borderId="0" xfId="1" applyNumberFormat="1" applyFont="1" applyFill="1" applyBorder="1"/>
    <xf numFmtId="1" fontId="6" fillId="2" borderId="0" xfId="1" applyNumberFormat="1" applyFont="1" applyFill="1" applyBorder="1"/>
    <xf numFmtId="1" fontId="4" fillId="2" borderId="0" xfId="1" applyNumberFormat="1" applyFont="1" applyFill="1" applyBorder="1"/>
    <xf numFmtId="1" fontId="0" fillId="2" borderId="0" xfId="0" applyNumberFormat="1" applyFill="1"/>
    <xf numFmtId="1" fontId="4" fillId="2" borderId="0" xfId="0" applyNumberFormat="1" applyFont="1" applyFill="1"/>
    <xf numFmtId="5" fontId="0" fillId="0" borderId="10" xfId="2" applyNumberFormat="1" applyFont="1" applyBorder="1"/>
    <xf numFmtId="5" fontId="4" fillId="0" borderId="10" xfId="2" applyNumberFormat="1" applyFont="1" applyBorder="1" applyAlignment="1">
      <alignment horizontal="center"/>
    </xf>
    <xf numFmtId="5" fontId="20" fillId="0" borderId="10" xfId="2" applyNumberFormat="1" applyFont="1" applyBorder="1" applyAlignment="1">
      <alignment horizontal="center"/>
    </xf>
    <xf numFmtId="5" fontId="14" fillId="0" borderId="10" xfId="2" applyNumberFormat="1" applyFont="1" applyBorder="1" applyAlignment="1">
      <alignment horizontal="center"/>
    </xf>
    <xf numFmtId="5" fontId="15" fillId="0" borderId="10" xfId="2" applyNumberFormat="1" applyFont="1" applyBorder="1"/>
    <xf numFmtId="5" fontId="15" fillId="2" borderId="10" xfId="2" applyNumberFormat="1" applyFont="1" applyFill="1" applyBorder="1"/>
    <xf numFmtId="5" fontId="8" fillId="5" borderId="10" xfId="2" applyNumberFormat="1" applyFont="1" applyFill="1" applyBorder="1"/>
    <xf numFmtId="5" fontId="15" fillId="5" borderId="10" xfId="2" applyNumberFormat="1" applyFont="1" applyFill="1" applyBorder="1"/>
    <xf numFmtId="5" fontId="6" fillId="5" borderId="10" xfId="2" applyNumberFormat="1" applyFont="1" applyFill="1" applyBorder="1"/>
    <xf numFmtId="5" fontId="4" fillId="0" borderId="10" xfId="2" applyNumberFormat="1" applyFont="1" applyBorder="1"/>
    <xf numFmtId="5" fontId="32" fillId="2" borderId="10" xfId="2" applyNumberFormat="1" applyFont="1" applyFill="1" applyBorder="1"/>
    <xf numFmtId="5" fontId="6" fillId="2" borderId="10" xfId="2" applyNumberFormat="1" applyFont="1" applyFill="1" applyBorder="1"/>
    <xf numFmtId="5" fontId="4" fillId="2" borderId="10" xfId="2" applyNumberFormat="1" applyFont="1" applyFill="1" applyBorder="1"/>
    <xf numFmtId="5" fontId="0" fillId="2" borderId="10" xfId="2" applyNumberFormat="1" applyFont="1" applyFill="1" applyBorder="1"/>
    <xf numFmtId="9" fontId="15" fillId="0" borderId="0" xfId="3" applyFont="1"/>
    <xf numFmtId="9" fontId="15" fillId="0" borderId="10" xfId="3" applyFont="1" applyBorder="1"/>
    <xf numFmtId="9" fontId="0" fillId="0" borderId="10" xfId="3" applyFont="1" applyBorder="1"/>
    <xf numFmtId="9" fontId="0" fillId="0" borderId="0" xfId="3" applyFont="1"/>
    <xf numFmtId="0" fontId="0" fillId="0" borderId="12" xfId="0" applyBorder="1"/>
    <xf numFmtId="0" fontId="4" fillId="0" borderId="12" xfId="0" applyFont="1" applyBorder="1"/>
    <xf numFmtId="9" fontId="15" fillId="0" borderId="12" xfId="3" applyFont="1" applyBorder="1"/>
    <xf numFmtId="43" fontId="32" fillId="2" borderId="0" xfId="1" applyFont="1" applyFill="1" applyBorder="1"/>
    <xf numFmtId="0" fontId="8" fillId="5" borderId="12" xfId="0" applyFont="1" applyFill="1" applyBorder="1"/>
    <xf numFmtId="0" fontId="15" fillId="5" borderId="12" xfId="0" applyFont="1" applyFill="1" applyBorder="1"/>
    <xf numFmtId="43" fontId="6" fillId="5" borderId="12" xfId="1" applyFont="1" applyFill="1" applyBorder="1"/>
    <xf numFmtId="43" fontId="15" fillId="5" borderId="12" xfId="1" applyFont="1" applyFill="1" applyBorder="1"/>
    <xf numFmtId="172" fontId="6" fillId="2" borderId="12" xfId="1" applyNumberFormat="1" applyFont="1" applyFill="1" applyBorder="1"/>
    <xf numFmtId="172" fontId="4" fillId="2" borderId="12" xfId="1" applyNumberFormat="1" applyFont="1" applyFill="1" applyBorder="1"/>
    <xf numFmtId="0" fontId="0" fillId="2" borderId="12" xfId="0" applyFill="1" applyBorder="1"/>
    <xf numFmtId="0" fontId="4" fillId="2" borderId="12" xfId="0" applyFont="1" applyFill="1" applyBorder="1"/>
    <xf numFmtId="172" fontId="15" fillId="2" borderId="12" xfId="1" applyNumberFormat="1" applyFont="1" applyFill="1" applyBorder="1"/>
    <xf numFmtId="172" fontId="15" fillId="2" borderId="0" xfId="1" quotePrefix="1" applyNumberFormat="1" applyFont="1" applyFill="1" applyBorder="1"/>
    <xf numFmtId="1" fontId="6" fillId="2" borderId="0" xfId="1" applyNumberFormat="1" applyFont="1" applyFill="1"/>
    <xf numFmtId="165" fontId="6" fillId="2" borderId="0" xfId="1" applyNumberFormat="1" applyFont="1" applyFill="1"/>
    <xf numFmtId="5" fontId="6" fillId="2" borderId="0" xfId="2" applyNumberFormat="1" applyFont="1" applyFill="1" applyBorder="1"/>
    <xf numFmtId="1" fontId="4" fillId="2" borderId="0" xfId="1" applyNumberFormat="1" applyFont="1" applyFill="1"/>
    <xf numFmtId="165" fontId="4" fillId="2" borderId="0" xfId="1" applyNumberFormat="1" applyFont="1" applyFill="1"/>
    <xf numFmtId="5" fontId="4" fillId="2" borderId="0" xfId="2" applyNumberFormat="1" applyFont="1" applyFill="1" applyBorder="1"/>
    <xf numFmtId="194" fontId="0" fillId="2" borderId="0" xfId="0" applyNumberFormat="1" applyFill="1"/>
    <xf numFmtId="44" fontId="35" fillId="0" borderId="0" xfId="2" applyFont="1" applyFill="1" applyBorder="1" applyAlignment="1" applyProtection="1">
      <alignment vertical="center"/>
    </xf>
    <xf numFmtId="167" fontId="35" fillId="0" borderId="3" xfId="2" applyNumberFormat="1" applyFont="1" applyFill="1" applyBorder="1" applyAlignment="1" applyProtection="1">
      <alignment vertical="center"/>
      <protection locked="0"/>
    </xf>
    <xf numFmtId="43" fontId="39" fillId="0" borderId="25" xfId="0" applyNumberFormat="1" applyFont="1" applyFill="1" applyBorder="1" applyAlignment="1" applyProtection="1">
      <alignment vertical="center"/>
    </xf>
    <xf numFmtId="0" fontId="80" fillId="0" borderId="0" xfId="0" applyFont="1" applyFill="1"/>
    <xf numFmtId="192" fontId="8" fillId="0" borderId="0" xfId="2" quotePrefix="1" applyNumberFormat="1" applyFont="1" applyFill="1" applyBorder="1" applyAlignment="1">
      <alignment horizontal="center"/>
    </xf>
    <xf numFmtId="169" fontId="78" fillId="0" borderId="0" xfId="2" applyNumberFormat="1" applyFont="1" applyFill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left"/>
    </xf>
    <xf numFmtId="0" fontId="78" fillId="0" borderId="0" xfId="0" applyFont="1" applyFill="1"/>
    <xf numFmtId="0" fontId="82" fillId="0" borderId="0" xfId="0" applyFont="1" applyFill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81" fillId="0" borderId="0" xfId="0" applyFont="1" applyFill="1"/>
    <xf numFmtId="0" fontId="83" fillId="0" borderId="0" xfId="0" applyFont="1" applyFill="1"/>
    <xf numFmtId="5" fontId="32" fillId="0" borderId="10" xfId="2" applyNumberFormat="1" applyFont="1" applyBorder="1"/>
    <xf numFmtId="169" fontId="84" fillId="0" borderId="0" xfId="2" applyNumberFormat="1" applyFont="1" applyBorder="1" applyAlignment="1">
      <alignment horizontal="center"/>
    </xf>
    <xf numFmtId="3" fontId="84" fillId="0" borderId="4" xfId="0" applyNumberFormat="1" applyFont="1" applyBorder="1" applyAlignment="1">
      <alignment horizontal="center"/>
    </xf>
    <xf numFmtId="3" fontId="84" fillId="0" borderId="0" xfId="0" applyNumberFormat="1" applyFont="1" applyBorder="1" applyAlignment="1">
      <alignment horizontal="center"/>
    </xf>
    <xf numFmtId="0" fontId="85" fillId="0" borderId="0" xfId="0" applyFont="1" applyFill="1"/>
    <xf numFmtId="169" fontId="84" fillId="0" borderId="0" xfId="2" applyNumberFormat="1" applyFont="1" applyFill="1" applyBorder="1" applyAlignment="1">
      <alignment horizontal="center"/>
    </xf>
    <xf numFmtId="3" fontId="84" fillId="0" borderId="0" xfId="0" applyNumberFormat="1" applyFont="1" applyFill="1" applyBorder="1" applyAlignment="1">
      <alignment horizontal="center"/>
    </xf>
    <xf numFmtId="169" fontId="84" fillId="0" borderId="0" xfId="2" quotePrefix="1" applyNumberFormat="1" applyFont="1" applyFill="1" applyBorder="1" applyAlignment="1">
      <alignment horizontal="center"/>
    </xf>
    <xf numFmtId="0" fontId="4" fillId="0" borderId="0" xfId="0" applyFont="1" applyFill="1"/>
    <xf numFmtId="3" fontId="84" fillId="0" borderId="4" xfId="0" applyNumberFormat="1" applyFont="1" applyFill="1" applyBorder="1" applyAlignment="1">
      <alignment horizontal="center"/>
    </xf>
    <xf numFmtId="0" fontId="86" fillId="0" borderId="0" xfId="0" applyFont="1" applyFill="1" applyBorder="1" applyAlignment="1">
      <alignment horizontal="left"/>
    </xf>
    <xf numFmtId="0" fontId="86" fillId="0" borderId="0" xfId="0" applyFont="1" applyFill="1"/>
    <xf numFmtId="0" fontId="65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65" fillId="0" borderId="2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2" fillId="0" borderId="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72" fontId="65" fillId="0" borderId="0" xfId="1" applyNumberFormat="1" applyFont="1" applyAlignment="1">
      <alignment horizontal="center"/>
    </xf>
    <xf numFmtId="172" fontId="65" fillId="0" borderId="28" xfId="1" applyNumberFormat="1" applyFont="1" applyBorder="1" applyAlignment="1">
      <alignment horizontal="center"/>
    </xf>
    <xf numFmtId="165" fontId="0" fillId="0" borderId="0" xfId="1" applyNumberFormat="1" applyFont="1"/>
    <xf numFmtId="165" fontId="65" fillId="0" borderId="0" xfId="1" quotePrefix="1" applyNumberFormat="1" applyFont="1" applyAlignment="1">
      <alignment horizontal="center"/>
    </xf>
    <xf numFmtId="165" fontId="65" fillId="0" borderId="0" xfId="1" applyNumberFormat="1" applyFont="1" applyAlignment="1">
      <alignment horizontal="center"/>
    </xf>
    <xf numFmtId="165" fontId="59" fillId="0" borderId="0" xfId="1" quotePrefix="1" applyNumberFormat="1" applyFont="1" applyAlignment="1">
      <alignment horizontal="center"/>
    </xf>
    <xf numFmtId="165" fontId="65" fillId="0" borderId="28" xfId="1" applyNumberFormat="1" applyFont="1" applyBorder="1" applyAlignment="1">
      <alignment horizontal="center"/>
    </xf>
    <xf numFmtId="172" fontId="0" fillId="0" borderId="4" xfId="1" applyNumberFormat="1" applyFont="1" applyBorder="1"/>
    <xf numFmtId="165" fontId="4" fillId="0" borderId="0" xfId="1" applyNumberFormat="1" applyFont="1"/>
    <xf numFmtId="192" fontId="6" fillId="0" borderId="0" xfId="2" applyNumberFormat="1" applyFont="1" applyFill="1" applyBorder="1" applyAlignment="1">
      <alignment horizontal="center"/>
    </xf>
    <xf numFmtId="172" fontId="65" fillId="0" borderId="0" xfId="1" applyNumberFormat="1" applyFont="1" applyBorder="1" applyAlignment="1">
      <alignment horizontal="center"/>
    </xf>
    <xf numFmtId="165" fontId="65" fillId="0" borderId="0" xfId="1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86" fillId="0" borderId="0" xfId="0" applyFont="1" applyFill="1" applyAlignment="1">
      <alignment horizontal="left"/>
    </xf>
    <xf numFmtId="181" fontId="59" fillId="0" borderId="12" xfId="2" applyNumberFormat="1" applyFont="1" applyBorder="1" applyAlignment="1">
      <alignment horizontal="center"/>
    </xf>
    <xf numFmtId="165" fontId="65" fillId="0" borderId="12" xfId="1" applyNumberFormat="1" applyFont="1" applyBorder="1" applyAlignment="1">
      <alignment horizontal="center"/>
    </xf>
    <xf numFmtId="165" fontId="65" fillId="0" borderId="35" xfId="1" applyNumberFormat="1" applyFont="1" applyBorder="1" applyAlignment="1">
      <alignment horizontal="center"/>
    </xf>
    <xf numFmtId="181" fontId="65" fillId="0" borderId="35" xfId="2" applyNumberFormat="1" applyFont="1" applyBorder="1" applyAlignment="1">
      <alignment horizontal="center"/>
    </xf>
    <xf numFmtId="181" fontId="65" fillId="0" borderId="12" xfId="2" applyNumberFormat="1" applyFont="1" applyBorder="1" applyAlignment="1">
      <alignment horizontal="center"/>
    </xf>
    <xf numFmtId="172" fontId="6" fillId="0" borderId="12" xfId="1" applyNumberFormat="1" applyFont="1" applyBorder="1" applyAlignment="1">
      <alignment horizontal="center"/>
    </xf>
    <xf numFmtId="172" fontId="65" fillId="0" borderId="12" xfId="1" applyNumberFormat="1" applyFont="1" applyBorder="1" applyAlignment="1">
      <alignment horizontal="center"/>
    </xf>
    <xf numFmtId="172" fontId="4" fillId="0" borderId="12" xfId="1" applyNumberFormat="1" applyFont="1" applyBorder="1"/>
    <xf numFmtId="172" fontId="6" fillId="0" borderId="13" xfId="1" applyNumberFormat="1" applyFont="1" applyBorder="1" applyAlignment="1">
      <alignment horizontal="center"/>
    </xf>
    <xf numFmtId="172" fontId="4" fillId="0" borderId="12" xfId="1" applyNumberFormat="1" applyFont="1" applyBorder="1" applyAlignment="1">
      <alignment horizontal="center"/>
    </xf>
    <xf numFmtId="172" fontId="0" fillId="0" borderId="13" xfId="1" applyNumberFormat="1" applyFont="1" applyBorder="1"/>
    <xf numFmtId="3" fontId="6" fillId="0" borderId="0" xfId="0" applyNumberFormat="1" applyFont="1" applyAlignment="1">
      <alignment horizontal="center"/>
    </xf>
    <xf numFmtId="192" fontId="6" fillId="0" borderId="0" xfId="2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22" fontId="6" fillId="0" borderId="0" xfId="0" applyNumberFormat="1" applyFont="1" applyAlignment="1">
      <alignment horizontal="left"/>
    </xf>
    <xf numFmtId="207" fontId="12" fillId="0" borderId="0" xfId="0" applyNumberFormat="1" applyFont="1"/>
    <xf numFmtId="171" fontId="15" fillId="0" borderId="0" xfId="2" applyNumberFormat="1" applyFont="1" applyBorder="1"/>
    <xf numFmtId="0" fontId="4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172" fontId="6" fillId="5" borderId="0" xfId="1" applyNumberFormat="1" applyFont="1" applyFill="1" applyBorder="1" applyAlignment="1">
      <alignment horizontal="center"/>
    </xf>
    <xf numFmtId="165" fontId="6" fillId="5" borderId="0" xfId="1" applyNumberFormat="1" applyFont="1" applyFill="1" applyBorder="1" applyAlignment="1">
      <alignment horizontal="center"/>
    </xf>
    <xf numFmtId="10" fontId="0" fillId="0" borderId="0" xfId="3" applyNumberFormat="1" applyFont="1"/>
    <xf numFmtId="10" fontId="4" fillId="0" borderId="0" xfId="3" applyNumberFormat="1" applyFont="1"/>
    <xf numFmtId="169" fontId="0" fillId="0" borderId="14" xfId="2" applyNumberFormat="1" applyFont="1" applyBorder="1"/>
    <xf numFmtId="14" fontId="4" fillId="0" borderId="0" xfId="0" applyNumberFormat="1" applyFont="1" applyAlignment="1">
      <alignment horizontal="center"/>
    </xf>
    <xf numFmtId="1" fontId="6" fillId="0" borderId="0" xfId="1" applyNumberFormat="1" applyFont="1"/>
    <xf numFmtId="172" fontId="6" fillId="0" borderId="10" xfId="1" applyNumberFormat="1" applyFont="1" applyBorder="1"/>
    <xf numFmtId="172" fontId="6" fillId="0" borderId="12" xfId="1" applyNumberFormat="1" applyFont="1" applyBorder="1"/>
    <xf numFmtId="169" fontId="0" fillId="0" borderId="1" xfId="2" applyNumberFormat="1" applyFont="1" applyBorder="1"/>
    <xf numFmtId="169" fontId="0" fillId="0" borderId="2" xfId="2" applyNumberFormat="1" applyFont="1" applyBorder="1"/>
    <xf numFmtId="169" fontId="4" fillId="0" borderId="3" xfId="2" applyNumberFormat="1" applyFont="1" applyBorder="1"/>
    <xf numFmtId="164" fontId="6" fillId="5" borderId="0" xfId="1" applyNumberFormat="1" applyFont="1" applyFill="1"/>
    <xf numFmtId="168" fontId="6" fillId="5" borderId="0" xfId="0" applyNumberFormat="1" applyFont="1" applyFill="1"/>
    <xf numFmtId="169" fontId="4" fillId="0" borderId="4" xfId="2" applyNumberFormat="1" applyFont="1" applyBorder="1"/>
    <xf numFmtId="169" fontId="4" fillId="0" borderId="0" xfId="0" applyNumberFormat="1" applyFont="1"/>
    <xf numFmtId="0" fontId="4" fillId="0" borderId="28" xfId="0" applyFont="1" applyBorder="1" applyAlignment="1">
      <alignment horizontal="center"/>
    </xf>
    <xf numFmtId="169" fontId="0" fillId="0" borderId="4" xfId="0" applyNumberFormat="1" applyBorder="1"/>
    <xf numFmtId="0" fontId="32" fillId="0" borderId="0" xfId="0" applyFont="1" applyBorder="1" applyAlignment="1">
      <alignment horizontal="center"/>
    </xf>
    <xf numFmtId="0" fontId="86" fillId="0" borderId="0" xfId="0" applyFont="1"/>
    <xf numFmtId="0" fontId="87" fillId="0" borderId="0" xfId="0" applyFont="1"/>
    <xf numFmtId="164" fontId="6" fillId="0" borderId="0" xfId="0" applyNumberFormat="1" applyFont="1" applyFill="1" applyBorder="1"/>
    <xf numFmtId="0" fontId="65" fillId="5" borderId="0" xfId="0" applyFont="1" applyFill="1" applyBorder="1" applyAlignment="1">
      <alignment horizontal="center"/>
    </xf>
    <xf numFmtId="165" fontId="65" fillId="5" borderId="0" xfId="1" applyNumberFormat="1" applyFont="1" applyFill="1" applyBorder="1" applyAlignment="1">
      <alignment horizontal="center"/>
    </xf>
    <xf numFmtId="0" fontId="0" fillId="0" borderId="4" xfId="0" applyBorder="1"/>
    <xf numFmtId="0" fontId="65" fillId="5" borderId="0" xfId="0" applyFont="1" applyFill="1" applyBorder="1" applyAlignment="1">
      <alignment horizontal="left"/>
    </xf>
    <xf numFmtId="165" fontId="65" fillId="5" borderId="12" xfId="1" applyNumberFormat="1" applyFont="1" applyFill="1" applyBorder="1" applyAlignment="1">
      <alignment horizontal="center"/>
    </xf>
    <xf numFmtId="181" fontId="65" fillId="5" borderId="0" xfId="2" applyNumberFormat="1" applyFont="1" applyFill="1" applyBorder="1" applyAlignment="1">
      <alignment horizontal="center"/>
    </xf>
    <xf numFmtId="181" fontId="65" fillId="5" borderId="12" xfId="2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72" fontId="8" fillId="0" borderId="0" xfId="1" applyNumberFormat="1" applyFont="1" applyBorder="1" applyAlignment="1">
      <alignment vertical="center"/>
    </xf>
    <xf numFmtId="165" fontId="6" fillId="0" borderId="0" xfId="1" applyNumberFormat="1" applyFont="1"/>
    <xf numFmtId="169" fontId="6" fillId="0" borderId="0" xfId="2" applyNumberFormat="1" applyFont="1"/>
    <xf numFmtId="0" fontId="4" fillId="0" borderId="4" xfId="0" applyFont="1" applyBorder="1"/>
    <xf numFmtId="172" fontId="0" fillId="0" borderId="0" xfId="1" applyNumberFormat="1" applyFont="1" applyBorder="1"/>
    <xf numFmtId="169" fontId="0" fillId="0" borderId="0" xfId="2" applyNumberFormat="1" applyFont="1" applyBorder="1"/>
    <xf numFmtId="169" fontId="0" fillId="0" borderId="0" xfId="0" applyNumberFormat="1" applyBorder="1"/>
    <xf numFmtId="172" fontId="0" fillId="0" borderId="0" xfId="1" applyNumberFormat="1" applyFont="1" applyAlignment="1"/>
    <xf numFmtId="172" fontId="65" fillId="0" borderId="0" xfId="1" applyNumberFormat="1" applyFont="1" applyAlignment="1"/>
    <xf numFmtId="172" fontId="65" fillId="0" borderId="28" xfId="1" applyNumberFormat="1" applyFont="1" applyBorder="1" applyAlignment="1"/>
    <xf numFmtId="172" fontId="65" fillId="0" borderId="0" xfId="1" applyNumberFormat="1" applyFont="1" applyBorder="1" applyAlignment="1"/>
    <xf numFmtId="172" fontId="0" fillId="0" borderId="4" xfId="1" applyNumberFormat="1" applyFont="1" applyBorder="1" applyAlignment="1"/>
    <xf numFmtId="172" fontId="4" fillId="0" borderId="0" xfId="1" applyNumberFormat="1" applyFont="1" applyAlignment="1"/>
    <xf numFmtId="172" fontId="65" fillId="5" borderId="0" xfId="1" applyNumberFormat="1" applyFont="1" applyFill="1" applyBorder="1" applyAlignment="1"/>
    <xf numFmtId="172" fontId="6" fillId="0" borderId="0" xfId="1" applyNumberFormat="1" applyFont="1" applyFill="1" applyAlignment="1"/>
    <xf numFmtId="172" fontId="1" fillId="0" borderId="0" xfId="1" applyNumberFormat="1" applyFont="1" applyFill="1" applyBorder="1" applyAlignment="1"/>
    <xf numFmtId="172" fontId="6" fillId="0" borderId="0" xfId="1" applyNumberFormat="1" applyFont="1" applyFill="1" applyBorder="1" applyAlignment="1"/>
    <xf numFmtId="172" fontId="8" fillId="0" borderId="0" xfId="1" applyNumberFormat="1" applyFont="1" applyFill="1" applyBorder="1" applyAlignment="1"/>
    <xf numFmtId="172" fontId="8" fillId="0" borderId="0" xfId="1" applyNumberFormat="1" applyFont="1" applyAlignment="1">
      <alignment vertical="center"/>
    </xf>
    <xf numFmtId="3" fontId="6" fillId="0" borderId="0" xfId="0" applyNumberFormat="1" applyFont="1" applyFill="1" applyAlignment="1"/>
    <xf numFmtId="3" fontId="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84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4" xfId="0" applyNumberFormat="1" applyFont="1" applyFill="1" applyBorder="1" applyAlignment="1"/>
    <xf numFmtId="3" fontId="0" fillId="2" borderId="0" xfId="0" applyNumberFormat="1" applyFill="1"/>
    <xf numFmtId="206" fontId="0" fillId="2" borderId="0" xfId="0" applyNumberFormat="1" applyFill="1"/>
    <xf numFmtId="3" fontId="0" fillId="2" borderId="10" xfId="0" applyNumberFormat="1" applyFill="1" applyBorder="1"/>
    <xf numFmtId="3" fontId="4" fillId="2" borderId="0" xfId="0" applyNumberFormat="1" applyFont="1" applyFill="1"/>
    <xf numFmtId="3" fontId="4" fillId="2" borderId="10" xfId="0" applyNumberFormat="1" applyFont="1" applyFill="1" applyBorder="1"/>
    <xf numFmtId="0" fontId="0" fillId="5" borderId="36" xfId="0" applyFill="1" applyBorder="1"/>
    <xf numFmtId="0" fontId="2" fillId="0" borderId="0" xfId="0" applyFont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4" fillId="2" borderId="0" xfId="0" applyFont="1" applyFill="1" applyAlignment="1">
      <alignment horizontal="left"/>
    </xf>
    <xf numFmtId="172" fontId="2" fillId="0" borderId="0" xfId="1" applyNumberFormat="1" applyFont="1"/>
    <xf numFmtId="0" fontId="2" fillId="0" borderId="0" xfId="0" applyFont="1" applyAlignment="1">
      <alignment horizontal="right"/>
    </xf>
    <xf numFmtId="9" fontId="14" fillId="0" borderId="0" xfId="0" applyNumberFormat="1" applyFont="1" applyAlignment="1">
      <alignment horizontal="center"/>
    </xf>
    <xf numFmtId="9" fontId="0" fillId="0" borderId="0" xfId="0" applyNumberFormat="1"/>
    <xf numFmtId="0" fontId="22" fillId="0" borderId="0" xfId="0" applyFont="1"/>
    <xf numFmtId="1" fontId="8" fillId="0" borderId="0" xfId="0" applyNumberFormat="1" applyFont="1"/>
    <xf numFmtId="43" fontId="8" fillId="0" borderId="0" xfId="1" applyFont="1"/>
    <xf numFmtId="1" fontId="28" fillId="0" borderId="0" xfId="1" applyNumberFormat="1" applyFont="1"/>
    <xf numFmtId="43" fontId="28" fillId="0" borderId="0" xfId="1" applyFont="1"/>
    <xf numFmtId="5" fontId="15" fillId="0" borderId="0" xfId="2" applyNumberFormat="1" applyFont="1" applyBorder="1"/>
    <xf numFmtId="5" fontId="32" fillId="0" borderId="0" xfId="2" applyNumberFormat="1" applyFont="1" applyBorder="1"/>
    <xf numFmtId="0" fontId="8" fillId="0" borderId="0" xfId="0" applyFont="1" applyBorder="1"/>
    <xf numFmtId="0" fontId="8" fillId="0" borderId="0" xfId="0" quotePrefix="1" applyFont="1" applyBorder="1"/>
    <xf numFmtId="0" fontId="28" fillId="0" borderId="0" xfId="0" applyFont="1" applyBorder="1"/>
    <xf numFmtId="0" fontId="28" fillId="0" borderId="0" xfId="0" quotePrefix="1" applyFont="1" applyBorder="1"/>
    <xf numFmtId="172" fontId="1" fillId="0" borderId="0" xfId="1" applyNumberFormat="1" applyAlignment="1"/>
    <xf numFmtId="165" fontId="1" fillId="0" borderId="0" xfId="1" applyNumberFormat="1"/>
    <xf numFmtId="165" fontId="1" fillId="0" borderId="12" xfId="1" applyNumberFormat="1" applyBorder="1"/>
    <xf numFmtId="0" fontId="4" fillId="5" borderId="0" xfId="0" applyFont="1" applyFill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72" fontId="1" fillId="0" borderId="12" xfId="1" applyNumberFormat="1" applyBorder="1"/>
    <xf numFmtId="169" fontId="1" fillId="0" borderId="0" xfId="2" applyNumberFormat="1"/>
    <xf numFmtId="0" fontId="6" fillId="0" borderId="0" xfId="0" applyFont="1" applyFill="1" applyAlignment="1">
      <alignment horizontal="right" vertical="center" wrapText="1"/>
    </xf>
    <xf numFmtId="14" fontId="6" fillId="0" borderId="0" xfId="0" applyNumberFormat="1" applyFont="1"/>
    <xf numFmtId="14" fontId="6" fillId="0" borderId="0" xfId="0" applyNumberFormat="1" applyFont="1" applyAlignment="1">
      <alignment horizontal="right" vertical="center"/>
    </xf>
    <xf numFmtId="165" fontId="6" fillId="0" borderId="0" xfId="1" applyNumberFormat="1" applyFont="1" applyAlignment="1">
      <alignment vertical="center"/>
    </xf>
    <xf numFmtId="165" fontId="1" fillId="0" borderId="0" xfId="1" applyNumberFormat="1" applyFont="1"/>
    <xf numFmtId="172" fontId="1" fillId="0" borderId="12" xfId="1" applyNumberFormat="1" applyFont="1" applyBorder="1"/>
    <xf numFmtId="169" fontId="0" fillId="5" borderId="0" xfId="0" applyNumberFormat="1" applyFill="1"/>
    <xf numFmtId="17" fontId="6" fillId="0" borderId="0" xfId="0" applyNumberFormat="1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9" fontId="1" fillId="0" borderId="0" xfId="2" applyNumberFormat="1" applyBorder="1"/>
    <xf numFmtId="172" fontId="1" fillId="0" borderId="0" xfId="1" applyNumberFormat="1" applyFont="1" applyBorder="1"/>
    <xf numFmtId="0" fontId="15" fillId="0" borderId="0" xfId="0" applyFont="1" applyAlignment="1">
      <alignment horizontal="right" vertical="center"/>
    </xf>
    <xf numFmtId="165" fontId="15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72" fontId="6" fillId="0" borderId="0" xfId="1" applyNumberFormat="1" applyFont="1" applyAlignment="1">
      <alignment vertical="center"/>
    </xf>
    <xf numFmtId="172" fontId="6" fillId="0" borderId="0" xfId="1" applyNumberFormat="1" applyFont="1" applyBorder="1" applyAlignment="1">
      <alignment vertical="center"/>
    </xf>
    <xf numFmtId="169" fontId="1" fillId="0" borderId="14" xfId="2" applyNumberFormat="1" applyBorder="1"/>
    <xf numFmtId="0" fontId="28" fillId="5" borderId="0" xfId="0" applyFont="1" applyFill="1" applyAlignment="1">
      <alignment horizontal="left"/>
    </xf>
    <xf numFmtId="14" fontId="71" fillId="0" borderId="0" xfId="0" applyNumberFormat="1" applyFont="1" applyBorder="1" applyAlignment="1">
      <alignment horizontal="center"/>
    </xf>
    <xf numFmtId="3" fontId="71" fillId="0" borderId="0" xfId="0" applyNumberFormat="1" applyFont="1" applyBorder="1" applyAlignment="1">
      <alignment horizontal="center"/>
    </xf>
    <xf numFmtId="181" fontId="71" fillId="0" borderId="0" xfId="2" applyNumberFormat="1" applyFont="1" applyBorder="1" applyAlignment="1">
      <alignment horizontal="center"/>
    </xf>
    <xf numFmtId="165" fontId="71" fillId="0" borderId="0" xfId="1" applyNumberFormat="1" applyFont="1"/>
    <xf numFmtId="172" fontId="71" fillId="0" borderId="12" xfId="1" applyNumberFormat="1" applyFont="1" applyBorder="1"/>
    <xf numFmtId="169" fontId="71" fillId="0" borderId="0" xfId="2" applyNumberFormat="1" applyFont="1"/>
    <xf numFmtId="0" fontId="71" fillId="0" borderId="0" xfId="0" applyFont="1"/>
    <xf numFmtId="169" fontId="71" fillId="0" borderId="0" xfId="0" applyNumberFormat="1" applyFont="1"/>
    <xf numFmtId="169" fontId="71" fillId="5" borderId="0" xfId="0" applyNumberFormat="1" applyFont="1" applyFill="1"/>
    <xf numFmtId="165" fontId="1" fillId="0" borderId="0" xfId="1" applyNumberFormat="1" applyFont="1" applyBorder="1"/>
    <xf numFmtId="169" fontId="0" fillId="5" borderId="0" xfId="0" applyNumberFormat="1" applyFill="1" applyBorder="1"/>
    <xf numFmtId="165" fontId="1" fillId="0" borderId="0" xfId="1" applyNumberFormat="1" applyBorder="1"/>
    <xf numFmtId="172" fontId="1" fillId="0" borderId="0" xfId="1" applyNumberFormat="1" applyBorder="1"/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  <xf numFmtId="169" fontId="4" fillId="0" borderId="0" xfId="2" applyNumberFormat="1" applyFont="1" applyBorder="1"/>
    <xf numFmtId="165" fontId="4" fillId="0" borderId="0" xfId="1" applyNumberFormat="1" applyFont="1" applyBorder="1"/>
    <xf numFmtId="0" fontId="4" fillId="5" borderId="0" xfId="0" applyFont="1" applyFill="1" applyBorder="1"/>
    <xf numFmtId="172" fontId="1" fillId="0" borderId="13" xfId="1" applyNumberFormat="1" applyFont="1" applyBorder="1"/>
    <xf numFmtId="169" fontId="1" fillId="0" borderId="4" xfId="2" applyNumberFormat="1" applyBorder="1"/>
    <xf numFmtId="0" fontId="88" fillId="0" borderId="37" xfId="0" applyFont="1" applyBorder="1"/>
    <xf numFmtId="172" fontId="1" fillId="0" borderId="4" xfId="1" applyNumberFormat="1" applyBorder="1" applyAlignment="1"/>
    <xf numFmtId="169" fontId="2" fillId="0" borderId="38" xfId="0" applyNumberFormat="1" applyFont="1" applyBorder="1"/>
    <xf numFmtId="169" fontId="4" fillId="5" borderId="0" xfId="0" applyNumberFormat="1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/>
    </xf>
    <xf numFmtId="172" fontId="6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172" fontId="1" fillId="0" borderId="0" xfId="1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72" fontId="6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72" fontId="1" fillId="0" borderId="0" xfId="1" applyNumberFormat="1" applyBorder="1" applyAlignment="1">
      <alignment horizontal="center"/>
    </xf>
    <xf numFmtId="172" fontId="8" fillId="0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2" fontId="8" fillId="0" borderId="0" xfId="1" applyNumberFormat="1" applyFont="1" applyAlignment="1">
      <alignment horizontal="center"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172" fontId="1" fillId="0" borderId="0" xfId="1" applyNumberFormat="1"/>
    <xf numFmtId="0" fontId="4" fillId="5" borderId="4" xfId="0" applyFont="1" applyFill="1" applyBorder="1"/>
    <xf numFmtId="169" fontId="6" fillId="0" borderId="0" xfId="0" applyNumberFormat="1" applyFont="1"/>
    <xf numFmtId="22" fontId="0" fillId="0" borderId="0" xfId="0" applyNumberFormat="1" applyAlignment="1">
      <alignment horizontal="left"/>
    </xf>
    <xf numFmtId="0" fontId="0" fillId="6" borderId="0" xfId="0" applyFill="1"/>
    <xf numFmtId="14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/>
    <xf numFmtId="165" fontId="0" fillId="6" borderId="0" xfId="1" applyNumberFormat="1" applyFont="1" applyFill="1"/>
    <xf numFmtId="181" fontId="6" fillId="6" borderId="0" xfId="2" applyNumberFormat="1" applyFont="1" applyFill="1" applyBorder="1" applyAlignment="1">
      <alignment horizontal="center"/>
    </xf>
    <xf numFmtId="172" fontId="0" fillId="6" borderId="12" xfId="1" applyNumberFormat="1" applyFont="1" applyFill="1" applyBorder="1"/>
    <xf numFmtId="169" fontId="0" fillId="6" borderId="0" xfId="2" applyNumberFormat="1" applyFont="1" applyFill="1"/>
    <xf numFmtId="0" fontId="6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37" fontId="0" fillId="0" borderId="0" xfId="1" applyNumberFormat="1" applyFont="1"/>
    <xf numFmtId="169" fontId="8" fillId="0" borderId="0" xfId="0" applyNumberFormat="1" applyFont="1"/>
    <xf numFmtId="169" fontId="24" fillId="0" borderId="0" xfId="0" applyNumberFormat="1" applyFont="1"/>
    <xf numFmtId="169" fontId="15" fillId="0" borderId="0" xfId="0" applyNumberFormat="1" applyFont="1"/>
    <xf numFmtId="169" fontId="8" fillId="0" borderId="4" xfId="0" applyNumberFormat="1" applyFont="1" applyBorder="1"/>
    <xf numFmtId="0" fontId="6" fillId="6" borderId="0" xfId="0" applyFont="1" applyFill="1" applyAlignment="1">
      <alignment horizontal="left"/>
    </xf>
    <xf numFmtId="169" fontId="0" fillId="6" borderId="0" xfId="0" applyNumberFormat="1" applyFill="1"/>
    <xf numFmtId="169" fontId="23" fillId="6" borderId="0" xfId="0" applyNumberFormat="1" applyFont="1" applyFill="1"/>
    <xf numFmtId="169" fontId="89" fillId="0" borderId="0" xfId="0" applyNumberFormat="1" applyFont="1"/>
    <xf numFmtId="198" fontId="35" fillId="0" borderId="0" xfId="0" applyNumberFormat="1" applyFont="1" applyFill="1" applyAlignment="1" applyProtection="1">
      <alignment vertical="center"/>
    </xf>
    <xf numFmtId="2" fontId="6" fillId="5" borderId="0" xfId="0" applyNumberFormat="1" applyFont="1" applyFill="1"/>
    <xf numFmtId="198" fontId="57" fillId="5" borderId="0" xfId="0" applyNumberFormat="1" applyFont="1" applyFill="1" applyAlignment="1" applyProtection="1">
      <alignment vertical="center"/>
    </xf>
    <xf numFmtId="194" fontId="59" fillId="5" borderId="0" xfId="0" applyNumberFormat="1" applyFont="1" applyFill="1"/>
    <xf numFmtId="0" fontId="8" fillId="0" borderId="12" xfId="0" applyFont="1" applyBorder="1"/>
    <xf numFmtId="184" fontId="15" fillId="0" borderId="0" xfId="0" applyNumberFormat="1" applyFont="1"/>
    <xf numFmtId="165" fontId="15" fillId="0" borderId="0" xfId="1" applyNumberFormat="1" applyFont="1"/>
    <xf numFmtId="14" fontId="15" fillId="0" borderId="0" xfId="0" applyNumberFormat="1" applyFont="1" applyAlignment="1">
      <alignment horizontal="center"/>
    </xf>
    <xf numFmtId="172" fontId="15" fillId="0" borderId="12" xfId="1" applyNumberFormat="1" applyFont="1" applyBorder="1"/>
    <xf numFmtId="169" fontId="15" fillId="0" borderId="0" xfId="2" applyNumberFormat="1" applyFont="1"/>
    <xf numFmtId="169" fontId="15" fillId="0" borderId="10" xfId="2" applyNumberFormat="1" applyFont="1" applyBorder="1"/>
    <xf numFmtId="169" fontId="32" fillId="0" borderId="0" xfId="2" applyNumberFormat="1" applyFont="1"/>
    <xf numFmtId="1" fontId="8" fillId="0" borderId="12" xfId="1" applyNumberFormat="1" applyFont="1" applyBorder="1"/>
    <xf numFmtId="1" fontId="28" fillId="0" borderId="12" xfId="1" applyNumberFormat="1" applyFont="1" applyBorder="1"/>
    <xf numFmtId="0" fontId="19" fillId="0" borderId="0" xfId="0" applyFont="1" applyBorder="1"/>
    <xf numFmtId="0" fontId="18" fillId="0" borderId="0" xfId="0" applyFont="1" applyBorder="1"/>
    <xf numFmtId="1" fontId="0" fillId="0" borderId="12" xfId="0" applyNumberFormat="1" applyBorder="1"/>
    <xf numFmtId="1" fontId="14" fillId="0" borderId="12" xfId="0" applyNumberFormat="1" applyFont="1" applyBorder="1" applyAlignment="1">
      <alignment horizontal="center"/>
    </xf>
    <xf numFmtId="175" fontId="8" fillId="0" borderId="0" xfId="1" applyNumberFormat="1" applyFont="1"/>
    <xf numFmtId="0" fontId="0" fillId="0" borderId="0" xfId="0" applyFill="1" applyAlignment="1">
      <alignment horizontal="left"/>
    </xf>
    <xf numFmtId="165" fontId="32" fillId="0" borderId="0" xfId="1" applyNumberFormat="1" applyFont="1" applyBorder="1" applyAlignment="1">
      <alignment horizontal="center"/>
    </xf>
    <xf numFmtId="165" fontId="32" fillId="0" borderId="0" xfId="1" applyNumberFormat="1" applyFont="1"/>
    <xf numFmtId="165" fontId="15" fillId="0" borderId="0" xfId="1" applyNumberFormat="1" applyFont="1" applyBorder="1" applyAlignment="1">
      <alignment horizontal="center"/>
    </xf>
    <xf numFmtId="172" fontId="65" fillId="5" borderId="0" xfId="1" applyNumberFormat="1" applyFont="1" applyFill="1" applyBorder="1" applyAlignment="1">
      <alignment horizontal="center"/>
    </xf>
    <xf numFmtId="165" fontId="32" fillId="5" borderId="0" xfId="1" applyNumberFormat="1" applyFont="1" applyFill="1" applyBorder="1" applyAlignment="1">
      <alignment horizontal="center"/>
    </xf>
    <xf numFmtId="169" fontId="4" fillId="0" borderId="2" xfId="0" applyNumberFormat="1" applyFont="1" applyBorder="1"/>
    <xf numFmtId="1" fontId="8" fillId="0" borderId="12" xfId="0" applyNumberFormat="1" applyFont="1" applyBorder="1"/>
    <xf numFmtId="175" fontId="28" fillId="0" borderId="0" xfId="1" applyNumberFormat="1" applyFont="1"/>
    <xf numFmtId="172" fontId="0" fillId="2" borderId="0" xfId="1" applyNumberFormat="1" applyFont="1" applyFill="1"/>
    <xf numFmtId="0" fontId="15" fillId="0" borderId="0" xfId="0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center"/>
    </xf>
    <xf numFmtId="192" fontId="15" fillId="0" borderId="0" xfId="2" quotePrefix="1" applyNumberFormat="1" applyFont="1" applyFill="1" applyAlignment="1">
      <alignment horizontal="center"/>
    </xf>
    <xf numFmtId="181" fontId="15" fillId="0" borderId="0" xfId="2" applyNumberFormat="1" applyFont="1" applyFill="1" applyAlignment="1">
      <alignment horizontal="center"/>
    </xf>
    <xf numFmtId="181" fontId="15" fillId="0" borderId="0" xfId="2" applyNumberFormat="1" applyFont="1" applyFill="1"/>
    <xf numFmtId="169" fontId="15" fillId="0" borderId="0" xfId="2" applyNumberFormat="1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15" fillId="0" borderId="0" xfId="0" applyFont="1" applyFill="1"/>
    <xf numFmtId="0" fontId="32" fillId="0" borderId="0" xfId="0" applyFont="1" applyFill="1"/>
    <xf numFmtId="14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192" fontId="15" fillId="0" borderId="0" xfId="2" quotePrefix="1" applyNumberFormat="1" applyFont="1" applyFill="1" applyBorder="1" applyAlignment="1">
      <alignment horizontal="center"/>
    </xf>
    <xf numFmtId="181" fontId="15" fillId="0" borderId="0" xfId="2" applyNumberFormat="1" applyFont="1" applyFill="1" applyBorder="1" applyAlignment="1">
      <alignment horizontal="center"/>
    </xf>
    <xf numFmtId="169" fontId="90" fillId="0" borderId="0" xfId="2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91" fillId="0" borderId="0" xfId="0" applyFont="1" applyFill="1" applyBorder="1" applyAlignment="1">
      <alignment horizontal="center"/>
    </xf>
    <xf numFmtId="0" fontId="90" fillId="0" borderId="0" xfId="0" applyFont="1" applyFill="1" applyAlignment="1">
      <alignment horizontal="left"/>
    </xf>
    <xf numFmtId="0" fontId="90" fillId="0" borderId="0" xfId="0" applyFont="1" applyFill="1"/>
    <xf numFmtId="0" fontId="92" fillId="0" borderId="0" xfId="0" applyFont="1" applyFill="1"/>
    <xf numFmtId="181" fontId="71" fillId="0" borderId="0" xfId="2" applyNumberFormat="1" applyFont="1" applyAlignment="1">
      <alignment horizontal="center"/>
    </xf>
    <xf numFmtId="181" fontId="93" fillId="0" borderId="0" xfId="2" applyNumberFormat="1" applyFont="1" applyAlignment="1">
      <alignment horizontal="center"/>
    </xf>
    <xf numFmtId="181" fontId="85" fillId="0" borderId="28" xfId="2" applyNumberFormat="1" applyFont="1" applyBorder="1" applyAlignment="1">
      <alignment horizontal="center"/>
    </xf>
    <xf numFmtId="181" fontId="85" fillId="0" borderId="0" xfId="2" applyNumberFormat="1" applyFont="1" applyBorder="1" applyAlignment="1">
      <alignment horizontal="center"/>
    </xf>
    <xf numFmtId="9" fontId="71" fillId="0" borderId="0" xfId="3" applyFont="1" applyFill="1" applyAlignment="1">
      <alignment horizontal="center"/>
    </xf>
    <xf numFmtId="169" fontId="71" fillId="0" borderId="0" xfId="2" applyNumberFormat="1" applyFont="1" applyBorder="1" applyAlignment="1">
      <alignment horizontal="center"/>
    </xf>
    <xf numFmtId="169" fontId="71" fillId="0" borderId="0" xfId="2" applyNumberFormat="1" applyFont="1" applyAlignment="1">
      <alignment horizontal="center"/>
    </xf>
    <xf numFmtId="3" fontId="71" fillId="0" borderId="0" xfId="0" applyNumberFormat="1" applyFont="1" applyBorder="1" applyAlignment="1">
      <alignment horizontal="right"/>
    </xf>
    <xf numFmtId="169" fontId="72" fillId="0" borderId="0" xfId="2" applyNumberFormat="1" applyFont="1" applyBorder="1" applyAlignment="1">
      <alignment horizontal="center"/>
    </xf>
    <xf numFmtId="192" fontId="71" fillId="0" borderId="0" xfId="2" applyNumberFormat="1" applyFont="1" applyBorder="1" applyAlignment="1">
      <alignment horizontal="center"/>
    </xf>
    <xf numFmtId="181" fontId="94" fillId="0" borderId="0" xfId="2" applyNumberFormat="1" applyFont="1" applyBorder="1" applyAlignment="1">
      <alignment horizontal="center"/>
    </xf>
    <xf numFmtId="181" fontId="93" fillId="0" borderId="0" xfId="2" applyNumberFormat="1" applyFont="1" applyBorder="1" applyAlignment="1">
      <alignment horizontal="center"/>
    </xf>
    <xf numFmtId="169" fontId="71" fillId="0" borderId="0" xfId="2" applyNumberFormat="1" applyFont="1" applyBorder="1" applyAlignment="1">
      <alignment horizontal="right"/>
    </xf>
    <xf numFmtId="166" fontId="71" fillId="0" borderId="0" xfId="2" applyNumberFormat="1" applyFont="1" applyBorder="1" applyAlignment="1">
      <alignment horizontal="center"/>
    </xf>
    <xf numFmtId="181" fontId="6" fillId="0" borderId="0" xfId="2" applyNumberFormat="1" applyFont="1" applyAlignment="1">
      <alignment horizontal="center"/>
    </xf>
    <xf numFmtId="181" fontId="4" fillId="0" borderId="28" xfId="2" applyNumberFormat="1" applyFont="1" applyBorder="1" applyAlignment="1">
      <alignment horizontal="center"/>
    </xf>
    <xf numFmtId="181" fontId="4" fillId="0" borderId="0" xfId="2" applyNumberFormat="1" applyFont="1" applyBorder="1" applyAlignment="1">
      <alignment horizontal="center"/>
    </xf>
    <xf numFmtId="169" fontId="6" fillId="0" borderId="0" xfId="2" applyNumberFormat="1" applyFont="1" applyAlignment="1">
      <alignment horizontal="center"/>
    </xf>
    <xf numFmtId="169" fontId="6" fillId="0" borderId="0" xfId="2" applyNumberFormat="1" applyFont="1" applyBorder="1" applyAlignment="1">
      <alignment horizontal="right"/>
    </xf>
    <xf numFmtId="166" fontId="6" fillId="0" borderId="0" xfId="2" applyNumberFormat="1" applyFont="1" applyBorder="1" applyAlignment="1">
      <alignment horizontal="center"/>
    </xf>
    <xf numFmtId="165" fontId="0" fillId="0" borderId="12" xfId="1" applyNumberFormat="1" applyFont="1" applyBorder="1"/>
    <xf numFmtId="169" fontId="0" fillId="0" borderId="12" xfId="2" applyNumberFormat="1" applyFont="1" applyBorder="1"/>
    <xf numFmtId="192" fontId="15" fillId="0" borderId="0" xfId="0" applyNumberFormat="1" applyFont="1" applyFill="1" applyBorder="1"/>
    <xf numFmtId="6" fontId="0" fillId="0" borderId="4" xfId="0" applyNumberFormat="1" applyBorder="1"/>
    <xf numFmtId="174" fontId="4" fillId="0" borderId="0" xfId="0" applyNumberFormat="1" applyFont="1"/>
    <xf numFmtId="6" fontId="4" fillId="0" borderId="0" xfId="0" applyNumberFormat="1" applyFont="1"/>
    <xf numFmtId="0" fontId="0" fillId="0" borderId="39" xfId="0" applyBorder="1"/>
    <xf numFmtId="0" fontId="4" fillId="0" borderId="0" xfId="0" applyFont="1" applyAlignment="1">
      <alignment horizontal="right"/>
    </xf>
    <xf numFmtId="2" fontId="0" fillId="0" borderId="0" xfId="0" applyNumberFormat="1"/>
    <xf numFmtId="6" fontId="0" fillId="0" borderId="0" xfId="0" applyNumberFormat="1"/>
    <xf numFmtId="174" fontId="0" fillId="0" borderId="4" xfId="0" applyNumberFormat="1" applyBorder="1"/>
    <xf numFmtId="3" fontId="0" fillId="0" borderId="4" xfId="0" applyNumberFormat="1" applyBorder="1"/>
    <xf numFmtId="5" fontId="0" fillId="0" borderId="0" xfId="0" applyNumberFormat="1"/>
    <xf numFmtId="5" fontId="0" fillId="0" borderId="4" xfId="0" applyNumberFormat="1" applyBorder="1"/>
    <xf numFmtId="2" fontId="4" fillId="0" borderId="0" xfId="0" applyNumberFormat="1" applyFont="1"/>
    <xf numFmtId="5" fontId="4" fillId="0" borderId="0" xfId="0" applyNumberFormat="1" applyFont="1"/>
    <xf numFmtId="172" fontId="6" fillId="0" borderId="14" xfId="1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1" fontId="15" fillId="0" borderId="0" xfId="2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169" fontId="1" fillId="0" borderId="4" xfId="2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17" fontId="15" fillId="0" borderId="0" xfId="0" quotePrefix="1" applyNumberFormat="1" applyFont="1" applyFill="1" applyBorder="1" applyAlignment="1">
      <alignment horizontal="center"/>
    </xf>
    <xf numFmtId="14" fontId="15" fillId="0" borderId="0" xfId="0" quotePrefix="1" applyNumberFormat="1" applyFont="1" applyFill="1" applyBorder="1" applyAlignment="1">
      <alignment horizontal="center"/>
    </xf>
    <xf numFmtId="3" fontId="15" fillId="0" borderId="4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23" fillId="0" borderId="0" xfId="0" applyNumberFormat="1" applyFont="1" applyFill="1" applyBorder="1" applyAlignment="1">
      <alignment horizontal="center"/>
    </xf>
    <xf numFmtId="3" fontId="23" fillId="0" borderId="4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192" fontId="23" fillId="0" borderId="0" xfId="2" quotePrefix="1" applyNumberFormat="1" applyFont="1" applyFill="1" applyBorder="1" applyAlignment="1">
      <alignment horizontal="center"/>
    </xf>
    <xf numFmtId="181" fontId="23" fillId="0" borderId="0" xfId="2" applyNumberFormat="1" applyFont="1" applyFill="1" applyAlignment="1">
      <alignment horizontal="center"/>
    </xf>
    <xf numFmtId="192" fontId="23" fillId="0" borderId="0" xfId="0" applyNumberFormat="1" applyFont="1" applyFill="1" applyBorder="1"/>
    <xf numFmtId="181" fontId="23" fillId="0" borderId="0" xfId="2" applyNumberFormat="1" applyFont="1" applyFill="1" applyBorder="1" applyAlignment="1">
      <alignment horizontal="center"/>
    </xf>
    <xf numFmtId="169" fontId="0" fillId="0" borderId="40" xfId="0" applyNumberFormat="1" applyBorder="1"/>
    <xf numFmtId="165" fontId="6" fillId="0" borderId="0" xfId="1" applyNumberFormat="1" applyFont="1" applyBorder="1" applyAlignment="1">
      <alignment horizontal="left"/>
    </xf>
    <xf numFmtId="169" fontId="0" fillId="0" borderId="10" xfId="0" applyNumberFormat="1" applyBorder="1"/>
    <xf numFmtId="16" fontId="4" fillId="0" borderId="0" xfId="0" quotePrefix="1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0" fillId="0" borderId="0" xfId="0" quotePrefix="1"/>
    <xf numFmtId="0" fontId="96" fillId="0" borderId="0" xfId="0" applyFont="1"/>
    <xf numFmtId="168" fontId="22" fillId="0" borderId="0" xfId="0" applyNumberFormat="1" applyFont="1"/>
    <xf numFmtId="43" fontId="22" fillId="0" borderId="0" xfId="1" applyFont="1"/>
    <xf numFmtId="2" fontId="0" fillId="0" borderId="4" xfId="0" applyNumberFormat="1" applyBorder="1"/>
    <xf numFmtId="185" fontId="21" fillId="0" borderId="0" xfId="0" applyNumberFormat="1" applyFont="1" applyFill="1" applyBorder="1" applyAlignment="1" applyProtection="1">
      <alignment vertical="center"/>
    </xf>
    <xf numFmtId="194" fontId="21" fillId="0" borderId="0" xfId="0" applyNumberFormat="1" applyFont="1" applyFill="1" applyBorder="1" applyAlignment="1" applyProtection="1">
      <alignment vertical="center"/>
    </xf>
    <xf numFmtId="44" fontId="22" fillId="0" borderId="0" xfId="2" applyFont="1"/>
    <xf numFmtId="44" fontId="22" fillId="0" borderId="0" xfId="0" applyNumberFormat="1" applyFont="1"/>
    <xf numFmtId="0" fontId="95" fillId="0" borderId="0" xfId="0" applyFont="1"/>
    <xf numFmtId="0" fontId="96" fillId="0" borderId="0" xfId="0" applyFont="1" applyAlignment="1">
      <alignment horizontal="left"/>
    </xf>
    <xf numFmtId="177" fontId="0" fillId="0" borderId="0" xfId="0" applyNumberFormat="1"/>
    <xf numFmtId="185" fontId="0" fillId="0" borderId="0" xfId="0" applyNumberFormat="1"/>
    <xf numFmtId="44" fontId="0" fillId="0" borderId="0" xfId="0" applyNumberFormat="1"/>
    <xf numFmtId="169" fontId="4" fillId="0" borderId="0" xfId="2" applyNumberFormat="1" applyFont="1" applyFill="1" applyBorder="1" applyAlignment="1">
      <alignment horizontal="center"/>
    </xf>
    <xf numFmtId="169" fontId="4" fillId="0" borderId="0" xfId="2" applyNumberFormat="1" applyFont="1" applyFill="1" applyAlignment="1">
      <alignment horizontal="center"/>
    </xf>
    <xf numFmtId="169" fontId="4" fillId="0" borderId="0" xfId="2" applyNumberFormat="1" applyFont="1" applyBorder="1" applyAlignment="1">
      <alignment horizontal="center"/>
    </xf>
    <xf numFmtId="169" fontId="7" fillId="0" borderId="0" xfId="2" applyNumberFormat="1" applyFont="1" applyFill="1" applyAlignment="1">
      <alignment horizontal="center"/>
    </xf>
    <xf numFmtId="9" fontId="4" fillId="0" borderId="0" xfId="3" applyFont="1" applyFill="1" applyAlignment="1">
      <alignment horizontal="center"/>
    </xf>
    <xf numFmtId="3" fontId="4" fillId="0" borderId="0" xfId="0" applyNumberFormat="1" applyFont="1" applyBorder="1" applyAlignment="1">
      <alignment horizontal="right"/>
    </xf>
    <xf numFmtId="3" fontId="85" fillId="0" borderId="0" xfId="0" applyNumberFormat="1" applyFont="1" applyBorder="1" applyAlignment="1">
      <alignment horizontal="right"/>
    </xf>
    <xf numFmtId="169" fontId="85" fillId="0" borderId="0" xfId="2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07" fontId="0" fillId="0" borderId="0" xfId="1" applyNumberFormat="1" applyFont="1" applyAlignment="1">
      <alignment horizontal="center"/>
    </xf>
    <xf numFmtId="14" fontId="0" fillId="0" borderId="10" xfId="0" applyNumberForma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3" fontId="4" fillId="0" borderId="12" xfId="0" quotePrefix="1" applyNumberFormat="1" applyFon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3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4" fontId="0" fillId="0" borderId="0" xfId="0" applyNumberFormat="1" applyBorder="1" applyAlignment="1">
      <alignment horizontal="center"/>
    </xf>
    <xf numFmtId="207" fontId="1" fillId="0" borderId="0" xfId="1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9217" name="AutoShape 1"/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0241" name="AutoShape 1"/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Forecast-CE/Rev_2001_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2/Load%20Fac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01"/>
      <sheetName val="Lay"/>
      <sheetName val="Fuel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factor study"/>
      <sheetName val="3 yr load factor study"/>
      <sheetName val="2000 2ce compare"/>
    </sheetNames>
    <sheetDataSet>
      <sheetData sheetId="0">
        <row r="11">
          <cell r="C11">
            <v>1.6054716981132076</v>
          </cell>
          <cell r="D11">
            <v>1.6454716981132074</v>
          </cell>
          <cell r="E11">
            <v>1.6017924528301888</v>
          </cell>
          <cell r="F11">
            <v>1.5160377358490567</v>
          </cell>
          <cell r="G11">
            <v>1.4600732256853173</v>
          </cell>
          <cell r="H11">
            <v>1.4970660843144703</v>
          </cell>
          <cell r="I11">
            <v>1.4863207547169812</v>
          </cell>
          <cell r="J11">
            <v>1.5999530604581298</v>
          </cell>
          <cell r="K11">
            <v>1.5849324070597071</v>
          </cell>
          <cell r="L11">
            <v>1.5000938790837401</v>
          </cell>
          <cell r="M11">
            <v>1.1200826135936914</v>
          </cell>
          <cell r="N11">
            <v>1.1900056327450244</v>
          </cell>
        </row>
        <row r="39">
          <cell r="C39">
            <v>0.44</v>
          </cell>
          <cell r="D39">
            <v>0.43671023824855115</v>
          </cell>
          <cell r="E39">
            <v>0.44</v>
          </cell>
          <cell r="F39">
            <v>0.55776747815230965</v>
          </cell>
          <cell r="G39">
            <v>0.57185807251317022</v>
          </cell>
          <cell r="H39">
            <v>0.56038753466872115</v>
          </cell>
          <cell r="I39">
            <v>0.53231388846909466</v>
          </cell>
          <cell r="J39">
            <v>0.52835702951443986</v>
          </cell>
          <cell r="K39">
            <v>0.49248575089697594</v>
          </cell>
          <cell r="L39">
            <v>0.52097307060755338</v>
          </cell>
          <cell r="M39">
            <v>0.53396116207951072</v>
          </cell>
          <cell r="N39">
            <v>0.54857258440046563</v>
          </cell>
        </row>
        <row r="66">
          <cell r="C66">
            <v>0.88730179842637691</v>
          </cell>
          <cell r="D66">
            <v>0.97664023071377071</v>
          </cell>
          <cell r="E66">
            <v>0.99997240315392522</v>
          </cell>
          <cell r="F66">
            <v>0.81879876394332229</v>
          </cell>
          <cell r="G66">
            <v>0.84511322612405637</v>
          </cell>
          <cell r="H66">
            <v>1.0007552973342446</v>
          </cell>
          <cell r="I66">
            <v>0.6624589086127548</v>
          </cell>
          <cell r="J66">
            <v>0.96492262132212459</v>
          </cell>
          <cell r="K66">
            <v>0.70500286587695826</v>
          </cell>
          <cell r="L66">
            <v>0.74506400458540312</v>
          </cell>
          <cell r="M66">
            <v>0.92505254107756985</v>
          </cell>
          <cell r="N66">
            <v>1.2049073366450136</v>
          </cell>
        </row>
        <row r="73">
          <cell r="C73">
            <v>0.95908602150537625</v>
          </cell>
          <cell r="D73">
            <v>0.97666666666666668</v>
          </cell>
          <cell r="E73">
            <v>0.94736559139784937</v>
          </cell>
          <cell r="F73">
            <v>0.92134408602150542</v>
          </cell>
          <cell r="G73">
            <v>0.85553763440860209</v>
          </cell>
          <cell r="H73">
            <v>0.85360215053763433</v>
          </cell>
          <cell r="I73">
            <v>0.94720430107526887</v>
          </cell>
          <cell r="J73">
            <v>0.9</v>
          </cell>
          <cell r="K73">
            <v>0.9100537634408602</v>
          </cell>
          <cell r="L73">
            <v>0.91502688172043012</v>
          </cell>
          <cell r="M73">
            <v>0.9129516129032258</v>
          </cell>
          <cell r="N73">
            <v>0.9210376344086022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936"/>
  <sheetViews>
    <sheetView topLeftCell="B4" workbookViewId="0">
      <pane xSplit="4" ySplit="3" topLeftCell="AP10" activePane="bottomRight" state="frozen"/>
      <selection activeCell="B4" sqref="B4"/>
      <selection pane="topRight" activeCell="F4" sqref="F4"/>
      <selection pane="bottomLeft" activeCell="B7" sqref="B7"/>
      <selection pane="bottomRight" activeCell="AU21" sqref="AU21"/>
    </sheetView>
  </sheetViews>
  <sheetFormatPr defaultRowHeight="12.75" x14ac:dyDescent="0.2"/>
  <cols>
    <col min="1" max="1" width="34.5703125" bestFit="1" customWidth="1"/>
    <col min="2" max="3" width="14.140625" bestFit="1" customWidth="1"/>
    <col min="4" max="4" width="7.85546875" bestFit="1" customWidth="1"/>
    <col min="5" max="5" width="7.5703125" bestFit="1" customWidth="1"/>
    <col min="6" max="6" width="8.85546875" style="358" hidden="1" customWidth="1"/>
    <col min="7" max="7" width="10" style="361" hidden="1" customWidth="1"/>
    <col min="8" max="8" width="9.85546875" style="358" hidden="1" customWidth="1"/>
    <col min="9" max="9" width="8.85546875" style="358" hidden="1" customWidth="1"/>
    <col min="10" max="10" width="10.85546875" style="361" hidden="1" customWidth="1"/>
    <col min="11" max="11" width="9.85546875" style="358" hidden="1" customWidth="1"/>
    <col min="12" max="12" width="8.85546875" style="358" hidden="1" customWidth="1"/>
    <col min="13" max="13" width="8.7109375" style="361" hidden="1" customWidth="1"/>
    <col min="14" max="14" width="9.85546875" style="358" hidden="1" customWidth="1"/>
    <col min="15" max="15" width="8.85546875" style="358" hidden="1" customWidth="1"/>
    <col min="16" max="16" width="7.28515625" style="361" hidden="1" customWidth="1"/>
    <col min="17" max="17" width="9.85546875" style="358" hidden="1" customWidth="1"/>
    <col min="18" max="18" width="8.85546875" style="358" hidden="1" customWidth="1"/>
    <col min="19" max="19" width="7.140625" style="361" hidden="1" customWidth="1"/>
    <col min="20" max="20" width="9.85546875" style="358" hidden="1" customWidth="1"/>
    <col min="21" max="21" width="8.85546875" style="358" hidden="1" customWidth="1"/>
    <col min="22" max="22" width="7.42578125" style="361" hidden="1" customWidth="1"/>
    <col min="23" max="23" width="9.85546875" style="358" hidden="1" customWidth="1"/>
    <col min="24" max="24" width="8.85546875" style="358" hidden="1" customWidth="1"/>
    <col min="25" max="25" width="6.85546875" style="361" hidden="1" customWidth="1"/>
    <col min="26" max="26" width="9.85546875" style="358" hidden="1" customWidth="1"/>
    <col min="27" max="27" width="8.85546875" style="358" hidden="1" customWidth="1"/>
    <col min="28" max="28" width="9.42578125" style="361" hidden="1" customWidth="1"/>
    <col min="29" max="29" width="9.85546875" style="358" hidden="1" customWidth="1"/>
    <col min="30" max="30" width="8.85546875" style="358" hidden="1" customWidth="1"/>
    <col min="31" max="31" width="12.5703125" style="361" hidden="1" customWidth="1"/>
    <col min="32" max="32" width="9.85546875" style="358" hidden="1" customWidth="1"/>
    <col min="33" max="33" width="8.85546875" style="358" hidden="1" customWidth="1"/>
    <col min="34" max="34" width="10.140625" style="361" hidden="1" customWidth="1"/>
    <col min="35" max="35" width="9.85546875" style="358" hidden="1" customWidth="1"/>
    <col min="36" max="36" width="8.85546875" style="358" hidden="1" customWidth="1"/>
    <col min="37" max="37" width="11.7109375" style="361" hidden="1" customWidth="1"/>
    <col min="38" max="38" width="9.85546875" style="358" hidden="1" customWidth="1"/>
    <col min="39" max="39" width="8.85546875" hidden="1" customWidth="1"/>
    <col min="40" max="40" width="12" hidden="1" customWidth="1"/>
    <col min="41" max="41" width="9.85546875" hidden="1" customWidth="1"/>
    <col min="42" max="42" width="8.85546875" bestFit="1" customWidth="1"/>
    <col min="43" max="43" width="10" bestFit="1" customWidth="1"/>
    <col min="44" max="44" width="12" bestFit="1" customWidth="1"/>
    <col min="45" max="45" width="8.85546875" bestFit="1" customWidth="1"/>
    <col min="46" max="46" width="10.85546875" bestFit="1" customWidth="1"/>
    <col min="47" max="47" width="11" bestFit="1" customWidth="1"/>
    <col min="48" max="48" width="8.85546875" bestFit="1" customWidth="1"/>
    <col min="49" max="49" width="8.7109375" bestFit="1" customWidth="1"/>
    <col min="50" max="50" width="12" bestFit="1" customWidth="1"/>
    <col min="51" max="51" width="8.85546875" bestFit="1" customWidth="1"/>
    <col min="52" max="52" width="7.28515625" bestFit="1" customWidth="1"/>
    <col min="53" max="53" width="10" bestFit="1" customWidth="1"/>
    <col min="54" max="54" width="8.85546875" bestFit="1" customWidth="1"/>
    <col min="55" max="55" width="7.140625" bestFit="1" customWidth="1"/>
    <col min="56" max="56" width="12" bestFit="1" customWidth="1"/>
    <col min="57" max="57" width="8.85546875" bestFit="1" customWidth="1"/>
    <col min="58" max="58" width="7.42578125" bestFit="1" customWidth="1"/>
    <col min="59" max="59" width="10" bestFit="1" customWidth="1"/>
    <col min="60" max="60" width="8.85546875" bestFit="1" customWidth="1"/>
    <col min="61" max="61" width="7" bestFit="1" customWidth="1"/>
    <col min="62" max="62" width="12" bestFit="1" customWidth="1"/>
    <col min="63" max="63" width="8.85546875" bestFit="1" customWidth="1"/>
    <col min="64" max="64" width="9.42578125" bestFit="1" customWidth="1"/>
    <col min="65" max="65" width="11" bestFit="1" customWidth="1"/>
    <col min="66" max="66" width="8.85546875" bestFit="1" customWidth="1"/>
    <col min="67" max="67" width="12.5703125" bestFit="1" customWidth="1"/>
    <col min="68" max="68" width="10" bestFit="1" customWidth="1"/>
    <col min="69" max="69" width="8.85546875" bestFit="1" customWidth="1"/>
    <col min="70" max="70" width="10.140625" bestFit="1" customWidth="1"/>
    <col min="71" max="71" width="11" bestFit="1" customWidth="1"/>
    <col min="72" max="72" width="8.85546875" bestFit="1" customWidth="1"/>
    <col min="73" max="73" width="11.7109375" bestFit="1" customWidth="1"/>
    <col min="74" max="74" width="10" bestFit="1" customWidth="1"/>
    <col min="75" max="75" width="8.85546875" bestFit="1" customWidth="1"/>
    <col min="76" max="76" width="12" bestFit="1" customWidth="1"/>
    <col min="77" max="77" width="11" bestFit="1" customWidth="1"/>
    <col min="78" max="78" width="8.85546875" bestFit="1" customWidth="1"/>
    <col min="79" max="79" width="10" bestFit="1" customWidth="1"/>
    <col min="80" max="80" width="9.85546875" bestFit="1" customWidth="1"/>
    <col min="81" max="81" width="8.85546875" bestFit="1" customWidth="1"/>
    <col min="82" max="82" width="10.85546875" bestFit="1" customWidth="1"/>
    <col min="83" max="83" width="9.85546875" bestFit="1" customWidth="1"/>
    <col min="84" max="84" width="8.85546875" bestFit="1" customWidth="1"/>
    <col min="85" max="85" width="8.7109375" bestFit="1" customWidth="1"/>
    <col min="86" max="86" width="9.85546875" bestFit="1" customWidth="1"/>
    <col min="87" max="87" width="8.85546875" bestFit="1" customWidth="1"/>
    <col min="88" max="88" width="7.28515625" bestFit="1" customWidth="1"/>
    <col min="89" max="89" width="9.85546875" bestFit="1" customWidth="1"/>
    <col min="90" max="90" width="8.85546875" bestFit="1" customWidth="1"/>
    <col min="91" max="91" width="7.140625" bestFit="1" customWidth="1"/>
    <col min="92" max="92" width="9.85546875" bestFit="1" customWidth="1"/>
    <col min="93" max="93" width="8.85546875" bestFit="1" customWidth="1"/>
    <col min="94" max="94" width="7.42578125" bestFit="1" customWidth="1"/>
    <col min="95" max="95" width="9.85546875" bestFit="1" customWidth="1"/>
    <col min="96" max="96" width="8.85546875" bestFit="1" customWidth="1"/>
    <col min="97" max="97" width="6.85546875" bestFit="1" customWidth="1"/>
    <col min="98" max="98" width="9.85546875" bestFit="1" customWidth="1"/>
    <col min="99" max="99" width="8.85546875" bestFit="1" customWidth="1"/>
    <col min="100" max="100" width="9.42578125" bestFit="1" customWidth="1"/>
    <col min="101" max="101" width="9.85546875" bestFit="1" customWidth="1"/>
    <col min="102" max="102" width="8.85546875" bestFit="1" customWidth="1"/>
    <col min="103" max="103" width="12.5703125" bestFit="1" customWidth="1"/>
    <col min="104" max="104" width="9.85546875" bestFit="1" customWidth="1"/>
    <col min="105" max="105" width="8.85546875" bestFit="1" customWidth="1"/>
    <col min="106" max="106" width="10.140625" bestFit="1" customWidth="1"/>
    <col min="107" max="107" width="9.85546875" bestFit="1" customWidth="1"/>
    <col min="108" max="108" width="8.85546875" bestFit="1" customWidth="1"/>
    <col min="109" max="109" width="11.7109375" bestFit="1" customWidth="1"/>
    <col min="110" max="110" width="9.85546875" bestFit="1" customWidth="1"/>
    <col min="111" max="111" width="8.85546875" bestFit="1" customWidth="1"/>
    <col min="112" max="112" width="12" bestFit="1" customWidth="1"/>
    <col min="113" max="113" width="9.85546875" bestFit="1" customWidth="1"/>
    <col min="114" max="114" width="8.85546875" bestFit="1" customWidth="1"/>
    <col min="115" max="115" width="10" bestFit="1" customWidth="1"/>
    <col min="116" max="116" width="9.85546875" bestFit="1" customWidth="1"/>
    <col min="117" max="117" width="8.85546875" bestFit="1" customWidth="1"/>
    <col min="118" max="118" width="10.85546875" bestFit="1" customWidth="1"/>
    <col min="119" max="119" width="9.85546875" bestFit="1" customWidth="1"/>
    <col min="120" max="120" width="8.85546875" bestFit="1" customWidth="1"/>
    <col min="121" max="121" width="8.7109375" bestFit="1" customWidth="1"/>
    <col min="122" max="122" width="9.85546875" bestFit="1" customWidth="1"/>
    <col min="123" max="123" width="8.85546875" bestFit="1" customWidth="1"/>
    <col min="124" max="124" width="7.28515625" bestFit="1" customWidth="1"/>
    <col min="125" max="125" width="9.85546875" bestFit="1" customWidth="1"/>
    <col min="126" max="126" width="8.85546875" bestFit="1" customWidth="1"/>
    <col min="127" max="127" width="7.140625" bestFit="1" customWidth="1"/>
    <col min="128" max="128" width="9.85546875" bestFit="1" customWidth="1"/>
    <col min="129" max="129" width="8.85546875" bestFit="1" customWidth="1"/>
    <col min="130" max="130" width="7.42578125" bestFit="1" customWidth="1"/>
    <col min="131" max="131" width="9.85546875" bestFit="1" customWidth="1"/>
    <col min="132" max="132" width="8.85546875" bestFit="1" customWidth="1"/>
    <col min="133" max="133" width="6.85546875" bestFit="1" customWidth="1"/>
    <col min="134" max="134" width="9.85546875" bestFit="1" customWidth="1"/>
    <col min="135" max="135" width="8.85546875" bestFit="1" customWidth="1"/>
    <col min="136" max="136" width="9.42578125" bestFit="1" customWidth="1"/>
    <col min="137" max="137" width="9.85546875" bestFit="1" customWidth="1"/>
    <col min="138" max="138" width="8.85546875" bestFit="1" customWidth="1"/>
    <col min="139" max="139" width="12.5703125" bestFit="1" customWidth="1"/>
    <col min="140" max="140" width="9.85546875" bestFit="1" customWidth="1"/>
    <col min="141" max="141" width="8.85546875" bestFit="1" customWidth="1"/>
    <col min="142" max="142" width="10.140625" bestFit="1" customWidth="1"/>
    <col min="143" max="143" width="9.85546875" bestFit="1" customWidth="1"/>
    <col min="144" max="144" width="8.85546875" bestFit="1" customWidth="1"/>
    <col min="145" max="145" width="11.7109375" bestFit="1" customWidth="1"/>
    <col min="146" max="146" width="9.85546875" bestFit="1" customWidth="1"/>
    <col min="147" max="147" width="8.85546875" bestFit="1" customWidth="1"/>
    <col min="148" max="148" width="12" bestFit="1" customWidth="1"/>
    <col min="149" max="149" width="9.85546875" bestFit="1" customWidth="1"/>
  </cols>
  <sheetData>
    <row r="1" spans="1:151" s="42" customFormat="1" ht="15" x14ac:dyDescent="0.25">
      <c r="A1" s="34" t="s">
        <v>0</v>
      </c>
      <c r="F1" s="431"/>
      <c r="I1" s="454"/>
      <c r="AP1" s="454"/>
      <c r="AS1" s="454"/>
      <c r="BZ1" s="454"/>
      <c r="CC1" s="454"/>
      <c r="DJ1" s="454"/>
      <c r="DM1" s="454"/>
    </row>
    <row r="2" spans="1:151" s="42" customFormat="1" ht="15" x14ac:dyDescent="0.25">
      <c r="A2" s="34" t="s">
        <v>94</v>
      </c>
      <c r="F2" s="431"/>
      <c r="I2" s="454"/>
      <c r="AP2" s="454"/>
      <c r="AS2" s="454"/>
      <c r="BZ2" s="454"/>
      <c r="CC2" s="454"/>
      <c r="DJ2" s="454"/>
      <c r="DM2" s="454"/>
    </row>
    <row r="3" spans="1:151" s="42" customFormat="1" ht="15" x14ac:dyDescent="0.25">
      <c r="A3" s="34"/>
      <c r="F3" s="431"/>
      <c r="I3" s="454"/>
      <c r="AP3" s="454"/>
      <c r="AS3" s="454"/>
      <c r="BZ3" s="454"/>
      <c r="CC3" s="454"/>
      <c r="DJ3" s="454"/>
      <c r="DM3" s="454"/>
    </row>
    <row r="4" spans="1:151" x14ac:dyDescent="0.2">
      <c r="B4" s="1099" t="s">
        <v>41</v>
      </c>
      <c r="C4" s="1099"/>
      <c r="F4" s="37"/>
      <c r="G4" s="428">
        <v>36892</v>
      </c>
      <c r="H4" s="429"/>
      <c r="I4" s="455"/>
      <c r="J4" s="428">
        <v>36923</v>
      </c>
      <c r="K4" s="429"/>
      <c r="L4"/>
      <c r="M4" s="428">
        <v>36951</v>
      </c>
      <c r="N4" s="429"/>
      <c r="O4"/>
      <c r="P4" s="428">
        <v>36982</v>
      </c>
      <c r="Q4" s="429"/>
      <c r="R4"/>
      <c r="S4" s="428">
        <v>37012</v>
      </c>
      <c r="T4" s="429"/>
      <c r="U4"/>
      <c r="V4" s="428">
        <v>37043</v>
      </c>
      <c r="W4" s="429"/>
      <c r="X4"/>
      <c r="Y4" s="428">
        <v>37073</v>
      </c>
      <c r="Z4" s="429"/>
      <c r="AA4"/>
      <c r="AB4" s="428">
        <v>37104</v>
      </c>
      <c r="AC4" s="429"/>
      <c r="AD4"/>
      <c r="AE4" s="428">
        <v>37135</v>
      </c>
      <c r="AF4" s="429"/>
      <c r="AG4"/>
      <c r="AH4" s="428">
        <v>37165</v>
      </c>
      <c r="AI4" s="429"/>
      <c r="AJ4"/>
      <c r="AK4" s="428">
        <v>37196</v>
      </c>
      <c r="AL4" s="429"/>
      <c r="AN4" s="428">
        <v>37226</v>
      </c>
      <c r="AO4" s="429"/>
      <c r="AP4" s="37"/>
      <c r="AQ4" s="428">
        <v>37257</v>
      </c>
      <c r="AR4" s="429"/>
      <c r="AS4" s="455"/>
      <c r="AT4" s="428">
        <v>37288</v>
      </c>
      <c r="AU4" s="429"/>
      <c r="AW4" s="428">
        <v>37316</v>
      </c>
      <c r="AX4" s="429"/>
      <c r="AZ4" s="428">
        <v>37347</v>
      </c>
      <c r="BA4" s="429"/>
      <c r="BC4" s="428">
        <v>37377</v>
      </c>
      <c r="BD4" s="429"/>
      <c r="BF4" s="428">
        <v>37408</v>
      </c>
      <c r="BG4" s="429"/>
      <c r="BI4" s="428">
        <v>37438</v>
      </c>
      <c r="BJ4" s="429"/>
      <c r="BL4" s="428">
        <v>37469</v>
      </c>
      <c r="BM4" s="429"/>
      <c r="BO4" s="428">
        <v>37500</v>
      </c>
      <c r="BP4" s="429"/>
      <c r="BR4" s="428">
        <v>37530</v>
      </c>
      <c r="BS4" s="429"/>
      <c r="BU4" s="428">
        <v>37561</v>
      </c>
      <c r="BV4" s="429"/>
      <c r="BX4" s="428">
        <v>37591</v>
      </c>
      <c r="BY4" s="429"/>
      <c r="BZ4" s="37"/>
      <c r="CA4" s="428">
        <v>37622</v>
      </c>
      <c r="CB4" s="429"/>
      <c r="CC4" s="455"/>
      <c r="CD4" s="428">
        <v>37653</v>
      </c>
      <c r="CE4" s="429"/>
      <c r="CG4" s="428">
        <v>37681</v>
      </c>
      <c r="CH4" s="429"/>
      <c r="CJ4" s="428">
        <v>37712</v>
      </c>
      <c r="CK4" s="429"/>
      <c r="CM4" s="428">
        <v>37742</v>
      </c>
      <c r="CN4" s="429"/>
      <c r="CP4" s="428">
        <v>37773</v>
      </c>
      <c r="CQ4" s="429"/>
      <c r="CS4" s="428">
        <v>37803</v>
      </c>
      <c r="CT4" s="429"/>
      <c r="CV4" s="428">
        <v>37834</v>
      </c>
      <c r="CW4" s="429"/>
      <c r="CY4" s="428">
        <v>37865</v>
      </c>
      <c r="CZ4" s="429"/>
      <c r="DB4" s="428">
        <v>37895</v>
      </c>
      <c r="DC4" s="429"/>
      <c r="DE4" s="428">
        <v>37926</v>
      </c>
      <c r="DF4" s="429"/>
      <c r="DH4" s="428">
        <v>37956</v>
      </c>
      <c r="DI4" s="429"/>
      <c r="DJ4" s="37"/>
      <c r="DK4" s="428">
        <v>37987</v>
      </c>
      <c r="DL4" s="429"/>
      <c r="DM4" s="455"/>
      <c r="DN4" s="428">
        <v>38018</v>
      </c>
      <c r="DO4" s="429"/>
      <c r="DQ4" s="428">
        <v>38047</v>
      </c>
      <c r="DR4" s="429"/>
      <c r="DT4" s="428">
        <v>38078</v>
      </c>
      <c r="DU4" s="429"/>
      <c r="DW4" s="428">
        <v>38108</v>
      </c>
      <c r="DX4" s="429"/>
      <c r="DZ4" s="428">
        <v>38139</v>
      </c>
      <c r="EA4" s="429"/>
      <c r="EC4" s="428">
        <v>38169</v>
      </c>
      <c r="ED4" s="429"/>
      <c r="EF4" s="428">
        <v>38200</v>
      </c>
      <c r="EG4" s="429"/>
      <c r="EI4" s="428">
        <v>38231</v>
      </c>
      <c r="EJ4" s="429"/>
      <c r="EL4" s="428">
        <v>38261</v>
      </c>
      <c r="EM4" s="429"/>
      <c r="EO4" s="428">
        <v>38292</v>
      </c>
      <c r="EP4" s="429"/>
      <c r="ER4" s="428">
        <v>38322</v>
      </c>
      <c r="ES4" s="429"/>
      <c r="EU4" s="361"/>
    </row>
    <row r="5" spans="1:151" s="3" customFormat="1" x14ac:dyDescent="0.2">
      <c r="B5" s="45"/>
      <c r="C5" s="44"/>
      <c r="D5" s="3" t="s">
        <v>53</v>
      </c>
      <c r="E5" s="3" t="s">
        <v>69</v>
      </c>
      <c r="F5" s="52"/>
      <c r="G5" s="52"/>
      <c r="I5" s="165"/>
      <c r="J5" s="52"/>
      <c r="L5" s="165"/>
      <c r="M5" s="52"/>
      <c r="O5" s="165"/>
      <c r="P5" s="52"/>
      <c r="Q5" s="42"/>
      <c r="R5" s="165"/>
      <c r="S5" s="52"/>
      <c r="U5" s="165"/>
      <c r="V5" s="52"/>
      <c r="W5" s="42"/>
      <c r="X5" s="165"/>
      <c r="Y5" s="52"/>
      <c r="AA5" s="165"/>
      <c r="AB5" s="52"/>
      <c r="AD5" s="165"/>
      <c r="AE5" s="52"/>
      <c r="AG5" s="165"/>
      <c r="AH5" s="52"/>
      <c r="AJ5" s="165"/>
      <c r="AK5" s="52"/>
      <c r="AM5" s="165"/>
      <c r="AN5" s="52"/>
      <c r="AP5" s="165"/>
      <c r="AQ5" s="52"/>
      <c r="AS5" s="165"/>
      <c r="AT5" s="52"/>
      <c r="AV5" s="165"/>
      <c r="AW5" s="52"/>
      <c r="AY5" s="165"/>
      <c r="AZ5" s="52"/>
      <c r="BA5" s="42"/>
      <c r="BB5" s="165"/>
      <c r="BC5" s="52"/>
      <c r="BE5" s="165"/>
      <c r="BF5" s="52"/>
      <c r="BG5" s="42"/>
      <c r="BH5" s="165"/>
      <c r="BI5" s="52"/>
      <c r="BK5" s="165"/>
      <c r="BL5" s="52"/>
      <c r="BN5" s="165"/>
      <c r="BO5" s="52"/>
      <c r="BQ5" s="165"/>
      <c r="BR5" s="52"/>
      <c r="BT5" s="165"/>
      <c r="BU5" s="52"/>
      <c r="BW5" s="165"/>
      <c r="BX5" s="52"/>
      <c r="BZ5" s="165"/>
      <c r="CA5" s="52"/>
      <c r="CC5" s="165"/>
      <c r="CD5" s="52"/>
      <c r="CF5" s="165"/>
      <c r="CG5" s="52"/>
      <c r="CI5" s="165"/>
      <c r="CJ5" s="52"/>
      <c r="CK5" s="42"/>
      <c r="CL5" s="165"/>
      <c r="CM5" s="52"/>
      <c r="CO5" s="165"/>
      <c r="CP5" s="52"/>
      <c r="CQ5" s="42"/>
      <c r="CR5" s="165"/>
      <c r="CS5" s="52"/>
      <c r="CU5" s="165"/>
      <c r="CV5" s="52"/>
      <c r="CX5" s="165"/>
      <c r="CY5" s="52"/>
      <c r="DA5" s="165"/>
      <c r="DB5" s="52"/>
      <c r="DD5" s="165"/>
      <c r="DE5" s="52"/>
      <c r="DG5" s="165"/>
      <c r="DH5" s="52"/>
      <c r="DJ5" s="165"/>
      <c r="DK5" s="52"/>
      <c r="DM5" s="165"/>
      <c r="DN5" s="52"/>
      <c r="DP5" s="165"/>
      <c r="DQ5" s="52"/>
      <c r="DS5" s="165"/>
      <c r="DT5" s="52"/>
      <c r="DU5" s="42"/>
      <c r="DV5" s="165"/>
      <c r="DW5" s="52"/>
      <c r="DY5" s="165"/>
      <c r="DZ5" s="52"/>
      <c r="EA5" s="42"/>
      <c r="EB5" s="165"/>
      <c r="EC5" s="52"/>
      <c r="EE5" s="165"/>
      <c r="EF5" s="52"/>
      <c r="EH5" s="165"/>
      <c r="EI5" s="52"/>
      <c r="EK5" s="165"/>
      <c r="EL5" s="52"/>
      <c r="EN5" s="165"/>
      <c r="EO5" s="52"/>
      <c r="EQ5" s="165"/>
      <c r="ER5" s="52"/>
    </row>
    <row r="6" spans="1:151" s="53" customFormat="1" x14ac:dyDescent="0.2">
      <c r="A6" s="53" t="s">
        <v>34</v>
      </c>
      <c r="B6" s="53" t="s">
        <v>30</v>
      </c>
      <c r="C6" s="53" t="s">
        <v>31</v>
      </c>
      <c r="D6" s="53" t="s">
        <v>51</v>
      </c>
      <c r="E6" s="53" t="s">
        <v>70</v>
      </c>
      <c r="F6" s="54" t="s">
        <v>71</v>
      </c>
      <c r="G6" s="54" t="s">
        <v>72</v>
      </c>
      <c r="H6" s="53" t="s">
        <v>10</v>
      </c>
      <c r="I6" s="166" t="s">
        <v>71</v>
      </c>
      <c r="J6" s="54" t="s">
        <v>72</v>
      </c>
      <c r="K6" s="53" t="s">
        <v>10</v>
      </c>
      <c r="L6" s="166" t="s">
        <v>71</v>
      </c>
      <c r="M6" s="54" t="s">
        <v>72</v>
      </c>
      <c r="N6" s="53" t="s">
        <v>10</v>
      </c>
      <c r="O6" s="166" t="s">
        <v>71</v>
      </c>
      <c r="P6" s="54" t="s">
        <v>72</v>
      </c>
      <c r="Q6" s="53" t="s">
        <v>10</v>
      </c>
      <c r="R6" s="166" t="s">
        <v>71</v>
      </c>
      <c r="S6" s="54" t="s">
        <v>72</v>
      </c>
      <c r="T6" s="53" t="s">
        <v>10</v>
      </c>
      <c r="U6" s="166" t="s">
        <v>71</v>
      </c>
      <c r="V6" s="54" t="s">
        <v>72</v>
      </c>
      <c r="W6" s="53" t="s">
        <v>10</v>
      </c>
      <c r="X6" s="166" t="s">
        <v>71</v>
      </c>
      <c r="Y6" s="54" t="s">
        <v>72</v>
      </c>
      <c r="Z6" s="53" t="s">
        <v>10</v>
      </c>
      <c r="AA6" s="166" t="s">
        <v>71</v>
      </c>
      <c r="AB6" s="54" t="s">
        <v>72</v>
      </c>
      <c r="AC6" s="53" t="s">
        <v>10</v>
      </c>
      <c r="AD6" s="166" t="s">
        <v>71</v>
      </c>
      <c r="AE6" s="54" t="s">
        <v>72</v>
      </c>
      <c r="AF6" s="53" t="s">
        <v>10</v>
      </c>
      <c r="AG6" s="166" t="s">
        <v>71</v>
      </c>
      <c r="AH6" s="54" t="s">
        <v>72</v>
      </c>
      <c r="AI6" s="53" t="s">
        <v>10</v>
      </c>
      <c r="AJ6" s="166" t="s">
        <v>71</v>
      </c>
      <c r="AK6" s="54" t="s">
        <v>72</v>
      </c>
      <c r="AL6" s="53" t="s">
        <v>10</v>
      </c>
      <c r="AM6" s="166" t="s">
        <v>71</v>
      </c>
      <c r="AN6" s="54" t="s">
        <v>72</v>
      </c>
      <c r="AO6" s="53" t="s">
        <v>10</v>
      </c>
      <c r="AP6" s="166" t="s">
        <v>71</v>
      </c>
      <c r="AQ6" s="54" t="s">
        <v>72</v>
      </c>
      <c r="AR6" s="53" t="s">
        <v>10</v>
      </c>
      <c r="AS6" s="166" t="s">
        <v>71</v>
      </c>
      <c r="AT6" s="54" t="s">
        <v>72</v>
      </c>
      <c r="AU6" s="53" t="s">
        <v>10</v>
      </c>
      <c r="AV6" s="166" t="s">
        <v>71</v>
      </c>
      <c r="AW6" s="54" t="s">
        <v>72</v>
      </c>
      <c r="AX6" s="53" t="s">
        <v>10</v>
      </c>
      <c r="AY6" s="166" t="s">
        <v>71</v>
      </c>
      <c r="AZ6" s="54" t="s">
        <v>72</v>
      </c>
      <c r="BA6" s="53" t="s">
        <v>10</v>
      </c>
      <c r="BB6" s="166" t="s">
        <v>71</v>
      </c>
      <c r="BC6" s="54" t="s">
        <v>72</v>
      </c>
      <c r="BD6" s="53" t="s">
        <v>10</v>
      </c>
      <c r="BE6" s="166" t="s">
        <v>71</v>
      </c>
      <c r="BF6" s="54" t="s">
        <v>72</v>
      </c>
      <c r="BG6" s="53" t="s">
        <v>10</v>
      </c>
      <c r="BH6" s="166" t="s">
        <v>71</v>
      </c>
      <c r="BI6" s="54" t="s">
        <v>72</v>
      </c>
      <c r="BJ6" s="53" t="s">
        <v>10</v>
      </c>
      <c r="BK6" s="166" t="s">
        <v>71</v>
      </c>
      <c r="BL6" s="54" t="s">
        <v>72</v>
      </c>
      <c r="BM6" s="53" t="s">
        <v>10</v>
      </c>
      <c r="BN6" s="166" t="s">
        <v>71</v>
      </c>
      <c r="BO6" s="54" t="s">
        <v>72</v>
      </c>
      <c r="BP6" s="53" t="s">
        <v>10</v>
      </c>
      <c r="BQ6" s="166" t="s">
        <v>71</v>
      </c>
      <c r="BR6" s="54" t="s">
        <v>72</v>
      </c>
      <c r="BS6" s="53" t="s">
        <v>10</v>
      </c>
      <c r="BT6" s="166" t="s">
        <v>71</v>
      </c>
      <c r="BU6" s="54" t="s">
        <v>72</v>
      </c>
      <c r="BV6" s="53" t="s">
        <v>10</v>
      </c>
      <c r="BW6" s="166" t="s">
        <v>71</v>
      </c>
      <c r="BX6" s="54" t="s">
        <v>72</v>
      </c>
      <c r="BY6" s="53" t="s">
        <v>10</v>
      </c>
      <c r="BZ6" s="166" t="s">
        <v>71</v>
      </c>
      <c r="CA6" s="54" t="s">
        <v>72</v>
      </c>
      <c r="CB6" s="53" t="s">
        <v>10</v>
      </c>
      <c r="CC6" s="166" t="s">
        <v>71</v>
      </c>
      <c r="CD6" s="54" t="s">
        <v>72</v>
      </c>
      <c r="CE6" s="53" t="s">
        <v>10</v>
      </c>
      <c r="CF6" s="166" t="s">
        <v>71</v>
      </c>
      <c r="CG6" s="54" t="s">
        <v>72</v>
      </c>
      <c r="CH6" s="53" t="s">
        <v>10</v>
      </c>
      <c r="CI6" s="166" t="s">
        <v>71</v>
      </c>
      <c r="CJ6" s="54" t="s">
        <v>72</v>
      </c>
      <c r="CK6" s="53" t="s">
        <v>10</v>
      </c>
      <c r="CL6" s="166" t="s">
        <v>71</v>
      </c>
      <c r="CM6" s="54" t="s">
        <v>72</v>
      </c>
      <c r="CN6" s="53" t="s">
        <v>10</v>
      </c>
      <c r="CO6" s="166" t="s">
        <v>71</v>
      </c>
      <c r="CP6" s="54" t="s">
        <v>72</v>
      </c>
      <c r="CQ6" s="53" t="s">
        <v>10</v>
      </c>
      <c r="CR6" s="166" t="s">
        <v>71</v>
      </c>
      <c r="CS6" s="54" t="s">
        <v>72</v>
      </c>
      <c r="CT6" s="53" t="s">
        <v>10</v>
      </c>
      <c r="CU6" s="166" t="s">
        <v>71</v>
      </c>
      <c r="CV6" s="54" t="s">
        <v>72</v>
      </c>
      <c r="CW6" s="53" t="s">
        <v>10</v>
      </c>
      <c r="CX6" s="166" t="s">
        <v>71</v>
      </c>
      <c r="CY6" s="54" t="s">
        <v>72</v>
      </c>
      <c r="CZ6" s="53" t="s">
        <v>10</v>
      </c>
      <c r="DA6" s="166" t="s">
        <v>71</v>
      </c>
      <c r="DB6" s="54" t="s">
        <v>72</v>
      </c>
      <c r="DC6" s="53" t="s">
        <v>10</v>
      </c>
      <c r="DD6" s="166" t="s">
        <v>71</v>
      </c>
      <c r="DE6" s="54" t="s">
        <v>72</v>
      </c>
      <c r="DF6" s="53" t="s">
        <v>10</v>
      </c>
      <c r="DG6" s="166" t="s">
        <v>71</v>
      </c>
      <c r="DH6" s="54" t="s">
        <v>72</v>
      </c>
      <c r="DI6" s="53" t="s">
        <v>10</v>
      </c>
      <c r="DJ6" s="166" t="s">
        <v>71</v>
      </c>
      <c r="DK6" s="54" t="s">
        <v>72</v>
      </c>
      <c r="DL6" s="53" t="s">
        <v>10</v>
      </c>
      <c r="DM6" s="166" t="s">
        <v>71</v>
      </c>
      <c r="DN6" s="54" t="s">
        <v>72</v>
      </c>
      <c r="DO6" s="53" t="s">
        <v>10</v>
      </c>
      <c r="DP6" s="166" t="s">
        <v>71</v>
      </c>
      <c r="DQ6" s="54" t="s">
        <v>72</v>
      </c>
      <c r="DR6" s="53" t="s">
        <v>10</v>
      </c>
      <c r="DS6" s="166" t="s">
        <v>71</v>
      </c>
      <c r="DT6" s="54" t="s">
        <v>72</v>
      </c>
      <c r="DU6" s="53" t="s">
        <v>10</v>
      </c>
      <c r="DV6" s="166" t="s">
        <v>71</v>
      </c>
      <c r="DW6" s="54" t="s">
        <v>72</v>
      </c>
      <c r="DX6" s="53" t="s">
        <v>10</v>
      </c>
      <c r="DY6" s="166" t="s">
        <v>71</v>
      </c>
      <c r="DZ6" s="54" t="s">
        <v>72</v>
      </c>
      <c r="EA6" s="53" t="s">
        <v>10</v>
      </c>
      <c r="EB6" s="166" t="s">
        <v>71</v>
      </c>
      <c r="EC6" s="54" t="s">
        <v>72</v>
      </c>
      <c r="ED6" s="53" t="s">
        <v>10</v>
      </c>
      <c r="EE6" s="166" t="s">
        <v>71</v>
      </c>
      <c r="EF6" s="54" t="s">
        <v>72</v>
      </c>
      <c r="EG6" s="53" t="s">
        <v>10</v>
      </c>
      <c r="EH6" s="166" t="s">
        <v>71</v>
      </c>
      <c r="EI6" s="54" t="s">
        <v>72</v>
      </c>
      <c r="EJ6" s="53" t="s">
        <v>10</v>
      </c>
      <c r="EK6" s="166" t="s">
        <v>71</v>
      </c>
      <c r="EL6" s="54" t="s">
        <v>72</v>
      </c>
      <c r="EM6" s="53" t="s">
        <v>10</v>
      </c>
      <c r="EN6" s="166" t="s">
        <v>71</v>
      </c>
      <c r="EO6" s="54" t="s">
        <v>72</v>
      </c>
      <c r="EP6" s="53" t="s">
        <v>10</v>
      </c>
      <c r="EQ6" s="166" t="s">
        <v>71</v>
      </c>
      <c r="ER6" s="54" t="s">
        <v>72</v>
      </c>
      <c r="ES6" s="53" t="s">
        <v>10</v>
      </c>
    </row>
    <row r="7" spans="1:151" s="43" customFormat="1" x14ac:dyDescent="0.2">
      <c r="F7" s="433"/>
      <c r="I7" s="456"/>
      <c r="L7" s="434"/>
      <c r="M7" s="435"/>
      <c r="O7" s="434"/>
      <c r="P7" s="435"/>
      <c r="R7" s="434"/>
      <c r="S7" s="435"/>
      <c r="U7" s="434"/>
      <c r="V7" s="435"/>
      <c r="X7" s="434"/>
      <c r="Y7" s="435"/>
      <c r="AA7" s="434"/>
      <c r="AB7" s="435"/>
      <c r="AD7" s="434"/>
      <c r="AE7" s="435"/>
      <c r="AG7" s="434"/>
      <c r="AH7" s="435"/>
      <c r="AJ7" s="434"/>
      <c r="AK7" s="435"/>
      <c r="AM7" s="434"/>
      <c r="AN7" s="435"/>
      <c r="AP7" s="456"/>
      <c r="AS7" s="456"/>
      <c r="AV7" s="434"/>
      <c r="AW7" s="435"/>
      <c r="AY7" s="434"/>
      <c r="AZ7" s="435"/>
      <c r="BB7" s="434"/>
      <c r="BC7" s="435"/>
      <c r="BE7" s="434"/>
      <c r="BF7" s="435"/>
      <c r="BH7" s="434"/>
      <c r="BI7" s="435"/>
      <c r="BK7" s="434"/>
      <c r="BL7" s="435"/>
      <c r="BN7" s="434"/>
      <c r="BO7" s="435"/>
      <c r="BQ7" s="434"/>
      <c r="BR7" s="435"/>
      <c r="BT7" s="434"/>
      <c r="BU7" s="435"/>
      <c r="BW7" s="434"/>
      <c r="BX7" s="435"/>
      <c r="BZ7" s="456"/>
      <c r="CC7" s="456"/>
      <c r="CF7" s="434"/>
      <c r="CG7" s="435"/>
      <c r="CI7" s="434"/>
      <c r="CJ7" s="435"/>
      <c r="CL7" s="434"/>
      <c r="CM7" s="435"/>
      <c r="CO7" s="434"/>
      <c r="CP7" s="435"/>
      <c r="CR7" s="434"/>
      <c r="CS7" s="435"/>
      <c r="CU7" s="434"/>
      <c r="CV7" s="435"/>
      <c r="CX7" s="434"/>
      <c r="CY7" s="435"/>
      <c r="DA7" s="434"/>
      <c r="DB7" s="435"/>
      <c r="DD7" s="434"/>
      <c r="DE7" s="435"/>
      <c r="DG7" s="434"/>
      <c r="DH7" s="435"/>
      <c r="DJ7" s="456"/>
      <c r="DM7" s="456"/>
      <c r="DP7" s="434"/>
      <c r="DQ7" s="435"/>
      <c r="DS7" s="434"/>
      <c r="DT7" s="435"/>
      <c r="DV7" s="434"/>
      <c r="DW7" s="435"/>
      <c r="DY7" s="434"/>
      <c r="DZ7" s="435"/>
      <c r="EB7" s="434"/>
      <c r="EC7" s="435"/>
      <c r="EE7" s="434"/>
      <c r="EF7" s="435"/>
      <c r="EH7" s="434"/>
      <c r="EI7" s="435"/>
      <c r="EK7" s="434"/>
      <c r="EL7" s="435"/>
      <c r="EN7" s="434"/>
      <c r="EO7" s="435"/>
      <c r="EQ7" s="434"/>
      <c r="ER7" s="435"/>
    </row>
    <row r="8" spans="1:151" x14ac:dyDescent="0.2">
      <c r="A8" t="s">
        <v>74</v>
      </c>
      <c r="B8" t="s">
        <v>75</v>
      </c>
      <c r="C8" t="s">
        <v>75</v>
      </c>
      <c r="D8" t="s">
        <v>76</v>
      </c>
      <c r="E8" t="s">
        <v>93</v>
      </c>
      <c r="F8" s="358">
        <v>0</v>
      </c>
      <c r="G8" s="361">
        <v>0</v>
      </c>
      <c r="H8" s="358">
        <v>0</v>
      </c>
      <c r="I8" s="358">
        <v>0</v>
      </c>
      <c r="J8" s="361">
        <v>0</v>
      </c>
      <c r="K8" s="358">
        <v>0</v>
      </c>
      <c r="L8" s="358">
        <v>0</v>
      </c>
      <c r="M8" s="361">
        <v>0</v>
      </c>
      <c r="N8" s="358">
        <v>0</v>
      </c>
      <c r="O8" s="358">
        <v>0</v>
      </c>
      <c r="P8" s="361">
        <v>0</v>
      </c>
      <c r="Q8" s="358">
        <v>0</v>
      </c>
      <c r="R8" s="358">
        <v>0</v>
      </c>
      <c r="S8" s="361">
        <v>0</v>
      </c>
      <c r="T8" s="358">
        <v>0</v>
      </c>
      <c r="U8" s="358">
        <v>0</v>
      </c>
      <c r="V8" s="361">
        <v>0</v>
      </c>
      <c r="W8" s="358">
        <v>0</v>
      </c>
      <c r="X8" s="358">
        <v>0</v>
      </c>
      <c r="Y8" s="361">
        <v>0</v>
      </c>
      <c r="Z8" s="358">
        <v>0</v>
      </c>
      <c r="AA8" s="358">
        <v>0</v>
      </c>
      <c r="AB8" s="361">
        <v>0</v>
      </c>
      <c r="AC8" s="358">
        <v>0</v>
      </c>
      <c r="AD8" s="358">
        <v>0</v>
      </c>
      <c r="AE8" s="361">
        <v>0</v>
      </c>
      <c r="AF8" s="358">
        <v>0</v>
      </c>
      <c r="AG8" s="358">
        <v>0</v>
      </c>
      <c r="AH8" s="361">
        <v>0</v>
      </c>
      <c r="AI8" s="358">
        <v>0</v>
      </c>
      <c r="AJ8" s="358">
        <v>0</v>
      </c>
      <c r="AK8" s="361">
        <v>0</v>
      </c>
      <c r="AL8" s="358">
        <v>0</v>
      </c>
      <c r="AM8">
        <v>0</v>
      </c>
      <c r="AN8">
        <v>0</v>
      </c>
      <c r="AO8">
        <v>0</v>
      </c>
      <c r="AP8">
        <v>532214</v>
      </c>
      <c r="AQ8">
        <v>3.7699999999999997E-2</v>
      </c>
      <c r="AR8">
        <v>621991.93599999999</v>
      </c>
      <c r="AS8">
        <v>532214</v>
      </c>
      <c r="AT8">
        <v>3.7699999999999997E-2</v>
      </c>
      <c r="AU8">
        <v>561799.16799999995</v>
      </c>
      <c r="AV8">
        <v>522214</v>
      </c>
      <c r="AW8">
        <v>3.7499999999999999E-2</v>
      </c>
      <c r="AX8">
        <v>606491.93599999999</v>
      </c>
      <c r="AY8">
        <v>522214</v>
      </c>
      <c r="AZ8">
        <v>3.7499999999999999E-2</v>
      </c>
      <c r="BA8">
        <v>586927.68000000005</v>
      </c>
      <c r="BB8">
        <v>523827</v>
      </c>
      <c r="BC8">
        <v>3.7499999999999999E-2</v>
      </c>
      <c r="BD8">
        <v>608992.08600000001</v>
      </c>
      <c r="BE8">
        <v>508047</v>
      </c>
      <c r="BF8">
        <v>3.6499999999999998E-2</v>
      </c>
      <c r="BG8">
        <v>556677.18000000005</v>
      </c>
      <c r="BH8">
        <v>512617</v>
      </c>
      <c r="BI8">
        <v>3.6600000000000001E-2</v>
      </c>
      <c r="BJ8">
        <v>582316.58600000001</v>
      </c>
      <c r="BK8">
        <v>489391</v>
      </c>
      <c r="BL8">
        <v>0</v>
      </c>
      <c r="BM8">
        <v>561816.28599999996</v>
      </c>
      <c r="BN8">
        <v>483047</v>
      </c>
      <c r="BO8">
        <v>3.6900000000000002E-2</v>
      </c>
      <c r="BP8">
        <v>534177.18000000005</v>
      </c>
      <c r="BQ8">
        <v>479714</v>
      </c>
      <c r="BR8">
        <v>3.6799999999999999E-2</v>
      </c>
      <c r="BS8">
        <v>546816.93599999999</v>
      </c>
      <c r="BT8">
        <v>479714</v>
      </c>
      <c r="BU8">
        <v>3.6799999999999999E-2</v>
      </c>
      <c r="BV8">
        <v>529177.68000000005</v>
      </c>
      <c r="BW8">
        <v>444000</v>
      </c>
      <c r="BX8">
        <v>3.1399999999999997E-2</v>
      </c>
      <c r="BY8">
        <v>431675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10" spans="1:151" x14ac:dyDescent="0.2">
      <c r="A10" t="s">
        <v>74</v>
      </c>
      <c r="B10" t="s">
        <v>75</v>
      </c>
      <c r="C10" t="s">
        <v>79</v>
      </c>
      <c r="D10" t="s">
        <v>76</v>
      </c>
      <c r="E10" t="s">
        <v>93</v>
      </c>
      <c r="F10" s="358">
        <v>0</v>
      </c>
      <c r="G10" s="361">
        <v>0</v>
      </c>
      <c r="H10" s="358">
        <v>0</v>
      </c>
      <c r="I10" s="358">
        <v>0</v>
      </c>
      <c r="J10" s="361">
        <v>0</v>
      </c>
      <c r="K10" s="358">
        <v>0</v>
      </c>
      <c r="L10" s="358">
        <v>0</v>
      </c>
      <c r="M10" s="361">
        <v>0</v>
      </c>
      <c r="N10" s="358">
        <v>0</v>
      </c>
      <c r="O10" s="358">
        <v>0</v>
      </c>
      <c r="P10" s="361">
        <v>0</v>
      </c>
      <c r="Q10" s="358">
        <v>0</v>
      </c>
      <c r="R10" s="358">
        <v>0</v>
      </c>
      <c r="S10" s="361">
        <v>0</v>
      </c>
      <c r="T10" s="358">
        <v>0</v>
      </c>
      <c r="U10" s="358">
        <v>0</v>
      </c>
      <c r="V10" s="361">
        <v>0</v>
      </c>
      <c r="W10" s="358">
        <v>0</v>
      </c>
      <c r="X10" s="358">
        <v>0</v>
      </c>
      <c r="Y10" s="361">
        <v>0</v>
      </c>
      <c r="Z10" s="358">
        <v>0</v>
      </c>
      <c r="AA10" s="358">
        <v>0</v>
      </c>
      <c r="AB10" s="361">
        <v>0</v>
      </c>
      <c r="AC10" s="358">
        <v>0</v>
      </c>
      <c r="AD10" s="358">
        <v>0</v>
      </c>
      <c r="AE10" s="361">
        <v>0</v>
      </c>
      <c r="AF10" s="358">
        <v>0</v>
      </c>
      <c r="AG10" s="358">
        <v>0</v>
      </c>
      <c r="AH10" s="361">
        <v>0</v>
      </c>
      <c r="AI10" s="358">
        <v>0</v>
      </c>
      <c r="AJ10" s="358">
        <v>0</v>
      </c>
      <c r="AK10" s="361">
        <v>0</v>
      </c>
      <c r="AL10" s="358">
        <v>0</v>
      </c>
      <c r="AM10">
        <v>0</v>
      </c>
      <c r="AN10">
        <v>0</v>
      </c>
      <c r="AO10">
        <v>0</v>
      </c>
      <c r="AP10">
        <v>80000</v>
      </c>
      <c r="AQ10">
        <v>0.14499999999999999</v>
      </c>
      <c r="AR10">
        <v>359600</v>
      </c>
      <c r="AS10">
        <v>80000</v>
      </c>
      <c r="AT10">
        <v>0.14499999999999999</v>
      </c>
      <c r="AU10">
        <v>324800</v>
      </c>
      <c r="AV10">
        <v>80000</v>
      </c>
      <c r="AW10">
        <v>0.14499999999999999</v>
      </c>
      <c r="AX10">
        <v>359600</v>
      </c>
      <c r="AY10">
        <v>80000</v>
      </c>
      <c r="AZ10">
        <v>0.14499999999999999</v>
      </c>
      <c r="BA10">
        <v>348000</v>
      </c>
      <c r="BB10">
        <v>80000</v>
      </c>
      <c r="BC10">
        <v>0.14499999999999999</v>
      </c>
      <c r="BD10">
        <v>359600</v>
      </c>
      <c r="BE10">
        <v>80000</v>
      </c>
      <c r="BF10">
        <v>0.14499999999999999</v>
      </c>
      <c r="BG10">
        <v>348000</v>
      </c>
      <c r="BH10">
        <v>80000</v>
      </c>
      <c r="BI10">
        <v>0.14499999999999999</v>
      </c>
      <c r="BJ10">
        <v>359600</v>
      </c>
      <c r="BK10">
        <v>80000</v>
      </c>
      <c r="BL10">
        <v>0</v>
      </c>
      <c r="BM10">
        <v>359600</v>
      </c>
      <c r="BN10">
        <v>80000</v>
      </c>
      <c r="BO10">
        <v>0.14499999999999999</v>
      </c>
      <c r="BP10">
        <v>348000</v>
      </c>
      <c r="BQ10">
        <v>80000</v>
      </c>
      <c r="BR10">
        <v>0.14499999999999999</v>
      </c>
      <c r="BS10">
        <v>359600</v>
      </c>
      <c r="BT10">
        <v>80000</v>
      </c>
      <c r="BU10">
        <v>0.14499999999999999</v>
      </c>
      <c r="BV10">
        <v>348000</v>
      </c>
      <c r="BW10">
        <v>80000</v>
      </c>
      <c r="BX10">
        <v>0.15</v>
      </c>
      <c r="BY10">
        <v>372000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51" x14ac:dyDescent="0.2">
      <c r="A11" t="s">
        <v>74</v>
      </c>
      <c r="B11" t="s">
        <v>75</v>
      </c>
      <c r="C11" t="s">
        <v>80</v>
      </c>
      <c r="D11" t="s">
        <v>76</v>
      </c>
      <c r="E11" t="s">
        <v>93</v>
      </c>
      <c r="F11" s="358">
        <v>0</v>
      </c>
      <c r="G11" s="361">
        <v>0</v>
      </c>
      <c r="H11" s="358">
        <v>0</v>
      </c>
      <c r="I11" s="358">
        <v>0</v>
      </c>
      <c r="J11" s="361">
        <v>0</v>
      </c>
      <c r="K11" s="358">
        <v>0</v>
      </c>
      <c r="L11" s="358">
        <v>0</v>
      </c>
      <c r="M11" s="361">
        <v>0</v>
      </c>
      <c r="N11" s="358">
        <v>0</v>
      </c>
      <c r="O11" s="358">
        <v>0</v>
      </c>
      <c r="P11" s="361">
        <v>0</v>
      </c>
      <c r="Q11" s="358">
        <v>0</v>
      </c>
      <c r="R11" s="358">
        <v>0</v>
      </c>
      <c r="S11" s="361">
        <v>0</v>
      </c>
      <c r="T11" s="358">
        <v>0</v>
      </c>
      <c r="U11" s="358">
        <v>0</v>
      </c>
      <c r="V11" s="361">
        <v>0</v>
      </c>
      <c r="W11" s="358">
        <v>0</v>
      </c>
      <c r="X11" s="358">
        <v>0</v>
      </c>
      <c r="Y11" s="361">
        <v>0</v>
      </c>
      <c r="Z11" s="358">
        <v>0</v>
      </c>
      <c r="AA11" s="358">
        <v>0</v>
      </c>
      <c r="AB11" s="361">
        <v>0</v>
      </c>
      <c r="AC11" s="358">
        <v>0</v>
      </c>
      <c r="AD11" s="358">
        <v>0</v>
      </c>
      <c r="AE11" s="361">
        <v>0</v>
      </c>
      <c r="AF11" s="358">
        <v>0</v>
      </c>
      <c r="AG11" s="358">
        <v>0</v>
      </c>
      <c r="AH11" s="361">
        <v>0</v>
      </c>
      <c r="AI11" s="358">
        <v>0</v>
      </c>
      <c r="AJ11" s="358">
        <v>0</v>
      </c>
      <c r="AK11" s="361">
        <v>0</v>
      </c>
      <c r="AL11" s="358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51" x14ac:dyDescent="0.2">
      <c r="A12" t="s">
        <v>74</v>
      </c>
      <c r="B12" t="s">
        <v>75</v>
      </c>
      <c r="C12" t="s">
        <v>81</v>
      </c>
      <c r="D12" t="s">
        <v>76</v>
      </c>
      <c r="E12" t="s">
        <v>93</v>
      </c>
      <c r="F12" s="358">
        <v>0</v>
      </c>
      <c r="G12" s="361">
        <v>0</v>
      </c>
      <c r="H12" s="358">
        <v>0</v>
      </c>
      <c r="I12" s="358">
        <v>0</v>
      </c>
      <c r="J12" s="361">
        <v>0</v>
      </c>
      <c r="K12" s="358">
        <v>0</v>
      </c>
      <c r="L12" s="358">
        <v>0</v>
      </c>
      <c r="M12" s="361">
        <v>0</v>
      </c>
      <c r="N12" s="358">
        <v>0</v>
      </c>
      <c r="O12" s="358">
        <v>0</v>
      </c>
      <c r="P12" s="361">
        <v>0</v>
      </c>
      <c r="Q12" s="358">
        <v>0</v>
      </c>
      <c r="R12" s="358">
        <v>0</v>
      </c>
      <c r="S12" s="361">
        <v>0</v>
      </c>
      <c r="T12" s="358">
        <v>0</v>
      </c>
      <c r="U12" s="358">
        <v>0</v>
      </c>
      <c r="V12" s="361">
        <v>0</v>
      </c>
      <c r="W12" s="358">
        <v>0</v>
      </c>
      <c r="X12" s="358">
        <v>0</v>
      </c>
      <c r="Y12" s="361">
        <v>0</v>
      </c>
      <c r="Z12" s="358">
        <v>0</v>
      </c>
      <c r="AA12" s="358">
        <v>0</v>
      </c>
      <c r="AB12" s="361">
        <v>0</v>
      </c>
      <c r="AC12" s="358">
        <v>0</v>
      </c>
      <c r="AD12" s="358">
        <v>0</v>
      </c>
      <c r="AE12" s="361">
        <v>0</v>
      </c>
      <c r="AF12" s="358">
        <v>0</v>
      </c>
      <c r="AG12" s="358">
        <v>0</v>
      </c>
      <c r="AH12" s="361">
        <v>0</v>
      </c>
      <c r="AI12" s="358">
        <v>0</v>
      </c>
      <c r="AJ12" s="358">
        <v>0</v>
      </c>
      <c r="AK12" s="361">
        <v>0</v>
      </c>
      <c r="AL12" s="358">
        <v>0</v>
      </c>
      <c r="AM12">
        <v>0</v>
      </c>
      <c r="AN12">
        <v>0</v>
      </c>
      <c r="AO12">
        <v>0</v>
      </c>
      <c r="AP12">
        <v>80000</v>
      </c>
      <c r="AQ12">
        <v>2.5000000000000001E-2</v>
      </c>
      <c r="AR12">
        <v>62000</v>
      </c>
      <c r="AS12">
        <v>80000</v>
      </c>
      <c r="AT12">
        <v>2.5000000000000001E-2</v>
      </c>
      <c r="AU12">
        <v>56000</v>
      </c>
      <c r="AV12">
        <v>80000</v>
      </c>
      <c r="AW12">
        <v>2.5000000000000001E-2</v>
      </c>
      <c r="AX12">
        <v>62000</v>
      </c>
      <c r="AY12">
        <v>80000</v>
      </c>
      <c r="AZ12">
        <v>2.5000000000000001E-2</v>
      </c>
      <c r="BA12">
        <v>60000</v>
      </c>
      <c r="BB12">
        <v>80000</v>
      </c>
      <c r="BC12">
        <v>2.5000000000000001E-2</v>
      </c>
      <c r="BD12">
        <v>62000</v>
      </c>
      <c r="BE12">
        <v>80000</v>
      </c>
      <c r="BF12">
        <v>2.5000000000000001E-2</v>
      </c>
      <c r="BG12">
        <v>60000</v>
      </c>
      <c r="BH12">
        <v>80000</v>
      </c>
      <c r="BI12">
        <v>2.5000000000000001E-2</v>
      </c>
      <c r="BJ12">
        <v>62000</v>
      </c>
      <c r="BK12">
        <v>80000</v>
      </c>
      <c r="BL12">
        <v>0</v>
      </c>
      <c r="BM12">
        <v>62000</v>
      </c>
      <c r="BN12">
        <v>80000</v>
      </c>
      <c r="BO12">
        <v>2.5000000000000001E-2</v>
      </c>
      <c r="BP12">
        <v>60000</v>
      </c>
      <c r="BQ12">
        <v>80000</v>
      </c>
      <c r="BR12">
        <v>2.5000000000000001E-2</v>
      </c>
      <c r="BS12">
        <v>62000</v>
      </c>
      <c r="BT12">
        <v>80000</v>
      </c>
      <c r="BU12">
        <v>2.5000000000000001E-2</v>
      </c>
      <c r="BV12">
        <v>60000</v>
      </c>
      <c r="BW12">
        <v>80000</v>
      </c>
      <c r="BX12">
        <v>2.5000000000000001E-2</v>
      </c>
      <c r="BY12">
        <v>62000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1" x14ac:dyDescent="0.2">
      <c r="A13" s="42" t="s">
        <v>86</v>
      </c>
      <c r="F13" s="360">
        <f>SUM(F8:F12)</f>
        <v>0</v>
      </c>
      <c r="H13" s="360">
        <f>SUM(H8:H12)</f>
        <v>0</v>
      </c>
      <c r="I13" s="360">
        <f>SUM(I8:I12)</f>
        <v>0</v>
      </c>
      <c r="K13" s="360">
        <f>SUM(K8:K12)</f>
        <v>0</v>
      </c>
      <c r="L13" s="360">
        <f>SUM(L8:L12)</f>
        <v>0</v>
      </c>
      <c r="N13" s="360">
        <f>SUM(N8:N12)</f>
        <v>0</v>
      </c>
      <c r="O13" s="360">
        <f>SUM(O8:O12)</f>
        <v>0</v>
      </c>
      <c r="Q13" s="360">
        <f>SUM(Q8:Q12)</f>
        <v>0</v>
      </c>
      <c r="R13" s="360">
        <f>SUM(R8:R12)</f>
        <v>0</v>
      </c>
      <c r="T13" s="360">
        <f>SUM(T8:T12)</f>
        <v>0</v>
      </c>
      <c r="U13" s="360">
        <f>SUM(U8:U12)</f>
        <v>0</v>
      </c>
      <c r="W13" s="360">
        <f>SUM(W8:W12)</f>
        <v>0</v>
      </c>
      <c r="X13" s="360">
        <f>SUM(X8:X12)</f>
        <v>0</v>
      </c>
      <c r="Z13" s="360">
        <f>SUM(Z8:Z12)</f>
        <v>0</v>
      </c>
      <c r="AA13" s="360">
        <f>SUM(AA8:AA12)</f>
        <v>0</v>
      </c>
      <c r="AC13" s="360">
        <f>SUM(AC8:AC12)</f>
        <v>0</v>
      </c>
      <c r="AD13" s="360">
        <f>SUM(AD8:AD12)</f>
        <v>0</v>
      </c>
      <c r="AF13" s="360">
        <f>SUM(AF8:AF12)</f>
        <v>0</v>
      </c>
      <c r="AG13" s="360">
        <f>SUM(AG8:AG12)</f>
        <v>0</v>
      </c>
      <c r="AI13" s="360">
        <f>SUM(AI8:AI12)</f>
        <v>0</v>
      </c>
      <c r="AJ13" s="360">
        <f>SUM(AJ8:AJ12)</f>
        <v>0</v>
      </c>
      <c r="AL13" s="360">
        <f>SUM(AL8:AL12)</f>
        <v>0</v>
      </c>
      <c r="AM13" s="42">
        <f>SUM(AM8:AM12)</f>
        <v>0</v>
      </c>
      <c r="AO13" s="42">
        <f>SUM(AO8:AO12)</f>
        <v>0</v>
      </c>
      <c r="AP13" s="42">
        <f>SUM(AP8:AP12)</f>
        <v>692214</v>
      </c>
      <c r="AR13" s="42">
        <f>SUM(AR8:AR12)</f>
        <v>1043591.936</v>
      </c>
      <c r="AS13" s="42">
        <f>SUM(AS8:AS12)</f>
        <v>692214</v>
      </c>
      <c r="AU13" s="42">
        <f>SUM(AU8:AU12)</f>
        <v>942599.16799999995</v>
      </c>
      <c r="AV13" s="42">
        <f>SUM(AV8:AV12)</f>
        <v>682214</v>
      </c>
      <c r="AX13" s="42">
        <f>SUM(AX8:AX12)</f>
        <v>1028091.936</v>
      </c>
      <c r="AY13" s="42">
        <f>SUM(AY8:AY12)</f>
        <v>682214</v>
      </c>
      <c r="BA13" s="42">
        <f>SUM(BA8:BA12)</f>
        <v>994927.68</v>
      </c>
      <c r="BB13" s="42">
        <f>SUM(BB8:BB12)</f>
        <v>683827</v>
      </c>
      <c r="BD13" s="42">
        <f>SUM(BD8:BD12)</f>
        <v>1030592.086</v>
      </c>
      <c r="BE13" s="42">
        <f>SUM(BE8:BE12)</f>
        <v>668047</v>
      </c>
      <c r="BG13" s="42">
        <f>SUM(BG8:BG12)</f>
        <v>964677.18</v>
      </c>
      <c r="BH13" s="42">
        <f>SUM(BH8:BH12)</f>
        <v>672617</v>
      </c>
      <c r="BJ13" s="42">
        <f>SUM(BJ8:BJ12)</f>
        <v>1003916.586</v>
      </c>
      <c r="BK13" s="42">
        <f>SUM(BK8:BK12)</f>
        <v>649391</v>
      </c>
      <c r="BM13" s="42">
        <f>SUM(BM8:BM12)</f>
        <v>983416.28599999996</v>
      </c>
      <c r="BN13" s="42">
        <f>SUM(BN8:BN12)</f>
        <v>643047</v>
      </c>
      <c r="BP13" s="42">
        <f>SUM(BP8:BP12)</f>
        <v>942177.18</v>
      </c>
      <c r="BQ13" s="42">
        <f>SUM(BQ8:BQ12)</f>
        <v>639714</v>
      </c>
      <c r="BS13" s="42">
        <f>SUM(BS8:BS12)</f>
        <v>968416.93599999999</v>
      </c>
      <c r="BT13" s="42">
        <f>SUM(BT8:BT12)</f>
        <v>639714</v>
      </c>
      <c r="BV13" s="42">
        <f>SUM(BV8:BV12)</f>
        <v>937177.68</v>
      </c>
      <c r="BW13" s="42">
        <f>SUM(BW8:BW12)</f>
        <v>604000</v>
      </c>
      <c r="BY13" s="42">
        <f>SUM(BY8:BY12)</f>
        <v>865675</v>
      </c>
      <c r="BZ13" s="42">
        <f>SUM(BZ8:BZ12)</f>
        <v>0</v>
      </c>
      <c r="CB13" s="42">
        <f>SUM(CB8:CB12)</f>
        <v>0</v>
      </c>
      <c r="CC13" s="42">
        <f>SUM(CC8:CC12)</f>
        <v>0</v>
      </c>
      <c r="CE13" s="42">
        <f>SUM(CE8:CE12)</f>
        <v>0</v>
      </c>
      <c r="CF13" s="42">
        <f>SUM(CF8:CF12)</f>
        <v>0</v>
      </c>
      <c r="CH13" s="42">
        <f>SUM(CH8:CH12)</f>
        <v>0</v>
      </c>
      <c r="CI13" s="42">
        <f>SUM(CI8:CI12)</f>
        <v>0</v>
      </c>
      <c r="CK13" s="42">
        <f>SUM(CK8:CK12)</f>
        <v>0</v>
      </c>
      <c r="CL13" s="42">
        <f>SUM(CL8:CL12)</f>
        <v>0</v>
      </c>
      <c r="CN13" s="42">
        <f>SUM(CN8:CN12)</f>
        <v>0</v>
      </c>
      <c r="CO13" s="42">
        <f>SUM(CO8:CO12)</f>
        <v>0</v>
      </c>
      <c r="CQ13" s="42">
        <f>SUM(CQ8:CQ12)</f>
        <v>0</v>
      </c>
      <c r="CR13" s="42">
        <f>SUM(CR8:CR12)</f>
        <v>0</v>
      </c>
      <c r="CT13" s="42">
        <f>SUM(CT8:CT12)</f>
        <v>0</v>
      </c>
      <c r="CU13" s="42">
        <f>SUM(CU8:CU12)</f>
        <v>0</v>
      </c>
      <c r="CW13" s="42">
        <f>SUM(CW8:CW12)</f>
        <v>0</v>
      </c>
      <c r="CX13" s="42">
        <f>SUM(CX8:CX12)</f>
        <v>0</v>
      </c>
      <c r="CZ13" s="42">
        <f>SUM(CZ8:CZ12)</f>
        <v>0</v>
      </c>
      <c r="DA13" s="42">
        <f>SUM(DA8:DA12)</f>
        <v>0</v>
      </c>
      <c r="DC13" s="42">
        <f>SUM(DC8:DC12)</f>
        <v>0</v>
      </c>
      <c r="DD13" s="42">
        <f>SUM(DD8:DD12)</f>
        <v>0</v>
      </c>
      <c r="DF13" s="42">
        <f>SUM(DF8:DF12)</f>
        <v>0</v>
      </c>
      <c r="DG13" s="42">
        <f>SUM(DG8:DG12)</f>
        <v>0</v>
      </c>
      <c r="DI13" s="42">
        <f>SUM(DI8:DI12)</f>
        <v>0</v>
      </c>
      <c r="DJ13" s="42">
        <f>SUM(DJ8:DJ12)</f>
        <v>0</v>
      </c>
      <c r="DL13" s="42">
        <f>SUM(DL8:DL12)</f>
        <v>0</v>
      </c>
      <c r="DM13" s="42">
        <f>SUM(DM8:DM12)</f>
        <v>0</v>
      </c>
      <c r="DO13" s="42">
        <f>SUM(DO8:DO12)</f>
        <v>0</v>
      </c>
      <c r="DP13" s="42">
        <f>SUM(DP8:DP12)</f>
        <v>0</v>
      </c>
      <c r="DR13" s="42">
        <f>SUM(DR8:DR12)</f>
        <v>0</v>
      </c>
      <c r="DS13" s="42">
        <f>SUM(DS8:DS12)</f>
        <v>0</v>
      </c>
      <c r="DU13" s="42">
        <f>SUM(DU8:DU12)</f>
        <v>0</v>
      </c>
      <c r="DV13" s="42">
        <f>SUM(DV8:DV12)</f>
        <v>0</v>
      </c>
      <c r="DX13" s="42">
        <f>SUM(DX8:DX12)</f>
        <v>0</v>
      </c>
      <c r="DY13" s="42">
        <f>SUM(DY8:DY12)</f>
        <v>0</v>
      </c>
      <c r="EA13" s="42">
        <f>SUM(EA8:EA12)</f>
        <v>0</v>
      </c>
      <c r="EB13" s="42">
        <f>SUM(EB8:EB12)</f>
        <v>0</v>
      </c>
      <c r="ED13" s="42">
        <f>SUM(ED8:ED12)</f>
        <v>0</v>
      </c>
      <c r="EE13" s="42">
        <f>SUM(EE8:EE12)</f>
        <v>0</v>
      </c>
      <c r="EG13" s="42">
        <f>SUM(EG8:EG12)</f>
        <v>0</v>
      </c>
      <c r="EH13" s="42">
        <f>SUM(EH8:EH12)</f>
        <v>0</v>
      </c>
      <c r="EJ13" s="42">
        <f>SUM(EJ8:EJ12)</f>
        <v>0</v>
      </c>
      <c r="EK13" s="42">
        <f>SUM(EK8:EK12)</f>
        <v>0</v>
      </c>
      <c r="EM13" s="42">
        <f>SUM(EM8:EM12)</f>
        <v>0</v>
      </c>
      <c r="EN13" s="42">
        <f>SUM(EN8:EN12)</f>
        <v>0</v>
      </c>
      <c r="EP13" s="42">
        <f>SUM(EP8:EP12)</f>
        <v>0</v>
      </c>
      <c r="EQ13" s="42">
        <f>SUM(EQ8:EQ12)</f>
        <v>0</v>
      </c>
      <c r="ES13" s="42">
        <f>SUM(ES8:ES12)</f>
        <v>0</v>
      </c>
    </row>
    <row r="14" spans="1:151" x14ac:dyDescent="0.2">
      <c r="A14" t="s">
        <v>82</v>
      </c>
      <c r="B14" t="s">
        <v>79</v>
      </c>
      <c r="C14" t="s">
        <v>79</v>
      </c>
      <c r="D14" t="s">
        <v>76</v>
      </c>
      <c r="E14" t="s">
        <v>93</v>
      </c>
      <c r="F14" s="358">
        <v>0</v>
      </c>
      <c r="G14" s="361">
        <v>0</v>
      </c>
      <c r="H14" s="358">
        <v>0</v>
      </c>
      <c r="I14" s="358">
        <v>0</v>
      </c>
      <c r="J14" s="361">
        <v>0</v>
      </c>
      <c r="K14" s="358">
        <v>0</v>
      </c>
      <c r="L14" s="358">
        <v>0</v>
      </c>
      <c r="M14" s="361">
        <v>0</v>
      </c>
      <c r="N14" s="358">
        <v>0</v>
      </c>
      <c r="O14" s="358">
        <v>0</v>
      </c>
      <c r="P14" s="361">
        <v>0</v>
      </c>
      <c r="Q14" s="358">
        <v>0</v>
      </c>
      <c r="R14" s="358">
        <v>0</v>
      </c>
      <c r="S14" s="361">
        <v>0</v>
      </c>
      <c r="T14" s="358">
        <v>0</v>
      </c>
      <c r="U14" s="358">
        <v>0</v>
      </c>
      <c r="V14" s="361">
        <v>0</v>
      </c>
      <c r="W14" s="358">
        <v>0</v>
      </c>
      <c r="X14" s="358">
        <v>0</v>
      </c>
      <c r="Y14" s="361">
        <v>0</v>
      </c>
      <c r="Z14" s="358">
        <v>0</v>
      </c>
      <c r="AA14" s="358">
        <v>0</v>
      </c>
      <c r="AB14" s="361">
        <v>0</v>
      </c>
      <c r="AC14" s="358">
        <v>0</v>
      </c>
      <c r="AD14" s="358">
        <v>0</v>
      </c>
      <c r="AE14" s="361">
        <v>0</v>
      </c>
      <c r="AF14" s="358">
        <v>0</v>
      </c>
      <c r="AG14" s="358">
        <v>0</v>
      </c>
      <c r="AH14" s="361">
        <v>0</v>
      </c>
      <c r="AI14" s="358">
        <v>0</v>
      </c>
      <c r="AJ14" s="358">
        <v>0</v>
      </c>
      <c r="AK14" s="361">
        <v>0</v>
      </c>
      <c r="AL14" s="358">
        <v>0</v>
      </c>
      <c r="AM14">
        <v>0</v>
      </c>
      <c r="AN14">
        <v>0</v>
      </c>
      <c r="AO14">
        <v>0</v>
      </c>
      <c r="AP14">
        <v>311000</v>
      </c>
      <c r="AQ14">
        <v>5.1999999999999998E-2</v>
      </c>
      <c r="AR14">
        <v>501502.5</v>
      </c>
      <c r="AS14">
        <v>311000</v>
      </c>
      <c r="AT14">
        <v>5.1999999999999998E-2</v>
      </c>
      <c r="AU14">
        <v>452970</v>
      </c>
      <c r="AV14">
        <v>311000</v>
      </c>
      <c r="AW14">
        <v>5.1999999999999998E-2</v>
      </c>
      <c r="AX14">
        <v>501502.5</v>
      </c>
      <c r="AY14">
        <v>311000</v>
      </c>
      <c r="AZ14">
        <v>5.1999999999999998E-2</v>
      </c>
      <c r="BA14">
        <v>485325</v>
      </c>
      <c r="BB14">
        <v>311000</v>
      </c>
      <c r="BC14">
        <v>5.1999999999999998E-2</v>
      </c>
      <c r="BD14">
        <v>501502.5</v>
      </c>
      <c r="BE14">
        <v>311000</v>
      </c>
      <c r="BF14">
        <v>5.1999999999999998E-2</v>
      </c>
      <c r="BG14">
        <v>485325</v>
      </c>
      <c r="BH14">
        <v>311000</v>
      </c>
      <c r="BI14">
        <v>5.1999999999999998E-2</v>
      </c>
      <c r="BJ14">
        <v>501502.5</v>
      </c>
      <c r="BK14">
        <v>311000</v>
      </c>
      <c r="BL14">
        <v>0</v>
      </c>
      <c r="BM14">
        <v>501502.5</v>
      </c>
      <c r="BN14">
        <v>311000</v>
      </c>
      <c r="BO14">
        <v>5.1999999999999998E-2</v>
      </c>
      <c r="BP14">
        <v>485325</v>
      </c>
      <c r="BQ14">
        <v>311000</v>
      </c>
      <c r="BR14">
        <v>5.1999999999999998E-2</v>
      </c>
      <c r="BS14">
        <v>501502.5</v>
      </c>
      <c r="BT14">
        <v>311000</v>
      </c>
      <c r="BU14">
        <v>5.1999999999999998E-2</v>
      </c>
      <c r="BV14">
        <v>485325</v>
      </c>
      <c r="BW14">
        <v>311000</v>
      </c>
      <c r="BX14">
        <v>5.1999999999999998E-2</v>
      </c>
      <c r="BY14">
        <v>501502.5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51" x14ac:dyDescent="0.2">
      <c r="A15" s="42" t="s">
        <v>88</v>
      </c>
      <c r="F15" s="360">
        <f>SUM(F14:F14)</f>
        <v>0</v>
      </c>
      <c r="H15" s="360">
        <f>SUM(H14:H14)</f>
        <v>0</v>
      </c>
      <c r="I15" s="360">
        <f>SUM(I14:I14)</f>
        <v>0</v>
      </c>
      <c r="K15" s="360">
        <f>SUM(K14:K14)</f>
        <v>0</v>
      </c>
      <c r="L15" s="360">
        <f>SUM(L14:L14)</f>
        <v>0</v>
      </c>
      <c r="N15" s="360">
        <f>SUM(N14:N14)</f>
        <v>0</v>
      </c>
      <c r="O15" s="360">
        <f>SUM(O14:O14)</f>
        <v>0</v>
      </c>
      <c r="Q15" s="360">
        <f>SUM(Q14:Q14)</f>
        <v>0</v>
      </c>
      <c r="R15" s="360">
        <f>SUM(R14:R14)</f>
        <v>0</v>
      </c>
      <c r="T15" s="360">
        <f>SUM(T14:T14)</f>
        <v>0</v>
      </c>
      <c r="U15" s="360">
        <f>SUM(U14:U14)</f>
        <v>0</v>
      </c>
      <c r="W15" s="360">
        <f>SUM(W14:W14)</f>
        <v>0</v>
      </c>
      <c r="X15" s="360">
        <f>SUM(X14:X14)</f>
        <v>0</v>
      </c>
      <c r="Z15" s="360">
        <f>SUM(Z14:Z14)</f>
        <v>0</v>
      </c>
      <c r="AA15" s="360">
        <f>SUM(AA14:AA14)</f>
        <v>0</v>
      </c>
      <c r="AC15" s="360">
        <f>SUM(AC14:AC14)</f>
        <v>0</v>
      </c>
      <c r="AD15" s="360">
        <f>SUM(AD14:AD14)</f>
        <v>0</v>
      </c>
      <c r="AF15" s="360">
        <f>SUM(AF14:AF14)</f>
        <v>0</v>
      </c>
      <c r="AG15" s="360">
        <f>SUM(AG14:AG14)</f>
        <v>0</v>
      </c>
      <c r="AI15" s="360">
        <f>SUM(AI14:AI14)</f>
        <v>0</v>
      </c>
      <c r="AJ15" s="360">
        <f>SUM(AJ14:AJ14)</f>
        <v>0</v>
      </c>
      <c r="AL15" s="360">
        <f>SUM(AL14:AL14)</f>
        <v>0</v>
      </c>
      <c r="AM15" s="42">
        <f>SUM(AM14:AM14)</f>
        <v>0</v>
      </c>
      <c r="AO15" s="42">
        <f>SUM(AO14:AO14)</f>
        <v>0</v>
      </c>
      <c r="AP15" s="42">
        <f>SUM(AP14:AP14)</f>
        <v>311000</v>
      </c>
      <c r="AR15" s="42">
        <f>SUM(AR14:AR14)</f>
        <v>501502.5</v>
      </c>
      <c r="AS15" s="42">
        <f>SUM(AS14:AS14)</f>
        <v>311000</v>
      </c>
      <c r="AU15" s="42">
        <f>SUM(AU14:AU14)</f>
        <v>452970</v>
      </c>
      <c r="AV15" s="42">
        <f>SUM(AV14:AV14)</f>
        <v>311000</v>
      </c>
      <c r="AX15" s="42">
        <f>SUM(AX14:AX14)</f>
        <v>501502.5</v>
      </c>
      <c r="AY15" s="42">
        <f>SUM(AY14:AY14)</f>
        <v>311000</v>
      </c>
      <c r="BA15" s="42">
        <f>SUM(BA14:BA14)</f>
        <v>485325</v>
      </c>
      <c r="BB15" s="42">
        <f>SUM(BB14:BB14)</f>
        <v>311000</v>
      </c>
      <c r="BD15" s="42">
        <f>SUM(BD14:BD14)</f>
        <v>501502.5</v>
      </c>
      <c r="BE15" s="42">
        <f>SUM(BE14:BE14)</f>
        <v>311000</v>
      </c>
      <c r="BG15" s="42">
        <f>SUM(BG14:BG14)</f>
        <v>485325</v>
      </c>
      <c r="BH15" s="42">
        <f>SUM(BH14:BH14)</f>
        <v>311000</v>
      </c>
      <c r="BJ15" s="42">
        <f>SUM(BJ14:BJ14)</f>
        <v>501502.5</v>
      </c>
      <c r="BK15" s="42">
        <f>SUM(BK14:BK14)</f>
        <v>311000</v>
      </c>
      <c r="BM15" s="42">
        <f>SUM(BM14:BM14)</f>
        <v>501502.5</v>
      </c>
      <c r="BN15" s="42">
        <f>SUM(BN14:BN14)</f>
        <v>311000</v>
      </c>
      <c r="BP15" s="42">
        <f>SUM(BP14:BP14)</f>
        <v>485325</v>
      </c>
      <c r="BQ15" s="42">
        <f>SUM(BQ14:BQ14)</f>
        <v>311000</v>
      </c>
      <c r="BS15" s="42">
        <f>SUM(BS14:BS14)</f>
        <v>501502.5</v>
      </c>
      <c r="BT15" s="42">
        <f>SUM(BT14:BT14)</f>
        <v>311000</v>
      </c>
      <c r="BV15" s="42">
        <f>SUM(BV14:BV14)</f>
        <v>485325</v>
      </c>
      <c r="BW15" s="42">
        <f>SUM(BW14:BW14)</f>
        <v>311000</v>
      </c>
      <c r="BY15" s="42">
        <f>SUM(BY14:BY14)</f>
        <v>501502.5</v>
      </c>
      <c r="BZ15" s="42">
        <f>SUM(BZ14:BZ14)</f>
        <v>0</v>
      </c>
      <c r="CB15" s="42">
        <f>SUM(CB14:CB14)</f>
        <v>0</v>
      </c>
      <c r="CC15" s="42">
        <f>SUM(CC14:CC14)</f>
        <v>0</v>
      </c>
      <c r="CE15" s="42">
        <f>SUM(CE14:CE14)</f>
        <v>0</v>
      </c>
      <c r="CF15" s="42">
        <f>SUM(CF14:CF14)</f>
        <v>0</v>
      </c>
      <c r="CH15" s="42">
        <f>SUM(CH14:CH14)</f>
        <v>0</v>
      </c>
      <c r="CI15" s="42">
        <f>SUM(CI14:CI14)</f>
        <v>0</v>
      </c>
      <c r="CK15" s="42">
        <f>SUM(CK14:CK14)</f>
        <v>0</v>
      </c>
      <c r="CL15" s="42">
        <f>SUM(CL14:CL14)</f>
        <v>0</v>
      </c>
      <c r="CN15" s="42">
        <f>SUM(CN14:CN14)</f>
        <v>0</v>
      </c>
      <c r="CO15" s="42">
        <f>SUM(CO14:CO14)</f>
        <v>0</v>
      </c>
      <c r="CQ15" s="42">
        <f>SUM(CQ14:CQ14)</f>
        <v>0</v>
      </c>
      <c r="CR15" s="42">
        <f>SUM(CR14:CR14)</f>
        <v>0</v>
      </c>
      <c r="CT15" s="42">
        <f>SUM(CT14:CT14)</f>
        <v>0</v>
      </c>
      <c r="CU15" s="42">
        <f>SUM(CU14:CU14)</f>
        <v>0</v>
      </c>
      <c r="CW15" s="42">
        <f>SUM(CW14:CW14)</f>
        <v>0</v>
      </c>
      <c r="CX15" s="42">
        <f>SUM(CX14:CX14)</f>
        <v>0</v>
      </c>
      <c r="CZ15" s="42">
        <f>SUM(CZ14:CZ14)</f>
        <v>0</v>
      </c>
      <c r="DA15" s="42">
        <f>SUM(DA14:DA14)</f>
        <v>0</v>
      </c>
      <c r="DC15" s="42">
        <f>SUM(DC14:DC14)</f>
        <v>0</v>
      </c>
      <c r="DD15" s="42">
        <f>SUM(DD14:DD14)</f>
        <v>0</v>
      </c>
      <c r="DF15" s="42">
        <f>SUM(DF14:DF14)</f>
        <v>0</v>
      </c>
      <c r="DG15" s="42">
        <f>SUM(DG14:DG14)</f>
        <v>0</v>
      </c>
      <c r="DI15" s="42">
        <f>SUM(DI14:DI14)</f>
        <v>0</v>
      </c>
      <c r="DJ15" s="42">
        <f>SUM(DJ14:DJ14)</f>
        <v>0</v>
      </c>
      <c r="DL15" s="42">
        <f>SUM(DL14:DL14)</f>
        <v>0</v>
      </c>
      <c r="DM15" s="42">
        <f>SUM(DM14:DM14)</f>
        <v>0</v>
      </c>
      <c r="DO15" s="42">
        <f>SUM(DO14:DO14)</f>
        <v>0</v>
      </c>
      <c r="DP15" s="42">
        <f>SUM(DP14:DP14)</f>
        <v>0</v>
      </c>
      <c r="DR15" s="42">
        <f>SUM(DR14:DR14)</f>
        <v>0</v>
      </c>
      <c r="DS15" s="42">
        <f>SUM(DS14:DS14)</f>
        <v>0</v>
      </c>
      <c r="DU15" s="42">
        <f>SUM(DU14:DU14)</f>
        <v>0</v>
      </c>
      <c r="DV15" s="42">
        <f>SUM(DV14:DV14)</f>
        <v>0</v>
      </c>
      <c r="DX15" s="42">
        <f>SUM(DX14:DX14)</f>
        <v>0</v>
      </c>
      <c r="DY15" s="42">
        <f>SUM(DY14:DY14)</f>
        <v>0</v>
      </c>
      <c r="EA15" s="42">
        <f>SUM(EA14:EA14)</f>
        <v>0</v>
      </c>
      <c r="EB15" s="42">
        <f>SUM(EB14:EB14)</f>
        <v>0</v>
      </c>
      <c r="ED15" s="42">
        <f>SUM(ED14:ED14)</f>
        <v>0</v>
      </c>
      <c r="EE15" s="42">
        <f>SUM(EE14:EE14)</f>
        <v>0</v>
      </c>
      <c r="EG15" s="42">
        <f>SUM(EG14:EG14)</f>
        <v>0</v>
      </c>
      <c r="EH15" s="42">
        <f>SUM(EH14:EH14)</f>
        <v>0</v>
      </c>
      <c r="EJ15" s="42">
        <f>SUM(EJ14:EJ14)</f>
        <v>0</v>
      </c>
      <c r="EK15" s="42">
        <f>SUM(EK14:EK14)</f>
        <v>0</v>
      </c>
      <c r="EM15" s="42">
        <f>SUM(EM14:EM14)</f>
        <v>0</v>
      </c>
      <c r="EN15" s="42">
        <f>SUM(EN14:EN14)</f>
        <v>0</v>
      </c>
      <c r="EP15" s="42">
        <f>SUM(EP14:EP14)</f>
        <v>0</v>
      </c>
      <c r="EQ15" s="42">
        <f>SUM(EQ14:EQ14)</f>
        <v>0</v>
      </c>
      <c r="ES15" s="42">
        <f>SUM(ES14:ES14)</f>
        <v>0</v>
      </c>
    </row>
    <row r="16" spans="1:151" x14ac:dyDescent="0.2">
      <c r="A16" t="s">
        <v>83</v>
      </c>
      <c r="B16" t="s">
        <v>79</v>
      </c>
      <c r="C16" t="s">
        <v>79</v>
      </c>
      <c r="D16" t="s">
        <v>76</v>
      </c>
      <c r="E16" t="s">
        <v>93</v>
      </c>
      <c r="F16" s="358">
        <v>0</v>
      </c>
      <c r="G16" s="361">
        <v>0</v>
      </c>
      <c r="H16" s="358">
        <v>0</v>
      </c>
      <c r="I16" s="358">
        <v>0</v>
      </c>
      <c r="J16" s="361">
        <v>0</v>
      </c>
      <c r="K16" s="358">
        <v>0</v>
      </c>
      <c r="L16" s="358">
        <v>0</v>
      </c>
      <c r="M16" s="361">
        <v>0</v>
      </c>
      <c r="N16" s="358">
        <v>0</v>
      </c>
      <c r="O16" s="358">
        <v>0</v>
      </c>
      <c r="P16" s="361">
        <v>0</v>
      </c>
      <c r="Q16" s="358">
        <v>0</v>
      </c>
      <c r="R16" s="358">
        <v>0</v>
      </c>
      <c r="S16" s="361">
        <v>0</v>
      </c>
      <c r="T16" s="358">
        <v>0</v>
      </c>
      <c r="U16" s="358">
        <v>0</v>
      </c>
      <c r="V16" s="361">
        <v>0</v>
      </c>
      <c r="W16" s="358">
        <v>0</v>
      </c>
      <c r="X16" s="358">
        <v>0</v>
      </c>
      <c r="Y16" s="361">
        <v>0</v>
      </c>
      <c r="Z16" s="358">
        <v>0</v>
      </c>
      <c r="AA16" s="358">
        <v>0</v>
      </c>
      <c r="AB16" s="361">
        <v>0</v>
      </c>
      <c r="AC16" s="358">
        <v>0</v>
      </c>
      <c r="AD16" s="358">
        <v>0</v>
      </c>
      <c r="AE16" s="361">
        <v>0</v>
      </c>
      <c r="AF16" s="358">
        <v>0</v>
      </c>
      <c r="AG16" s="358">
        <v>0</v>
      </c>
      <c r="AH16" s="361">
        <v>0</v>
      </c>
      <c r="AI16" s="358">
        <v>0</v>
      </c>
      <c r="AJ16" s="358">
        <v>0</v>
      </c>
      <c r="AK16" s="361">
        <v>0</v>
      </c>
      <c r="AL16" s="358">
        <v>0</v>
      </c>
      <c r="AM16">
        <v>0</v>
      </c>
      <c r="AN16">
        <v>0</v>
      </c>
      <c r="AO16">
        <v>0</v>
      </c>
      <c r="AP16">
        <v>229000</v>
      </c>
      <c r="AQ16">
        <v>4.4999999999999998E-2</v>
      </c>
      <c r="AR16">
        <v>319300</v>
      </c>
      <c r="AS16">
        <v>229000</v>
      </c>
      <c r="AT16">
        <v>4.4999999999999998E-2</v>
      </c>
      <c r="AU16">
        <v>288400</v>
      </c>
      <c r="AV16">
        <v>229000</v>
      </c>
      <c r="AW16">
        <v>4.4999999999999998E-2</v>
      </c>
      <c r="AX16">
        <v>319300</v>
      </c>
      <c r="AY16">
        <v>229000</v>
      </c>
      <c r="AZ16">
        <v>4.4999999999999998E-2</v>
      </c>
      <c r="BA16">
        <v>309000</v>
      </c>
      <c r="BB16">
        <v>229000</v>
      </c>
      <c r="BC16">
        <v>4.4999999999999998E-2</v>
      </c>
      <c r="BD16">
        <v>319300</v>
      </c>
      <c r="BE16">
        <v>229000</v>
      </c>
      <c r="BF16">
        <v>4.4999999999999998E-2</v>
      </c>
      <c r="BG16">
        <v>309000</v>
      </c>
      <c r="BH16">
        <v>229000</v>
      </c>
      <c r="BI16">
        <v>4.4999999999999998E-2</v>
      </c>
      <c r="BJ16">
        <v>319300</v>
      </c>
      <c r="BK16">
        <v>229000</v>
      </c>
      <c r="BL16">
        <v>0</v>
      </c>
      <c r="BM16">
        <v>319300</v>
      </c>
      <c r="BN16">
        <v>229000</v>
      </c>
      <c r="BO16">
        <v>4.4999999999999998E-2</v>
      </c>
      <c r="BP16">
        <v>309000</v>
      </c>
      <c r="BQ16">
        <v>229000</v>
      </c>
      <c r="BR16">
        <v>4.4999999999999998E-2</v>
      </c>
      <c r="BS16">
        <v>319300</v>
      </c>
      <c r="BT16">
        <v>229000</v>
      </c>
      <c r="BU16">
        <v>4.4999999999999998E-2</v>
      </c>
      <c r="BV16">
        <v>309000</v>
      </c>
      <c r="BW16">
        <v>229000</v>
      </c>
      <c r="BX16">
        <v>4.4999999999999998E-2</v>
      </c>
      <c r="BY16">
        <v>319300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2">
      <c r="A17" s="42" t="s">
        <v>90</v>
      </c>
      <c r="F17" s="360">
        <f>SUM(F16:F16)</f>
        <v>0</v>
      </c>
      <c r="H17" s="360">
        <f>SUM(H16:H16)</f>
        <v>0</v>
      </c>
      <c r="I17" s="360">
        <f>SUM(I16:I16)</f>
        <v>0</v>
      </c>
      <c r="K17" s="360">
        <f>SUM(K16:K16)</f>
        <v>0</v>
      </c>
      <c r="L17" s="360">
        <f>SUM(L16:L16)</f>
        <v>0</v>
      </c>
      <c r="N17" s="360">
        <f>SUM(N16:N16)</f>
        <v>0</v>
      </c>
      <c r="O17" s="360">
        <f>SUM(O16:O16)</f>
        <v>0</v>
      </c>
      <c r="Q17" s="360">
        <f>SUM(Q16:Q16)</f>
        <v>0</v>
      </c>
      <c r="R17" s="360">
        <f>SUM(R16:R16)</f>
        <v>0</v>
      </c>
      <c r="T17" s="360">
        <f>SUM(T16:T16)</f>
        <v>0</v>
      </c>
      <c r="U17" s="360">
        <f>SUM(U16:U16)</f>
        <v>0</v>
      </c>
      <c r="W17" s="360">
        <f>SUM(W16:W16)</f>
        <v>0</v>
      </c>
      <c r="X17" s="360">
        <f>SUM(X16:X16)</f>
        <v>0</v>
      </c>
      <c r="Z17" s="360">
        <f>SUM(Z16:Z16)</f>
        <v>0</v>
      </c>
      <c r="AA17" s="360">
        <f>SUM(AA16:AA16)</f>
        <v>0</v>
      </c>
      <c r="AC17" s="360">
        <f>SUM(AC16:AC16)</f>
        <v>0</v>
      </c>
      <c r="AD17" s="360">
        <f>SUM(AD16:AD16)</f>
        <v>0</v>
      </c>
      <c r="AF17" s="360">
        <f>SUM(AF16:AF16)</f>
        <v>0</v>
      </c>
      <c r="AG17" s="360">
        <f>SUM(AG16:AG16)</f>
        <v>0</v>
      </c>
      <c r="AI17" s="360">
        <f>SUM(AI16:AI16)</f>
        <v>0</v>
      </c>
      <c r="AJ17" s="360">
        <f>SUM(AJ16:AJ16)</f>
        <v>0</v>
      </c>
      <c r="AL17" s="360">
        <f>SUM(AL16:AL16)</f>
        <v>0</v>
      </c>
      <c r="AM17" s="42">
        <f>SUM(AM16:AM16)</f>
        <v>0</v>
      </c>
      <c r="AO17" s="42">
        <f>SUM(AO16:AO16)</f>
        <v>0</v>
      </c>
      <c r="AP17" s="42">
        <f>SUM(AP16:AP16)</f>
        <v>229000</v>
      </c>
      <c r="AR17" s="42">
        <f>SUM(AR16:AR16)</f>
        <v>319300</v>
      </c>
      <c r="AS17" s="42">
        <f>SUM(AS16:AS16)</f>
        <v>229000</v>
      </c>
      <c r="AU17" s="42">
        <f>SUM(AU16:AU16)</f>
        <v>288400</v>
      </c>
      <c r="AV17" s="42">
        <f>SUM(AV16:AV16)</f>
        <v>229000</v>
      </c>
      <c r="AX17" s="42">
        <f>SUM(AX16:AX16)</f>
        <v>319300</v>
      </c>
      <c r="AY17" s="42">
        <f>SUM(AY16:AY16)</f>
        <v>229000</v>
      </c>
      <c r="BA17" s="42">
        <f>SUM(BA16:BA16)</f>
        <v>309000</v>
      </c>
      <c r="BB17" s="42">
        <f>SUM(BB16:BB16)</f>
        <v>229000</v>
      </c>
      <c r="BD17" s="42">
        <f>SUM(BD16:BD16)</f>
        <v>319300</v>
      </c>
      <c r="BE17" s="42">
        <f>SUM(BE16:BE16)</f>
        <v>229000</v>
      </c>
      <c r="BG17" s="42">
        <f>SUM(BG16:BG16)</f>
        <v>309000</v>
      </c>
      <c r="BH17" s="42">
        <f>SUM(BH16:BH16)</f>
        <v>229000</v>
      </c>
      <c r="BJ17" s="42">
        <f>SUM(BJ16:BJ16)</f>
        <v>319300</v>
      </c>
      <c r="BK17" s="42">
        <f>SUM(BK16:BK16)</f>
        <v>229000</v>
      </c>
      <c r="BM17" s="42">
        <f>SUM(BM16:BM16)</f>
        <v>319300</v>
      </c>
      <c r="BN17" s="42">
        <f>SUM(BN16:BN16)</f>
        <v>229000</v>
      </c>
      <c r="BP17" s="42">
        <f>SUM(BP16:BP16)</f>
        <v>309000</v>
      </c>
      <c r="BQ17" s="42">
        <f>SUM(BQ16:BQ16)</f>
        <v>229000</v>
      </c>
      <c r="BS17" s="42">
        <f>SUM(BS16:BS16)</f>
        <v>319300</v>
      </c>
      <c r="BT17" s="42">
        <f>SUM(BT16:BT16)</f>
        <v>229000</v>
      </c>
      <c r="BV17" s="42">
        <f>SUM(BV16:BV16)</f>
        <v>309000</v>
      </c>
      <c r="BW17" s="42">
        <f>SUM(BW16:BW16)</f>
        <v>229000</v>
      </c>
      <c r="BY17" s="42">
        <f>SUM(BY16:BY16)</f>
        <v>319300</v>
      </c>
      <c r="BZ17" s="42">
        <f>SUM(BZ16:BZ16)</f>
        <v>0</v>
      </c>
      <c r="CB17" s="42">
        <f>SUM(CB16:CB16)</f>
        <v>0</v>
      </c>
      <c r="CC17" s="42">
        <f>SUM(CC16:CC16)</f>
        <v>0</v>
      </c>
      <c r="CE17" s="42">
        <f>SUM(CE16:CE16)</f>
        <v>0</v>
      </c>
      <c r="CF17" s="42">
        <f>SUM(CF16:CF16)</f>
        <v>0</v>
      </c>
      <c r="CH17" s="42">
        <f>SUM(CH16:CH16)</f>
        <v>0</v>
      </c>
      <c r="CI17" s="42">
        <f>SUM(CI16:CI16)</f>
        <v>0</v>
      </c>
      <c r="CK17" s="42">
        <f>SUM(CK16:CK16)</f>
        <v>0</v>
      </c>
      <c r="CL17" s="42">
        <f>SUM(CL16:CL16)</f>
        <v>0</v>
      </c>
      <c r="CN17" s="42">
        <f>SUM(CN16:CN16)</f>
        <v>0</v>
      </c>
      <c r="CO17" s="42">
        <f>SUM(CO16:CO16)</f>
        <v>0</v>
      </c>
      <c r="CQ17" s="42">
        <f>SUM(CQ16:CQ16)</f>
        <v>0</v>
      </c>
      <c r="CR17" s="42">
        <f>SUM(CR16:CR16)</f>
        <v>0</v>
      </c>
      <c r="CT17" s="42">
        <f>SUM(CT16:CT16)</f>
        <v>0</v>
      </c>
      <c r="CU17" s="42">
        <f>SUM(CU16:CU16)</f>
        <v>0</v>
      </c>
      <c r="CW17" s="42">
        <f>SUM(CW16:CW16)</f>
        <v>0</v>
      </c>
      <c r="CX17" s="42">
        <f>SUM(CX16:CX16)</f>
        <v>0</v>
      </c>
      <c r="CZ17" s="42">
        <f>SUM(CZ16:CZ16)</f>
        <v>0</v>
      </c>
      <c r="DA17" s="42">
        <f>SUM(DA16:DA16)</f>
        <v>0</v>
      </c>
      <c r="DC17" s="42">
        <f>SUM(DC16:DC16)</f>
        <v>0</v>
      </c>
      <c r="DD17" s="42">
        <f>SUM(DD16:DD16)</f>
        <v>0</v>
      </c>
      <c r="DF17" s="42">
        <f>SUM(DF16:DF16)</f>
        <v>0</v>
      </c>
      <c r="DG17" s="42">
        <f>SUM(DG16:DG16)</f>
        <v>0</v>
      </c>
      <c r="DI17" s="42">
        <f>SUM(DI16:DI16)</f>
        <v>0</v>
      </c>
      <c r="DJ17" s="42">
        <f>SUM(DJ16:DJ16)</f>
        <v>0</v>
      </c>
      <c r="DL17" s="42">
        <f>SUM(DL16:DL16)</f>
        <v>0</v>
      </c>
      <c r="DM17" s="42">
        <f>SUM(DM16:DM16)</f>
        <v>0</v>
      </c>
      <c r="DO17" s="42">
        <f>SUM(DO16:DO16)</f>
        <v>0</v>
      </c>
      <c r="DP17" s="42">
        <f>SUM(DP16:DP16)</f>
        <v>0</v>
      </c>
      <c r="DR17" s="42">
        <f>SUM(DR16:DR16)</f>
        <v>0</v>
      </c>
      <c r="DS17" s="42">
        <f>SUM(DS16:DS16)</f>
        <v>0</v>
      </c>
      <c r="DU17" s="42">
        <f>SUM(DU16:DU16)</f>
        <v>0</v>
      </c>
      <c r="DV17" s="42">
        <f>SUM(DV16:DV16)</f>
        <v>0</v>
      </c>
      <c r="DX17" s="42">
        <f>SUM(DX16:DX16)</f>
        <v>0</v>
      </c>
      <c r="DY17" s="42">
        <f>SUM(DY16:DY16)</f>
        <v>0</v>
      </c>
      <c r="EA17" s="42">
        <f>SUM(EA16:EA16)</f>
        <v>0</v>
      </c>
      <c r="EB17" s="42">
        <f>SUM(EB16:EB16)</f>
        <v>0</v>
      </c>
      <c r="ED17" s="42">
        <f>SUM(ED16:ED16)</f>
        <v>0</v>
      </c>
      <c r="EE17" s="42">
        <f>SUM(EE16:EE16)</f>
        <v>0</v>
      </c>
      <c r="EG17" s="42">
        <f>SUM(EG16:EG16)</f>
        <v>0</v>
      </c>
      <c r="EH17" s="42">
        <f>SUM(EH16:EH16)</f>
        <v>0</v>
      </c>
      <c r="EJ17" s="42">
        <f>SUM(EJ16:EJ16)</f>
        <v>0</v>
      </c>
      <c r="EK17" s="42">
        <f>SUM(EK16:EK16)</f>
        <v>0</v>
      </c>
      <c r="EM17" s="42">
        <f>SUM(EM16:EM16)</f>
        <v>0</v>
      </c>
      <c r="EN17" s="42">
        <f>SUM(EN16:EN16)</f>
        <v>0</v>
      </c>
      <c r="EP17" s="42">
        <f>SUM(EP16:EP16)</f>
        <v>0</v>
      </c>
      <c r="EQ17" s="42">
        <f>SUM(EQ16:EQ16)</f>
        <v>0</v>
      </c>
      <c r="ES17" s="42">
        <f>SUM(ES16:ES16)</f>
        <v>0</v>
      </c>
    </row>
    <row r="18" spans="1:149" x14ac:dyDescent="0.2">
      <c r="A18" s="42"/>
      <c r="F18" s="360"/>
      <c r="H18" s="360"/>
      <c r="I18" s="360"/>
      <c r="K18" s="360"/>
      <c r="L18" s="360"/>
      <c r="N18" s="360"/>
      <c r="O18" s="360"/>
      <c r="Q18" s="360"/>
      <c r="R18" s="360"/>
      <c r="T18" s="360"/>
      <c r="U18" s="360"/>
      <c r="W18" s="360"/>
      <c r="X18" s="360"/>
      <c r="Z18" s="360"/>
      <c r="AA18" s="360"/>
      <c r="AC18" s="360"/>
      <c r="AD18" s="360"/>
      <c r="AF18" s="360"/>
      <c r="AG18" s="360"/>
      <c r="AI18" s="360"/>
      <c r="AJ18" s="360"/>
      <c r="AL18" s="360"/>
      <c r="AM18" s="42"/>
      <c r="AO18" s="42"/>
      <c r="AP18" s="42"/>
      <c r="AR18" s="42"/>
      <c r="AS18" s="42"/>
      <c r="AU18" s="42"/>
      <c r="AV18" s="42"/>
      <c r="AX18" s="42"/>
      <c r="AY18" s="42"/>
      <c r="BA18" s="42"/>
      <c r="BB18" s="42"/>
      <c r="BD18" s="42"/>
      <c r="BE18" s="42"/>
      <c r="BG18" s="42"/>
      <c r="BH18" s="42"/>
      <c r="BJ18" s="42"/>
      <c r="BK18" s="42"/>
      <c r="BM18" s="42"/>
      <c r="BN18" s="42"/>
      <c r="BP18" s="42"/>
      <c r="BQ18" s="42"/>
      <c r="BS18" s="42"/>
      <c r="BT18" s="42"/>
      <c r="BV18" s="42"/>
      <c r="BW18" s="42"/>
      <c r="BY18" s="42"/>
      <c r="BZ18" s="42"/>
      <c r="CB18" s="42"/>
      <c r="CC18" s="42"/>
      <c r="CE18" s="42"/>
      <c r="CF18" s="42"/>
      <c r="CH18" s="42"/>
      <c r="CI18" s="42"/>
      <c r="CK18" s="42"/>
      <c r="CL18" s="42"/>
      <c r="CN18" s="42"/>
      <c r="CO18" s="42"/>
      <c r="CQ18" s="42"/>
      <c r="CR18" s="42"/>
      <c r="CT18" s="42"/>
      <c r="CU18" s="42"/>
      <c r="CW18" s="42"/>
      <c r="CX18" s="42"/>
      <c r="CZ18" s="42"/>
      <c r="DA18" s="42"/>
      <c r="DC18" s="42"/>
      <c r="DD18" s="42"/>
      <c r="DF18" s="42"/>
      <c r="DG18" s="42"/>
      <c r="DI18" s="42"/>
      <c r="DJ18" s="42"/>
      <c r="DL18" s="42"/>
      <c r="DM18" s="42"/>
      <c r="DO18" s="42"/>
      <c r="DP18" s="42"/>
      <c r="DR18" s="42"/>
      <c r="DS18" s="42"/>
      <c r="DU18" s="42"/>
      <c r="DV18" s="42"/>
      <c r="DX18" s="42"/>
      <c r="DY18" s="42"/>
      <c r="EA18" s="42"/>
      <c r="EB18" s="42"/>
      <c r="ED18" s="42"/>
      <c r="EE18" s="42"/>
      <c r="EG18" s="42"/>
      <c r="EH18" s="42"/>
      <c r="EJ18" s="42"/>
      <c r="EK18" s="42"/>
      <c r="EM18" s="42"/>
      <c r="EN18" s="42"/>
      <c r="EP18" s="42"/>
      <c r="EQ18" s="42"/>
      <c r="ES18" s="42"/>
    </row>
    <row r="19" spans="1:149" x14ac:dyDescent="0.2">
      <c r="A19" t="s">
        <v>127</v>
      </c>
      <c r="B19" t="s">
        <v>80</v>
      </c>
      <c r="C19" t="s">
        <v>79</v>
      </c>
      <c r="D19" t="s">
        <v>76</v>
      </c>
      <c r="E19" t="s">
        <v>93</v>
      </c>
      <c r="F19" s="358">
        <v>0</v>
      </c>
      <c r="G19" s="361">
        <v>0</v>
      </c>
      <c r="H19" s="358">
        <v>0</v>
      </c>
      <c r="I19" s="358">
        <v>0</v>
      </c>
      <c r="J19" s="361">
        <v>0</v>
      </c>
      <c r="K19" s="358">
        <v>0</v>
      </c>
      <c r="L19" s="358">
        <v>0</v>
      </c>
      <c r="M19" s="361">
        <v>0</v>
      </c>
      <c r="N19" s="358">
        <v>0</v>
      </c>
      <c r="O19" s="358">
        <v>0</v>
      </c>
      <c r="P19" s="361">
        <v>0</v>
      </c>
      <c r="Q19" s="358">
        <v>0</v>
      </c>
      <c r="R19" s="358">
        <v>0</v>
      </c>
      <c r="S19" s="361">
        <v>0</v>
      </c>
      <c r="T19" s="358">
        <v>0</v>
      </c>
      <c r="U19" s="358">
        <v>0</v>
      </c>
      <c r="V19" s="361">
        <v>0</v>
      </c>
      <c r="W19" s="358">
        <v>0</v>
      </c>
      <c r="X19" s="358">
        <v>0</v>
      </c>
      <c r="Y19" s="361">
        <v>0</v>
      </c>
      <c r="Z19" s="358">
        <v>0</v>
      </c>
      <c r="AA19" s="358">
        <v>0</v>
      </c>
      <c r="AB19" s="361">
        <v>0</v>
      </c>
      <c r="AC19" s="358">
        <v>0</v>
      </c>
      <c r="AD19" s="358">
        <v>0</v>
      </c>
      <c r="AE19" s="361">
        <v>0</v>
      </c>
      <c r="AF19" s="358">
        <v>0</v>
      </c>
      <c r="AG19" s="358">
        <v>0</v>
      </c>
      <c r="AH19" s="361">
        <v>0</v>
      </c>
      <c r="AI19" s="358">
        <v>0</v>
      </c>
      <c r="AJ19" s="358">
        <v>0</v>
      </c>
      <c r="AK19" s="361">
        <v>0</v>
      </c>
      <c r="AL19" s="358">
        <v>0</v>
      </c>
      <c r="AM19">
        <v>0</v>
      </c>
      <c r="AN19">
        <v>0</v>
      </c>
      <c r="AO19">
        <v>0</v>
      </c>
      <c r="AP19">
        <v>497500</v>
      </c>
      <c r="AQ19">
        <v>0.105</v>
      </c>
      <c r="AR19" s="29">
        <v>1566833</v>
      </c>
      <c r="AS19">
        <v>497500</v>
      </c>
      <c r="AT19">
        <v>0.105</v>
      </c>
      <c r="AU19">
        <v>1415204</v>
      </c>
      <c r="AV19">
        <v>477500</v>
      </c>
      <c r="AW19">
        <v>0.105</v>
      </c>
      <c r="AX19">
        <v>1501609</v>
      </c>
      <c r="AY19">
        <v>477500</v>
      </c>
      <c r="AZ19">
        <v>0.105</v>
      </c>
      <c r="BA19">
        <v>1453710</v>
      </c>
      <c r="BB19">
        <v>477500</v>
      </c>
      <c r="BC19">
        <v>0.105</v>
      </c>
      <c r="BD19" s="29">
        <v>1501609</v>
      </c>
      <c r="BE19">
        <v>477500</v>
      </c>
      <c r="BF19">
        <v>0.105</v>
      </c>
      <c r="BG19">
        <v>1453170</v>
      </c>
      <c r="BH19">
        <v>477500</v>
      </c>
      <c r="BI19">
        <v>0.105</v>
      </c>
      <c r="BJ19">
        <v>1501609</v>
      </c>
      <c r="BK19">
        <v>477500</v>
      </c>
      <c r="BL19">
        <v>0</v>
      </c>
      <c r="BM19">
        <v>1501609</v>
      </c>
      <c r="BN19">
        <v>477500</v>
      </c>
      <c r="BO19">
        <v>0.105</v>
      </c>
      <c r="BP19">
        <v>1453170</v>
      </c>
      <c r="BQ19">
        <v>477500</v>
      </c>
      <c r="BR19">
        <v>0.105</v>
      </c>
      <c r="BS19">
        <v>1501609</v>
      </c>
      <c r="BT19">
        <v>456000</v>
      </c>
      <c r="BU19">
        <v>0.1051</v>
      </c>
      <c r="BV19">
        <v>1453170</v>
      </c>
      <c r="BW19">
        <v>456000</v>
      </c>
      <c r="BX19">
        <v>0.1051</v>
      </c>
      <c r="BY19">
        <v>1501609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2">
      <c r="A20" s="42" t="s">
        <v>129</v>
      </c>
      <c r="F20" s="360">
        <f>SUM(F19:F19)</f>
        <v>0</v>
      </c>
      <c r="H20" s="360">
        <f>SUM(H19:H19)</f>
        <v>0</v>
      </c>
      <c r="I20" s="360">
        <f>SUM(I19:I19)</f>
        <v>0</v>
      </c>
      <c r="K20" s="360">
        <f>SUM(K19:K19)</f>
        <v>0</v>
      </c>
      <c r="L20" s="360">
        <f>SUM(L19:L19)</f>
        <v>0</v>
      </c>
      <c r="N20" s="360">
        <f>SUM(N19:N19)</f>
        <v>0</v>
      </c>
      <c r="O20" s="360">
        <f>SUM(O19:O19)</f>
        <v>0</v>
      </c>
      <c r="Q20" s="360">
        <f>SUM(Q19:Q19)</f>
        <v>0</v>
      </c>
      <c r="R20" s="360">
        <f>SUM(R19:R19)</f>
        <v>0</v>
      </c>
      <c r="T20" s="360">
        <f>SUM(T19:T19)</f>
        <v>0</v>
      </c>
      <c r="U20" s="360">
        <f>SUM(U19:U19)</f>
        <v>0</v>
      </c>
      <c r="W20" s="360">
        <f>SUM(W19:W19)</f>
        <v>0</v>
      </c>
      <c r="X20" s="360">
        <f>SUM(X19:X19)</f>
        <v>0</v>
      </c>
      <c r="Z20" s="360">
        <f>SUM(Z19:Z19)</f>
        <v>0</v>
      </c>
      <c r="AA20" s="360">
        <f>SUM(AA19:AA19)</f>
        <v>0</v>
      </c>
      <c r="AC20" s="360">
        <f>SUM(AC19:AC19)</f>
        <v>0</v>
      </c>
      <c r="AD20" s="360">
        <f>SUM(AD19:AD19)</f>
        <v>0</v>
      </c>
      <c r="AF20" s="360">
        <f>SUM(AF19:AF19)</f>
        <v>0</v>
      </c>
      <c r="AG20" s="360">
        <f>SUM(AG19:AG19)</f>
        <v>0</v>
      </c>
      <c r="AI20" s="360">
        <f>SUM(AI19:AI19)</f>
        <v>0</v>
      </c>
      <c r="AJ20" s="360">
        <f>SUM(AJ19:AJ19)</f>
        <v>0</v>
      </c>
      <c r="AL20" s="360">
        <f>SUM(AL19:AL19)</f>
        <v>0</v>
      </c>
      <c r="AM20" s="42">
        <f>SUM(AM19:AM19)</f>
        <v>0</v>
      </c>
      <c r="AO20" s="42">
        <f>SUM(AO19:AO19)</f>
        <v>0</v>
      </c>
      <c r="AP20" s="42">
        <f>SUM(AP19:AP19)</f>
        <v>497500</v>
      </c>
      <c r="AR20" s="42">
        <v>1566833</v>
      </c>
      <c r="AS20" s="42">
        <f>SUM(AS19:AS19)</f>
        <v>497500</v>
      </c>
      <c r="AU20" s="42">
        <f>SUM(AU19:AU19)</f>
        <v>1415204</v>
      </c>
      <c r="AV20" s="42">
        <f>SUM(AV19:AV19)</f>
        <v>477500</v>
      </c>
      <c r="AX20" s="42">
        <f>SUM(AX19:AX19)</f>
        <v>1501609</v>
      </c>
      <c r="AY20" s="42">
        <f>SUM(AY19:AY19)</f>
        <v>477500</v>
      </c>
      <c r="BA20" s="42">
        <v>1453170</v>
      </c>
      <c r="BB20" s="42">
        <f>SUM(BB19:BB19)</f>
        <v>477500</v>
      </c>
      <c r="BD20" s="42">
        <v>1501609</v>
      </c>
      <c r="BE20" s="42">
        <f>SUM(BE19:BE19)</f>
        <v>477500</v>
      </c>
      <c r="BG20" s="42">
        <v>1453170</v>
      </c>
      <c r="BH20" s="42">
        <f>SUM(BH19:BH19)</f>
        <v>477500</v>
      </c>
      <c r="BJ20" s="42">
        <v>1501609</v>
      </c>
      <c r="BK20" s="42">
        <f>SUM(BK19:BK19)</f>
        <v>477500</v>
      </c>
      <c r="BM20" s="42">
        <v>1501609</v>
      </c>
      <c r="BN20" s="42">
        <f>SUM(BN19:BN19)</f>
        <v>477500</v>
      </c>
      <c r="BP20" s="42">
        <v>1453170</v>
      </c>
      <c r="BQ20" s="42">
        <f>SUM(BQ19:BQ19)</f>
        <v>477500</v>
      </c>
      <c r="BS20" s="42">
        <v>1501609</v>
      </c>
      <c r="BT20" s="42">
        <f>SUM(BT19:BT19)</f>
        <v>456000</v>
      </c>
      <c r="BV20" s="42">
        <v>1453170</v>
      </c>
      <c r="BW20" s="42">
        <f>SUM(BW19:BW19)</f>
        <v>456000</v>
      </c>
      <c r="BY20" s="42">
        <v>1501609</v>
      </c>
      <c r="BZ20" s="42">
        <f>SUM(BZ19:BZ19)</f>
        <v>0</v>
      </c>
      <c r="CB20" s="42">
        <f>SUM(CB19:CB19)</f>
        <v>0</v>
      </c>
      <c r="CC20" s="42">
        <f>SUM(CC19:CC19)</f>
        <v>0</v>
      </c>
      <c r="CE20" s="42">
        <f>SUM(CE19:CE19)</f>
        <v>0</v>
      </c>
      <c r="CF20" s="42">
        <f>SUM(CF19:CF19)</f>
        <v>0</v>
      </c>
      <c r="CH20" s="42">
        <f>SUM(CH19:CH19)</f>
        <v>0</v>
      </c>
      <c r="CI20" s="42">
        <f>SUM(CI19:CI19)</f>
        <v>0</v>
      </c>
      <c r="CK20" s="42">
        <f>SUM(CK19:CK19)</f>
        <v>0</v>
      </c>
      <c r="CL20" s="42">
        <f>SUM(CL19:CL19)</f>
        <v>0</v>
      </c>
      <c r="CN20" s="42">
        <f>SUM(CN19:CN19)</f>
        <v>0</v>
      </c>
      <c r="CO20" s="42">
        <f>SUM(CO19:CO19)</f>
        <v>0</v>
      </c>
      <c r="CQ20" s="42">
        <f>SUM(CQ19:CQ19)</f>
        <v>0</v>
      </c>
      <c r="CR20" s="42">
        <f>SUM(CR19:CR19)</f>
        <v>0</v>
      </c>
      <c r="CT20" s="42">
        <f>SUM(CT19:CT19)</f>
        <v>0</v>
      </c>
      <c r="CU20" s="42">
        <f>SUM(CU19:CU19)</f>
        <v>0</v>
      </c>
      <c r="CW20" s="42">
        <f>SUM(CW19:CW19)</f>
        <v>0</v>
      </c>
      <c r="CX20" s="42">
        <f>SUM(CX19:CX19)</f>
        <v>0</v>
      </c>
      <c r="CZ20" s="42">
        <f>SUM(CZ19:CZ19)</f>
        <v>0</v>
      </c>
      <c r="DA20" s="42">
        <f>SUM(DA19:DA19)</f>
        <v>0</v>
      </c>
      <c r="DC20" s="42">
        <f>SUM(DC19:DC19)</f>
        <v>0</v>
      </c>
      <c r="DD20" s="42">
        <f>SUM(DD19:DD19)</f>
        <v>0</v>
      </c>
      <c r="DF20" s="42">
        <f>SUM(DF19:DF19)</f>
        <v>0</v>
      </c>
      <c r="DG20" s="42">
        <f>SUM(DG19:DG19)</f>
        <v>0</v>
      </c>
      <c r="DI20" s="42">
        <f>SUM(DI19:DI19)</f>
        <v>0</v>
      </c>
      <c r="DJ20" s="42">
        <f>SUM(DJ19:DJ19)</f>
        <v>0</v>
      </c>
      <c r="DL20" s="42">
        <f>SUM(DL19:DL19)</f>
        <v>0</v>
      </c>
      <c r="DM20" s="42">
        <f>SUM(DM19:DM19)</f>
        <v>0</v>
      </c>
      <c r="DO20" s="42">
        <f>SUM(DO19:DO19)</f>
        <v>0</v>
      </c>
      <c r="DP20" s="42">
        <f>SUM(DP19:DP19)</f>
        <v>0</v>
      </c>
      <c r="DR20" s="42">
        <f>SUM(DR19:DR19)</f>
        <v>0</v>
      </c>
      <c r="DS20" s="42">
        <f>SUM(DS19:DS19)</f>
        <v>0</v>
      </c>
      <c r="DU20" s="42">
        <f>SUM(DU19:DU19)</f>
        <v>0</v>
      </c>
      <c r="DV20" s="42">
        <f>SUM(DV19:DV19)</f>
        <v>0</v>
      </c>
      <c r="DX20" s="42">
        <f>SUM(DX19:DX19)</f>
        <v>0</v>
      </c>
      <c r="DY20" s="42">
        <f>SUM(DY19:DY19)</f>
        <v>0</v>
      </c>
      <c r="EA20" s="42">
        <f>SUM(EA19:EA19)</f>
        <v>0</v>
      </c>
      <c r="EB20" s="42">
        <f>SUM(EB19:EB19)</f>
        <v>0</v>
      </c>
      <c r="ED20" s="42">
        <f>SUM(ED19:ED19)</f>
        <v>0</v>
      </c>
      <c r="EE20" s="42">
        <f>SUM(EE19:EE19)</f>
        <v>0</v>
      </c>
      <c r="EG20" s="42">
        <f>SUM(EG19:EG19)</f>
        <v>0</v>
      </c>
      <c r="EH20" s="42">
        <f>SUM(EH19:EH19)</f>
        <v>0</v>
      </c>
      <c r="EJ20" s="42">
        <f>SUM(EJ19:EJ19)</f>
        <v>0</v>
      </c>
      <c r="EK20" s="42">
        <f>SUM(EK19:EK19)</f>
        <v>0</v>
      </c>
      <c r="EM20" s="42">
        <f>SUM(EM19:EM19)</f>
        <v>0</v>
      </c>
      <c r="EN20" s="42">
        <f>SUM(EN19:EN19)</f>
        <v>0</v>
      </c>
      <c r="EP20" s="42">
        <f>SUM(EP19:EP19)</f>
        <v>0</v>
      </c>
      <c r="EQ20" s="42">
        <f>SUM(EQ19:EQ19)</f>
        <v>0</v>
      </c>
      <c r="ES20" s="42">
        <f>SUM(ES19:ES19)</f>
        <v>0</v>
      </c>
    </row>
    <row r="21" spans="1:149" x14ac:dyDescent="0.2">
      <c r="A21" t="s">
        <v>84</v>
      </c>
      <c r="B21" t="s">
        <v>81</v>
      </c>
      <c r="C21" t="s">
        <v>75</v>
      </c>
      <c r="D21" t="s">
        <v>76</v>
      </c>
      <c r="E21" t="s">
        <v>93</v>
      </c>
      <c r="F21" s="358">
        <v>0</v>
      </c>
      <c r="G21" s="361">
        <v>0</v>
      </c>
      <c r="H21" s="358">
        <v>0</v>
      </c>
      <c r="I21" s="358">
        <v>0</v>
      </c>
      <c r="J21" s="361">
        <v>0</v>
      </c>
      <c r="K21" s="358">
        <v>0</v>
      </c>
      <c r="L21" s="358">
        <v>0</v>
      </c>
      <c r="M21" s="361">
        <v>0</v>
      </c>
      <c r="N21" s="358">
        <v>0</v>
      </c>
      <c r="O21" s="358">
        <v>0</v>
      </c>
      <c r="P21" s="361">
        <v>0</v>
      </c>
      <c r="Q21" s="358">
        <v>0</v>
      </c>
      <c r="R21" s="358">
        <v>0</v>
      </c>
      <c r="S21" s="361">
        <v>0</v>
      </c>
      <c r="T21" s="358">
        <v>0</v>
      </c>
      <c r="U21" s="358">
        <v>0</v>
      </c>
      <c r="V21" s="361">
        <v>0</v>
      </c>
      <c r="W21" s="358">
        <v>0</v>
      </c>
      <c r="X21" s="358">
        <v>0</v>
      </c>
      <c r="Y21" s="361">
        <v>0</v>
      </c>
      <c r="Z21" s="358">
        <v>0</v>
      </c>
      <c r="AA21" s="358">
        <v>0</v>
      </c>
      <c r="AB21" s="361">
        <v>0</v>
      </c>
      <c r="AC21" s="358">
        <v>0</v>
      </c>
      <c r="AD21" s="358">
        <v>0</v>
      </c>
      <c r="AE21" s="361">
        <v>0</v>
      </c>
      <c r="AF21" s="358">
        <v>0</v>
      </c>
      <c r="AG21" s="358">
        <v>0</v>
      </c>
      <c r="AH21" s="361">
        <v>0</v>
      </c>
      <c r="AI21" s="358">
        <v>0</v>
      </c>
      <c r="AJ21" s="358">
        <v>0</v>
      </c>
      <c r="AK21" s="361">
        <v>0</v>
      </c>
      <c r="AL21" s="358">
        <v>0</v>
      </c>
      <c r="AM21">
        <v>0</v>
      </c>
      <c r="AN21">
        <v>0</v>
      </c>
      <c r="AO21">
        <v>0</v>
      </c>
      <c r="AP21">
        <v>550500</v>
      </c>
      <c r="AQ21">
        <v>0.2586</v>
      </c>
      <c r="AR21" s="440">
        <v>4412412.9000000004</v>
      </c>
      <c r="AS21">
        <v>530500</v>
      </c>
      <c r="AT21">
        <v>0.25519999999999998</v>
      </c>
      <c r="AU21" s="440">
        <v>3790917.2</v>
      </c>
      <c r="AV21">
        <v>530500</v>
      </c>
      <c r="AW21">
        <v>0.25519999999999998</v>
      </c>
      <c r="AX21" s="440">
        <v>4197086.9000000004</v>
      </c>
      <c r="AY21">
        <v>522500</v>
      </c>
      <c r="AZ21">
        <v>0.25900000000000001</v>
      </c>
      <c r="BA21">
        <v>3997245</v>
      </c>
      <c r="BB21">
        <v>522500</v>
      </c>
      <c r="BC21">
        <v>0.25900000000000001</v>
      </c>
      <c r="BD21" s="440">
        <v>4130486.5</v>
      </c>
      <c r="BE21">
        <v>522500</v>
      </c>
      <c r="BF21">
        <v>0.25900000000000001</v>
      </c>
      <c r="BG21">
        <v>3997245</v>
      </c>
      <c r="BH21">
        <v>522500</v>
      </c>
      <c r="BI21">
        <v>0.25900000000000001</v>
      </c>
      <c r="BJ21" s="440">
        <v>4130486.5</v>
      </c>
      <c r="BK21">
        <v>522500</v>
      </c>
      <c r="BL21">
        <v>0</v>
      </c>
      <c r="BM21" s="440">
        <v>4130486.5</v>
      </c>
      <c r="BN21">
        <v>522500</v>
      </c>
      <c r="BO21">
        <v>0.25900000000000001</v>
      </c>
      <c r="BP21">
        <v>3997245</v>
      </c>
      <c r="BQ21">
        <v>522500</v>
      </c>
      <c r="BR21">
        <v>0.25900000000000001</v>
      </c>
      <c r="BS21" s="440">
        <v>4130486.5</v>
      </c>
      <c r="BT21">
        <v>440000</v>
      </c>
      <c r="BU21">
        <v>0.27200000000000002</v>
      </c>
      <c r="BV21">
        <v>3590220</v>
      </c>
      <c r="BW21">
        <v>440000</v>
      </c>
      <c r="BX21">
        <v>0.27200000000000002</v>
      </c>
      <c r="BY21">
        <v>3709894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2">
      <c r="A22" t="s">
        <v>84</v>
      </c>
      <c r="B22" t="s">
        <v>81</v>
      </c>
      <c r="C22" t="s">
        <v>78</v>
      </c>
      <c r="D22" t="s">
        <v>76</v>
      </c>
      <c r="E22" t="s">
        <v>93</v>
      </c>
      <c r="F22" s="358">
        <v>0</v>
      </c>
      <c r="G22" s="361">
        <v>0</v>
      </c>
      <c r="H22" s="358">
        <v>0</v>
      </c>
      <c r="I22" s="358">
        <v>0</v>
      </c>
      <c r="J22" s="361">
        <v>0</v>
      </c>
      <c r="K22" s="358">
        <v>0</v>
      </c>
      <c r="L22" s="358">
        <v>0</v>
      </c>
      <c r="M22" s="361">
        <v>0</v>
      </c>
      <c r="N22" s="358">
        <v>0</v>
      </c>
      <c r="O22" s="358">
        <v>0</v>
      </c>
      <c r="P22" s="361">
        <v>0</v>
      </c>
      <c r="Q22" s="358">
        <v>0</v>
      </c>
      <c r="R22" s="358">
        <v>0</v>
      </c>
      <c r="S22" s="361">
        <v>0</v>
      </c>
      <c r="T22" s="358">
        <v>0</v>
      </c>
      <c r="U22" s="358">
        <v>0</v>
      </c>
      <c r="V22" s="361">
        <v>0</v>
      </c>
      <c r="W22" s="358">
        <v>0</v>
      </c>
      <c r="X22" s="358">
        <v>0</v>
      </c>
      <c r="Y22" s="361">
        <v>0</v>
      </c>
      <c r="Z22" s="358">
        <v>0</v>
      </c>
      <c r="AA22" s="358">
        <v>0</v>
      </c>
      <c r="AB22" s="361">
        <v>0</v>
      </c>
      <c r="AC22" s="358">
        <v>0</v>
      </c>
      <c r="AD22" s="358">
        <v>0</v>
      </c>
      <c r="AE22" s="361">
        <v>0</v>
      </c>
      <c r="AF22" s="358">
        <v>0</v>
      </c>
      <c r="AG22" s="358">
        <v>0</v>
      </c>
      <c r="AH22" s="361">
        <v>0</v>
      </c>
      <c r="AI22" s="358">
        <v>0</v>
      </c>
      <c r="AJ22" s="358">
        <v>0</v>
      </c>
      <c r="AK22" s="361">
        <v>0</v>
      </c>
      <c r="AL22" s="358">
        <v>0</v>
      </c>
      <c r="AM22">
        <v>0</v>
      </c>
      <c r="AN22">
        <v>0</v>
      </c>
      <c r="AO22">
        <v>0</v>
      </c>
      <c r="AP22">
        <v>60000</v>
      </c>
      <c r="AQ22">
        <v>0.18</v>
      </c>
      <c r="AR22">
        <v>334800</v>
      </c>
      <c r="AS22">
        <v>60000</v>
      </c>
      <c r="AT22">
        <v>0.18</v>
      </c>
      <c r="AU22">
        <v>302400</v>
      </c>
      <c r="AV22">
        <v>60000</v>
      </c>
      <c r="AW22">
        <v>0.18</v>
      </c>
      <c r="AX22">
        <v>334800</v>
      </c>
      <c r="AY22">
        <v>60000</v>
      </c>
      <c r="AZ22">
        <v>0.18</v>
      </c>
      <c r="BA22">
        <v>324000</v>
      </c>
      <c r="BB22">
        <v>60000</v>
      </c>
      <c r="BC22">
        <v>0.18</v>
      </c>
      <c r="BD22">
        <v>334800</v>
      </c>
      <c r="BE22">
        <v>60000</v>
      </c>
      <c r="BF22">
        <v>0.18</v>
      </c>
      <c r="BG22">
        <v>324000</v>
      </c>
      <c r="BH22">
        <v>60000</v>
      </c>
      <c r="BI22">
        <v>0.18</v>
      </c>
      <c r="BJ22">
        <v>334800</v>
      </c>
      <c r="BK22">
        <v>60000</v>
      </c>
      <c r="BL22">
        <v>0</v>
      </c>
      <c r="BM22">
        <v>334800</v>
      </c>
      <c r="BN22">
        <v>60000</v>
      </c>
      <c r="BO22">
        <v>0.18</v>
      </c>
      <c r="BP22">
        <v>324000</v>
      </c>
      <c r="BQ22">
        <v>60000</v>
      </c>
      <c r="BR22">
        <v>0.18</v>
      </c>
      <c r="BS22">
        <v>334800</v>
      </c>
      <c r="BT22">
        <v>60000</v>
      </c>
      <c r="BU22">
        <v>0.18</v>
      </c>
      <c r="BV22">
        <v>324000</v>
      </c>
      <c r="BW22">
        <v>60000</v>
      </c>
      <c r="BX22">
        <v>0.18</v>
      </c>
      <c r="BY22">
        <v>334800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2">
      <c r="A23" t="s">
        <v>84</v>
      </c>
      <c r="B23" t="s">
        <v>81</v>
      </c>
      <c r="C23" t="s">
        <v>79</v>
      </c>
      <c r="D23" t="s">
        <v>76</v>
      </c>
      <c r="E23" t="s">
        <v>93</v>
      </c>
      <c r="F23" s="358">
        <v>0</v>
      </c>
      <c r="G23" s="361">
        <v>0</v>
      </c>
      <c r="H23" s="358">
        <v>0</v>
      </c>
      <c r="I23" s="358">
        <v>0</v>
      </c>
      <c r="J23" s="361">
        <v>0</v>
      </c>
      <c r="K23" s="358">
        <v>0</v>
      </c>
      <c r="L23" s="358">
        <v>0</v>
      </c>
      <c r="M23" s="361">
        <v>0</v>
      </c>
      <c r="N23" s="358">
        <v>0</v>
      </c>
      <c r="O23" s="358">
        <v>0</v>
      </c>
      <c r="P23" s="361">
        <v>0</v>
      </c>
      <c r="Q23" s="358">
        <v>0</v>
      </c>
      <c r="R23" s="358">
        <v>0</v>
      </c>
      <c r="S23" s="361">
        <v>0</v>
      </c>
      <c r="T23" s="358">
        <v>0</v>
      </c>
      <c r="U23" s="358">
        <v>0</v>
      </c>
      <c r="V23" s="361">
        <v>0</v>
      </c>
      <c r="W23" s="358">
        <v>0</v>
      </c>
      <c r="X23" s="358">
        <v>0</v>
      </c>
      <c r="Y23" s="361">
        <v>0</v>
      </c>
      <c r="Z23" s="358">
        <v>0</v>
      </c>
      <c r="AA23" s="358">
        <v>0</v>
      </c>
      <c r="AB23" s="361">
        <v>0</v>
      </c>
      <c r="AC23" s="358">
        <v>0</v>
      </c>
      <c r="AD23" s="358">
        <v>0</v>
      </c>
      <c r="AE23" s="361">
        <v>0</v>
      </c>
      <c r="AF23" s="358">
        <v>0</v>
      </c>
      <c r="AG23" s="358">
        <v>0</v>
      </c>
      <c r="AH23" s="361">
        <v>0</v>
      </c>
      <c r="AI23" s="358">
        <v>0</v>
      </c>
      <c r="AJ23" s="358">
        <v>0</v>
      </c>
      <c r="AK23" s="361">
        <v>0</v>
      </c>
      <c r="AL23" s="358">
        <v>0</v>
      </c>
      <c r="AM23">
        <v>0</v>
      </c>
      <c r="AN23">
        <v>0</v>
      </c>
      <c r="AO23">
        <v>0</v>
      </c>
      <c r="AP23">
        <v>211100</v>
      </c>
      <c r="AQ23">
        <v>0.21049999999999999</v>
      </c>
      <c r="AR23">
        <v>1377609</v>
      </c>
      <c r="AS23">
        <v>211100</v>
      </c>
      <c r="AT23">
        <v>0.21049999999999999</v>
      </c>
      <c r="AU23">
        <v>1244292</v>
      </c>
      <c r="AV23">
        <v>231100</v>
      </c>
      <c r="AW23">
        <v>0.22409999999999999</v>
      </c>
      <c r="AX23">
        <v>1605707</v>
      </c>
      <c r="AY23">
        <v>231100</v>
      </c>
      <c r="AZ23">
        <v>0.2397</v>
      </c>
      <c r="BA23">
        <v>1662150</v>
      </c>
      <c r="BB23">
        <v>231100</v>
      </c>
      <c r="BC23">
        <v>0.2397</v>
      </c>
      <c r="BD23">
        <v>1717555</v>
      </c>
      <c r="BE23">
        <v>231100</v>
      </c>
      <c r="BF23">
        <v>0.2397</v>
      </c>
      <c r="BG23">
        <v>1662150</v>
      </c>
      <c r="BH23">
        <v>231100</v>
      </c>
      <c r="BI23">
        <v>0.2397</v>
      </c>
      <c r="BJ23">
        <v>1717555</v>
      </c>
      <c r="BK23">
        <v>231100</v>
      </c>
      <c r="BL23">
        <v>0</v>
      </c>
      <c r="BM23">
        <v>1717555</v>
      </c>
      <c r="BN23">
        <v>231100</v>
      </c>
      <c r="BO23">
        <v>0.2397</v>
      </c>
      <c r="BP23">
        <v>1662150</v>
      </c>
      <c r="BQ23">
        <v>231100</v>
      </c>
      <c r="BR23">
        <v>0.2397</v>
      </c>
      <c r="BS23">
        <v>1717555</v>
      </c>
      <c r="BT23">
        <v>252600</v>
      </c>
      <c r="BU23">
        <v>0.25069999999999998</v>
      </c>
      <c r="BV23">
        <v>1899445.5</v>
      </c>
      <c r="BW23">
        <v>252600</v>
      </c>
      <c r="BX23">
        <v>0.25069999999999998</v>
      </c>
      <c r="BY23">
        <v>1962760.35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2">
      <c r="A24" t="s">
        <v>84</v>
      </c>
      <c r="B24" t="s">
        <v>81</v>
      </c>
      <c r="C24" t="s">
        <v>80</v>
      </c>
      <c r="D24" t="s">
        <v>76</v>
      </c>
      <c r="E24" t="s">
        <v>93</v>
      </c>
      <c r="F24" s="358">
        <v>0</v>
      </c>
      <c r="G24" s="361">
        <v>0</v>
      </c>
      <c r="H24" s="358">
        <v>0</v>
      </c>
      <c r="I24" s="358">
        <v>0</v>
      </c>
      <c r="J24" s="361">
        <v>0</v>
      </c>
      <c r="K24" s="358">
        <v>0</v>
      </c>
      <c r="L24" s="358">
        <v>0</v>
      </c>
      <c r="M24" s="361">
        <v>0</v>
      </c>
      <c r="N24" s="358">
        <v>0</v>
      </c>
      <c r="O24" s="358">
        <v>0</v>
      </c>
      <c r="P24" s="361">
        <v>0</v>
      </c>
      <c r="Q24" s="358">
        <v>0</v>
      </c>
      <c r="R24" s="358">
        <v>0</v>
      </c>
      <c r="S24" s="361">
        <v>0</v>
      </c>
      <c r="T24" s="358">
        <v>0</v>
      </c>
      <c r="U24" s="358">
        <v>0</v>
      </c>
      <c r="V24" s="361">
        <v>0</v>
      </c>
      <c r="W24" s="358">
        <v>0</v>
      </c>
      <c r="X24" s="358">
        <v>0</v>
      </c>
      <c r="Y24" s="361">
        <v>0</v>
      </c>
      <c r="Z24" s="358">
        <v>0</v>
      </c>
      <c r="AA24" s="358">
        <v>0</v>
      </c>
      <c r="AB24" s="361">
        <v>0</v>
      </c>
      <c r="AC24" s="358">
        <v>0</v>
      </c>
      <c r="AD24" s="358">
        <v>0</v>
      </c>
      <c r="AE24" s="361">
        <v>0</v>
      </c>
      <c r="AF24" s="358">
        <v>0</v>
      </c>
      <c r="AG24" s="358">
        <v>0</v>
      </c>
      <c r="AH24" s="361">
        <v>0</v>
      </c>
      <c r="AI24" s="358">
        <v>0</v>
      </c>
      <c r="AJ24" s="358">
        <v>0</v>
      </c>
      <c r="AK24" s="361">
        <v>0</v>
      </c>
      <c r="AL24" s="358">
        <v>0</v>
      </c>
      <c r="AM24">
        <v>0</v>
      </c>
      <c r="AN24">
        <v>0</v>
      </c>
      <c r="AO24">
        <v>0</v>
      </c>
      <c r="AP24">
        <v>265000</v>
      </c>
      <c r="AQ24">
        <v>0.25919999999999999</v>
      </c>
      <c r="AR24">
        <v>2128956</v>
      </c>
      <c r="AS24">
        <v>265000</v>
      </c>
      <c r="AT24">
        <v>0.25919999999999999</v>
      </c>
      <c r="AU24">
        <v>1922928</v>
      </c>
      <c r="AV24">
        <v>245000</v>
      </c>
      <c r="AW24">
        <v>0.25840000000000002</v>
      </c>
      <c r="AX24">
        <v>1962672</v>
      </c>
      <c r="AY24">
        <v>245000</v>
      </c>
      <c r="AZ24">
        <v>0.25840000000000002</v>
      </c>
      <c r="BA24">
        <v>1899360</v>
      </c>
      <c r="BB24">
        <v>245000</v>
      </c>
      <c r="BC24">
        <v>0.25840000000000002</v>
      </c>
      <c r="BD24">
        <v>1962672</v>
      </c>
      <c r="BE24">
        <v>245000</v>
      </c>
      <c r="BF24">
        <v>0.25840000000000002</v>
      </c>
      <c r="BG24">
        <v>1899360</v>
      </c>
      <c r="BH24">
        <v>245000</v>
      </c>
      <c r="BI24">
        <v>0.25840000000000002</v>
      </c>
      <c r="BJ24">
        <v>1962672</v>
      </c>
      <c r="BK24">
        <v>245000</v>
      </c>
      <c r="BL24">
        <v>0</v>
      </c>
      <c r="BM24">
        <v>1962672</v>
      </c>
      <c r="BN24">
        <v>245000</v>
      </c>
      <c r="BO24">
        <v>0.25840000000000002</v>
      </c>
      <c r="BP24">
        <v>1899360</v>
      </c>
      <c r="BQ24">
        <v>245000</v>
      </c>
      <c r="BR24">
        <v>0.25840000000000002</v>
      </c>
      <c r="BS24">
        <v>1962672</v>
      </c>
      <c r="BT24">
        <v>245000</v>
      </c>
      <c r="BU24">
        <v>0.25840000000000002</v>
      </c>
      <c r="BV24">
        <v>1899360</v>
      </c>
      <c r="BW24">
        <v>245000</v>
      </c>
      <c r="BX24">
        <v>0.25840000000000002</v>
      </c>
      <c r="BY24">
        <v>1962672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2">
      <c r="A25" t="s">
        <v>84</v>
      </c>
      <c r="B25" t="s">
        <v>81</v>
      </c>
      <c r="C25" t="s">
        <v>81</v>
      </c>
      <c r="D25" t="s">
        <v>76</v>
      </c>
      <c r="E25" t="s">
        <v>93</v>
      </c>
      <c r="F25" s="358">
        <v>0</v>
      </c>
      <c r="G25" s="361">
        <v>0</v>
      </c>
      <c r="H25" s="358">
        <v>0</v>
      </c>
      <c r="I25" s="358">
        <v>0</v>
      </c>
      <c r="J25" s="361">
        <v>0</v>
      </c>
      <c r="K25" s="358">
        <v>0</v>
      </c>
      <c r="L25" s="358">
        <v>0</v>
      </c>
      <c r="M25" s="361">
        <v>0</v>
      </c>
      <c r="N25" s="358">
        <v>0</v>
      </c>
      <c r="O25" s="358">
        <v>0</v>
      </c>
      <c r="P25" s="361">
        <v>0</v>
      </c>
      <c r="Q25" s="358">
        <v>0</v>
      </c>
      <c r="R25" s="358">
        <v>0</v>
      </c>
      <c r="S25" s="361">
        <v>0</v>
      </c>
      <c r="T25" s="358">
        <v>0</v>
      </c>
      <c r="U25" s="358">
        <v>0</v>
      </c>
      <c r="V25" s="361">
        <v>0</v>
      </c>
      <c r="W25" s="358">
        <v>0</v>
      </c>
      <c r="X25" s="358">
        <v>0</v>
      </c>
      <c r="Y25" s="361">
        <v>0</v>
      </c>
      <c r="Z25" s="358">
        <v>0</v>
      </c>
      <c r="AA25" s="358">
        <v>0</v>
      </c>
      <c r="AB25" s="361">
        <v>0</v>
      </c>
      <c r="AC25" s="358">
        <v>0</v>
      </c>
      <c r="AD25" s="358">
        <v>0</v>
      </c>
      <c r="AE25" s="361">
        <v>0</v>
      </c>
      <c r="AF25" s="358">
        <v>0</v>
      </c>
      <c r="AG25" s="358">
        <v>0</v>
      </c>
      <c r="AH25" s="361">
        <v>0</v>
      </c>
      <c r="AI25" s="358">
        <v>0</v>
      </c>
      <c r="AJ25" s="358">
        <v>0</v>
      </c>
      <c r="AK25" s="361">
        <v>0</v>
      </c>
      <c r="AL25" s="358">
        <v>0</v>
      </c>
      <c r="AM25">
        <v>0</v>
      </c>
      <c r="AN25">
        <v>0</v>
      </c>
      <c r="AO25">
        <v>0</v>
      </c>
      <c r="AP25">
        <v>1300</v>
      </c>
      <c r="AQ25">
        <v>0.22889999999999999</v>
      </c>
      <c r="AR25">
        <v>9224.67</v>
      </c>
      <c r="AS25">
        <v>1300</v>
      </c>
      <c r="AT25">
        <v>0.22889999999999999</v>
      </c>
      <c r="AU25">
        <v>8331.9599999999991</v>
      </c>
      <c r="AV25">
        <v>1300</v>
      </c>
      <c r="AW25">
        <v>0.22889999999999999</v>
      </c>
      <c r="AX25">
        <v>9224.67</v>
      </c>
      <c r="AY25">
        <v>1300</v>
      </c>
      <c r="AZ25">
        <v>0.22889999999999999</v>
      </c>
      <c r="BA25">
        <v>8927.1</v>
      </c>
      <c r="BB25">
        <v>1300</v>
      </c>
      <c r="BC25">
        <v>0.22889999999999999</v>
      </c>
      <c r="BD25">
        <v>9224.67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2">
      <c r="A26" s="42" t="s">
        <v>92</v>
      </c>
      <c r="F26" s="360">
        <f>SUM(F21:F25)</f>
        <v>0</v>
      </c>
      <c r="H26" s="360">
        <f>SUM(H21:H25)</f>
        <v>0</v>
      </c>
      <c r="I26" s="360">
        <f>SUM(I21:I25)</f>
        <v>0</v>
      </c>
      <c r="K26" s="360">
        <f>SUM(K21:K25)</f>
        <v>0</v>
      </c>
      <c r="L26" s="360">
        <f>SUM(L21:L25)</f>
        <v>0</v>
      </c>
      <c r="N26" s="360">
        <f>SUM(N21:N25)</f>
        <v>0</v>
      </c>
      <c r="O26" s="360">
        <f>SUM(O21:O25)</f>
        <v>0</v>
      </c>
      <c r="Q26" s="360">
        <f>SUM(Q21:Q25)</f>
        <v>0</v>
      </c>
      <c r="R26" s="360">
        <f>SUM(R21:R25)</f>
        <v>0</v>
      </c>
      <c r="T26" s="360">
        <f>SUM(T21:T25)</f>
        <v>0</v>
      </c>
      <c r="U26" s="360">
        <f>SUM(U21:U25)</f>
        <v>0</v>
      </c>
      <c r="W26" s="360">
        <f>SUM(W21:W25)</f>
        <v>0</v>
      </c>
      <c r="X26" s="360">
        <f>SUM(X21:X25)</f>
        <v>0</v>
      </c>
      <c r="Z26" s="360">
        <f>SUM(Z21:Z25)</f>
        <v>0</v>
      </c>
      <c r="AA26" s="360">
        <f>SUM(AA21:AA25)</f>
        <v>0</v>
      </c>
      <c r="AC26" s="360">
        <f>SUM(AC21:AC25)</f>
        <v>0</v>
      </c>
      <c r="AD26" s="360">
        <f>SUM(AD21:AD25)</f>
        <v>0</v>
      </c>
      <c r="AF26" s="360">
        <f>SUM(AF21:AF25)</f>
        <v>0</v>
      </c>
      <c r="AG26" s="360">
        <f>SUM(AG21:AG25)</f>
        <v>0</v>
      </c>
      <c r="AI26" s="360">
        <f>SUM(AI21:AI25)</f>
        <v>0</v>
      </c>
      <c r="AJ26" s="360">
        <f>SUM(AJ21:AJ25)</f>
        <v>0</v>
      </c>
      <c r="AL26" s="360">
        <f>SUM(AL21:AL25)</f>
        <v>0</v>
      </c>
      <c r="AM26" s="42">
        <f>SUM(AM21:AM25)</f>
        <v>0</v>
      </c>
      <c r="AO26" s="42">
        <f>SUM(AO21:AO25)</f>
        <v>0</v>
      </c>
      <c r="AP26" s="42">
        <f>SUM(AP21:AP25)</f>
        <v>1087900</v>
      </c>
      <c r="AR26" s="42">
        <f>SUM(AR21:AR25)</f>
        <v>8263002.5700000003</v>
      </c>
      <c r="AS26" s="42">
        <f>SUM(AS21:AS25)</f>
        <v>1067900</v>
      </c>
      <c r="AU26" s="42">
        <f>SUM(AU21:AU25)</f>
        <v>7268869.1600000001</v>
      </c>
      <c r="AV26" s="42">
        <f>SUM(AV21:AV25)</f>
        <v>1067900</v>
      </c>
      <c r="AX26" s="42">
        <f>SUM(AX21:AX25)</f>
        <v>8109490.5700000003</v>
      </c>
      <c r="AY26" s="42">
        <f>SUM(AY21:AY25)</f>
        <v>1059900</v>
      </c>
      <c r="BA26" s="42">
        <f>SUM(BA21:BA25)</f>
        <v>7891682.0999999996</v>
      </c>
      <c r="BB26" s="42">
        <f>SUM(BB21:BB25)</f>
        <v>1059900</v>
      </c>
      <c r="BD26" s="42">
        <f>SUM(BD21:BD25)</f>
        <v>8154738.1699999999</v>
      </c>
      <c r="BE26" s="42">
        <f>SUM(BE21:BE25)</f>
        <v>1058600</v>
      </c>
      <c r="BG26" s="42">
        <f>SUM(BG21:BG25)</f>
        <v>7882755</v>
      </c>
      <c r="BH26" s="42">
        <f>SUM(BH21:BH25)</f>
        <v>1058600</v>
      </c>
      <c r="BJ26" s="42">
        <f>SUM(BJ21:BJ25)</f>
        <v>8145513.5</v>
      </c>
      <c r="BK26" s="42">
        <f>SUM(BK21:BK25)</f>
        <v>1058600</v>
      </c>
      <c r="BM26" s="42">
        <f>SUM(BM21:BM25)</f>
        <v>8145513.5</v>
      </c>
      <c r="BN26" s="42">
        <f>SUM(BN21:BN25)</f>
        <v>1058600</v>
      </c>
      <c r="BP26" s="42">
        <f>SUM(BP21:BP25)</f>
        <v>7882755</v>
      </c>
      <c r="BQ26" s="42">
        <f>SUM(BQ21:BQ25)</f>
        <v>1058600</v>
      </c>
      <c r="BS26" s="42">
        <f>SUM(BS21:BS25)</f>
        <v>8145513.5</v>
      </c>
      <c r="BT26" s="42">
        <f>SUM(BT21:BT25)</f>
        <v>997600</v>
      </c>
      <c r="BV26" s="42">
        <f>SUM(BV21:BV25)</f>
        <v>7713025.5</v>
      </c>
      <c r="BW26" s="42">
        <f>SUM(BW21:BW25)</f>
        <v>997600</v>
      </c>
      <c r="BY26" s="42">
        <f>SUM(BY21:BY25)</f>
        <v>7970126.3499999996</v>
      </c>
      <c r="BZ26" s="42">
        <f>SUM(BZ21:BZ25)</f>
        <v>0</v>
      </c>
      <c r="CB26" s="42">
        <f>SUM(CB21:CB25)</f>
        <v>0</v>
      </c>
      <c r="CC26" s="42">
        <f>SUM(CC21:CC25)</f>
        <v>0</v>
      </c>
      <c r="CE26" s="42">
        <f>SUM(CE21:CE25)</f>
        <v>0</v>
      </c>
      <c r="CF26" s="42">
        <f>SUM(CF21:CF25)</f>
        <v>0</v>
      </c>
      <c r="CH26" s="42">
        <f>SUM(CH21:CH25)</f>
        <v>0</v>
      </c>
      <c r="CI26" s="42">
        <f>SUM(CI21:CI25)</f>
        <v>0</v>
      </c>
      <c r="CK26" s="42">
        <f>SUM(CK21:CK25)</f>
        <v>0</v>
      </c>
      <c r="CL26" s="42">
        <f>SUM(CL21:CL25)</f>
        <v>0</v>
      </c>
      <c r="CN26" s="42">
        <f>SUM(CN21:CN25)</f>
        <v>0</v>
      </c>
      <c r="CO26" s="42">
        <f>SUM(CO21:CO25)</f>
        <v>0</v>
      </c>
      <c r="CQ26" s="42">
        <f>SUM(CQ21:CQ25)</f>
        <v>0</v>
      </c>
      <c r="CR26" s="42">
        <f>SUM(CR21:CR25)</f>
        <v>0</v>
      </c>
      <c r="CT26" s="42">
        <f>SUM(CT21:CT25)</f>
        <v>0</v>
      </c>
      <c r="CU26" s="42">
        <f>SUM(CU21:CU25)</f>
        <v>0</v>
      </c>
      <c r="CW26" s="42">
        <f>SUM(CW21:CW25)</f>
        <v>0</v>
      </c>
      <c r="CX26" s="42">
        <f>SUM(CX21:CX25)</f>
        <v>0</v>
      </c>
      <c r="CZ26" s="42">
        <f>SUM(CZ21:CZ25)</f>
        <v>0</v>
      </c>
      <c r="DA26" s="42">
        <f>SUM(DA21:DA25)</f>
        <v>0</v>
      </c>
      <c r="DC26" s="42">
        <f>SUM(DC21:DC25)</f>
        <v>0</v>
      </c>
      <c r="DD26" s="42">
        <f>SUM(DD21:DD25)</f>
        <v>0</v>
      </c>
      <c r="DF26" s="42">
        <f>SUM(DF21:DF25)</f>
        <v>0</v>
      </c>
      <c r="DG26" s="42">
        <f>SUM(DG21:DG25)</f>
        <v>0</v>
      </c>
      <c r="DI26" s="42">
        <f>SUM(DI21:DI25)</f>
        <v>0</v>
      </c>
      <c r="DJ26" s="42">
        <f>SUM(DJ21:DJ25)</f>
        <v>0</v>
      </c>
      <c r="DL26" s="42">
        <f>SUM(DL21:DL25)</f>
        <v>0</v>
      </c>
      <c r="DM26" s="42">
        <f>SUM(DM21:DM25)</f>
        <v>0</v>
      </c>
      <c r="DO26" s="42">
        <f>SUM(DO21:DO25)</f>
        <v>0</v>
      </c>
      <c r="DP26" s="42">
        <f>SUM(DP21:DP25)</f>
        <v>0</v>
      </c>
      <c r="DR26" s="42">
        <f>SUM(DR21:DR25)</f>
        <v>0</v>
      </c>
      <c r="DS26" s="42">
        <f>SUM(DS21:DS25)</f>
        <v>0</v>
      </c>
      <c r="DU26" s="42">
        <f>SUM(DU21:DU25)</f>
        <v>0</v>
      </c>
      <c r="DV26" s="42">
        <f>SUM(DV21:DV25)</f>
        <v>0</v>
      </c>
      <c r="DX26" s="42">
        <f>SUM(DX21:DX25)</f>
        <v>0</v>
      </c>
      <c r="DY26" s="42">
        <f>SUM(DY21:DY25)</f>
        <v>0</v>
      </c>
      <c r="EA26" s="42">
        <f>SUM(EA21:EA25)</f>
        <v>0</v>
      </c>
      <c r="EB26" s="42">
        <f>SUM(EB21:EB25)</f>
        <v>0</v>
      </c>
      <c r="ED26" s="42">
        <f>SUM(ED21:ED25)</f>
        <v>0</v>
      </c>
      <c r="EE26" s="42">
        <f>SUM(EE21:EE25)</f>
        <v>0</v>
      </c>
      <c r="EG26" s="42">
        <f>SUM(EG21:EG25)</f>
        <v>0</v>
      </c>
      <c r="EH26" s="42">
        <f>SUM(EH21:EH25)</f>
        <v>0</v>
      </c>
      <c r="EJ26" s="42">
        <f>SUM(EJ21:EJ25)</f>
        <v>0</v>
      </c>
      <c r="EK26" s="42">
        <f>SUM(EK21:EK25)</f>
        <v>0</v>
      </c>
      <c r="EM26" s="42">
        <f>SUM(EM21:EM25)</f>
        <v>0</v>
      </c>
      <c r="EN26" s="42">
        <f>SUM(EN21:EN25)</f>
        <v>0</v>
      </c>
      <c r="EP26" s="42">
        <f>SUM(EP21:EP25)</f>
        <v>0</v>
      </c>
      <c r="EQ26" s="42">
        <f>SUM(EQ21:EQ25)</f>
        <v>0</v>
      </c>
      <c r="ES26" s="42">
        <f>SUM(ES21:ES25)</f>
        <v>0</v>
      </c>
    </row>
    <row r="936" ht="15.75" customHeight="1" x14ac:dyDescent="0.2"/>
  </sheetData>
  <mergeCells count="1">
    <mergeCell ref="B4:C4"/>
  </mergeCells>
  <phoneticPr fontId="10" type="noConversion"/>
  <pageMargins left="0.25" right="0.25" top="0.5" bottom="0.5" header="0.25" footer="0.25"/>
  <pageSetup paperSize="5" scale="37" orientation="landscape" r:id="rId1"/>
  <headerFooter alignWithMargins="0">
    <oddHeader>&amp;R&amp;8&amp;D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5"/>
  <sheetViews>
    <sheetView topLeftCell="A123" zoomScale="75" zoomScaleNormal="75" zoomScaleSheetLayoutView="70" workbookViewId="0">
      <selection activeCell="O160" sqref="O160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3" spans="1:19" x14ac:dyDescent="0.2">
      <c r="A3" s="65" t="str">
        <f ca="1">CELL("filename")</f>
        <v>C:\Users\Felienne\Enron\EnronSpreadsheets\[tracy_geaccone__40433__PLAN_FORECAST_DESIGN_MASTER_WITH_STRETCH_Rev_10_08.xls]Summary</v>
      </c>
    </row>
    <row r="4" spans="1:19" x14ac:dyDescent="0.2">
      <c r="A4" s="781">
        <f ca="1">NOW()</f>
        <v>41885.92788761574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 t="shared" ref="C19:N19" si="0">SUM(C12:C18)</f>
        <v>2374.9679999999998</v>
      </c>
      <c r="D19" s="28">
        <f t="shared" si="0"/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 t="shared" ref="C36:N36" si="4">ROUND((C14+C21)/(1-C27),1)</f>
        <v>219.9</v>
      </c>
      <c r="D36" s="29">
        <f t="shared" si="4"/>
        <v>222.5</v>
      </c>
      <c r="E36" s="29">
        <f t="shared" si="4"/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 t="shared" ref="C41:N41" si="9">SUM(C34:C40)</f>
        <v>2408.2999999999997</v>
      </c>
      <c r="D41" s="29">
        <f t="shared" si="9"/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 t="shared" ref="C44:N44" si="10">C16</f>
        <v>687.39</v>
      </c>
      <c r="D44" s="66">
        <f t="shared" si="10"/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 t="shared" ref="C45:N45" si="11">C41-C43-C44</f>
        <v>1720.9099999999999</v>
      </c>
      <c r="D45" s="28">
        <f t="shared" si="11"/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 t="shared" ref="C48:N48" si="12">C45*C1</f>
        <v>53348.209999999992</v>
      </c>
      <c r="D48" s="68">
        <f t="shared" si="12"/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70"/>
    </row>
    <row r="52" spans="1:18" customFormat="1" x14ac:dyDescent="0.2">
      <c r="A52" s="29" t="s">
        <v>171</v>
      </c>
      <c r="B52" s="29"/>
      <c r="C52" s="29">
        <f t="shared" ref="C52:N52" si="13">C34*C25*C$1</f>
        <v>583.88499999999999</v>
      </c>
      <c r="D52" s="29">
        <f t="shared" si="13"/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si="13"/>
        <v>741.21</v>
      </c>
      <c r="O52" s="29"/>
      <c r="P52" s="570"/>
    </row>
    <row r="53" spans="1:18" customFormat="1" x14ac:dyDescent="0.2">
      <c r="A53" s="29" t="s">
        <v>172</v>
      </c>
      <c r="B53" s="29"/>
      <c r="C53" s="29">
        <f t="shared" ref="C53:N53" si="14">C35*C26*C$1</f>
        <v>626.21549999999991</v>
      </c>
      <c r="D53" s="29">
        <f t="shared" si="14"/>
        <v>579.726</v>
      </c>
      <c r="E53" s="29">
        <f t="shared" si="14"/>
        <v>575.577</v>
      </c>
      <c r="F53" s="29">
        <f t="shared" si="14"/>
        <v>529.20000000000005</v>
      </c>
      <c r="G53" s="29">
        <f t="shared" si="14"/>
        <v>525.21749999999997</v>
      </c>
      <c r="H53" s="29">
        <f t="shared" si="14"/>
        <v>522.31499999999994</v>
      </c>
      <c r="I53" s="29">
        <f t="shared" si="14"/>
        <v>536.09850000000006</v>
      </c>
      <c r="J53" s="29">
        <f t="shared" si="14"/>
        <v>575.577</v>
      </c>
      <c r="K53" s="29">
        <f t="shared" si="14"/>
        <v>550.125</v>
      </c>
      <c r="L53" s="29">
        <f t="shared" si="14"/>
        <v>539.72550000000001</v>
      </c>
      <c r="M53" s="29">
        <f t="shared" si="14"/>
        <v>390.01499999999999</v>
      </c>
      <c r="N53" s="29">
        <f t="shared" si="14"/>
        <v>449.74799999999999</v>
      </c>
      <c r="O53" s="29"/>
      <c r="P53" s="570"/>
    </row>
    <row r="54" spans="1:18" customFormat="1" x14ac:dyDescent="0.2">
      <c r="A54" s="29" t="s">
        <v>173</v>
      </c>
      <c r="B54" s="29"/>
      <c r="C54" s="29">
        <f t="shared" ref="C54:N54" si="15">C36*C27*C$1</f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5"/>
        <v>403.46500000000003</v>
      </c>
      <c r="O54" s="29"/>
      <c r="P54" s="570"/>
    </row>
    <row r="55" spans="1:18" customFormat="1" x14ac:dyDescent="0.2">
      <c r="A55" s="29" t="s">
        <v>165</v>
      </c>
      <c r="B55" s="29"/>
      <c r="C55" s="28">
        <f t="shared" ref="C55:N55" si="16">C37*C28*C$1</f>
        <v>23.02525</v>
      </c>
      <c r="D55" s="28">
        <f t="shared" si="16"/>
        <v>22.904</v>
      </c>
      <c r="E55" s="28">
        <f t="shared" si="16"/>
        <v>25.869500000000002</v>
      </c>
      <c r="F55" s="28">
        <f t="shared" si="16"/>
        <v>20.5275</v>
      </c>
      <c r="G55" s="28">
        <f t="shared" si="16"/>
        <v>21.994500000000002</v>
      </c>
      <c r="H55" s="28">
        <f t="shared" si="16"/>
        <v>25.035</v>
      </c>
      <c r="I55" s="28">
        <f t="shared" si="16"/>
        <v>18.561250000000001</v>
      </c>
      <c r="J55" s="28">
        <f t="shared" si="16"/>
        <v>27.001000000000001</v>
      </c>
      <c r="K55" s="28">
        <f t="shared" si="16"/>
        <v>19.327500000000001</v>
      </c>
      <c r="L55" s="28">
        <f t="shared" si="16"/>
        <v>19.405999999999999</v>
      </c>
      <c r="M55" s="28">
        <f t="shared" si="16"/>
        <v>23.287500000000001</v>
      </c>
      <c r="N55" s="28">
        <f t="shared" si="16"/>
        <v>31.046500000000002</v>
      </c>
      <c r="O55" s="29"/>
      <c r="P55" s="570"/>
    </row>
    <row r="56" spans="1:18" customFormat="1" x14ac:dyDescent="0.2">
      <c r="A56" s="29" t="s">
        <v>183</v>
      </c>
      <c r="B56" s="29"/>
      <c r="C56" s="28">
        <f t="shared" ref="C56:N56" si="17">C38*C29*C$1</f>
        <v>53.405250000000002</v>
      </c>
      <c r="D56" s="28">
        <f t="shared" si="17"/>
        <v>48.390999999999998</v>
      </c>
      <c r="E56" s="28">
        <f t="shared" si="17"/>
        <v>50.739250000000006</v>
      </c>
      <c r="F56" s="28">
        <f t="shared" si="17"/>
        <v>47.242499999999993</v>
      </c>
      <c r="G56" s="28">
        <f t="shared" si="17"/>
        <v>47.600500000000004</v>
      </c>
      <c r="H56" s="28">
        <f t="shared" si="17"/>
        <v>44.925000000000004</v>
      </c>
      <c r="I56" s="28">
        <f t="shared" si="17"/>
        <v>52.149749999999997</v>
      </c>
      <c r="J56" s="28">
        <f t="shared" si="17"/>
        <v>48.685500000000005</v>
      </c>
      <c r="K56" s="28">
        <f t="shared" si="17"/>
        <v>49.222499999999997</v>
      </c>
      <c r="L56" s="28">
        <f t="shared" si="17"/>
        <v>51.033749999999998</v>
      </c>
      <c r="M56" s="28">
        <f t="shared" si="17"/>
        <v>47.167499999999997</v>
      </c>
      <c r="N56" s="28">
        <f t="shared" si="17"/>
        <v>45.872249999999994</v>
      </c>
      <c r="O56" s="29"/>
      <c r="P56" s="570"/>
    </row>
    <row r="57" spans="1:18" customFormat="1" x14ac:dyDescent="0.2">
      <c r="A57" s="29" t="s">
        <v>176</v>
      </c>
      <c r="B57" s="29"/>
      <c r="C57" s="29">
        <f t="shared" ref="C57:N57" si="18">C39*C30*C$1</f>
        <v>27.90372</v>
      </c>
      <c r="D57" s="29">
        <f t="shared" si="18"/>
        <v>26.994239999999998</v>
      </c>
      <c r="E57" s="29">
        <f t="shared" si="18"/>
        <v>27.90372</v>
      </c>
      <c r="F57" s="29">
        <f t="shared" si="18"/>
        <v>35.006399999999999</v>
      </c>
      <c r="G57" s="29">
        <f t="shared" si="18"/>
        <v>33.416759999999996</v>
      </c>
      <c r="H57" s="29">
        <f t="shared" si="18"/>
        <v>32.338799999999992</v>
      </c>
      <c r="I57" s="29">
        <f t="shared" si="18"/>
        <v>36.173279999999998</v>
      </c>
      <c r="J57" s="29">
        <f t="shared" si="18"/>
        <v>31.820879999999995</v>
      </c>
      <c r="K57" s="29">
        <f t="shared" si="18"/>
        <v>34.631999999999998</v>
      </c>
      <c r="L57" s="29">
        <f t="shared" si="18"/>
        <v>28.677479999999996</v>
      </c>
      <c r="M57" s="29">
        <f t="shared" si="18"/>
        <v>31.168799999999997</v>
      </c>
      <c r="N57" s="29">
        <f t="shared" si="18"/>
        <v>31.820879999999995</v>
      </c>
      <c r="O57" s="29"/>
      <c r="P57" s="570"/>
    </row>
    <row r="58" spans="1:18" customFormat="1" x14ac:dyDescent="0.2">
      <c r="A58" s="29" t="s">
        <v>177</v>
      </c>
      <c r="B58" s="29"/>
      <c r="C58" s="69">
        <f t="shared" ref="C58:N58" si="19">C40*C31*C$1</f>
        <v>129.50528999999997</v>
      </c>
      <c r="D58" s="69">
        <f t="shared" si="19"/>
        <v>116.97251999999999</v>
      </c>
      <c r="E58" s="69">
        <f t="shared" si="19"/>
        <v>121.34268</v>
      </c>
      <c r="F58" s="69">
        <f t="shared" si="19"/>
        <v>149.4579</v>
      </c>
      <c r="G58" s="69">
        <f t="shared" si="19"/>
        <v>154.07434000000001</v>
      </c>
      <c r="H58" s="69">
        <f t="shared" si="19"/>
        <v>147.41430000000003</v>
      </c>
      <c r="I58" s="69">
        <f t="shared" si="19"/>
        <v>145.18075000000002</v>
      </c>
      <c r="J58" s="69">
        <f t="shared" si="19"/>
        <v>144.44977</v>
      </c>
      <c r="K58" s="69">
        <f t="shared" si="19"/>
        <v>128.0001</v>
      </c>
      <c r="L58" s="69">
        <f t="shared" si="19"/>
        <v>135.2313</v>
      </c>
      <c r="M58" s="69">
        <f t="shared" si="19"/>
        <v>142.8948</v>
      </c>
      <c r="N58" s="69">
        <f t="shared" si="19"/>
        <v>153.22153</v>
      </c>
      <c r="O58" s="29"/>
      <c r="P58" s="570"/>
    </row>
    <row r="59" spans="1:18" customFormat="1" x14ac:dyDescent="0.2">
      <c r="A59" s="29" t="s">
        <v>184</v>
      </c>
      <c r="B59" s="29"/>
      <c r="C59" s="70">
        <f t="shared" ref="C59:N59" si="20">SUM(C52:C58)</f>
        <v>1767.7427600000001</v>
      </c>
      <c r="D59" s="70">
        <f t="shared" si="20"/>
        <v>1602.05276</v>
      </c>
      <c r="E59" s="70">
        <f t="shared" si="20"/>
        <v>1723.3644000000002</v>
      </c>
      <c r="F59" s="70">
        <f t="shared" si="20"/>
        <v>1574.1167999999998</v>
      </c>
      <c r="G59" s="70">
        <f t="shared" si="20"/>
        <v>1621.8766000000001</v>
      </c>
      <c r="H59" s="70">
        <f t="shared" si="20"/>
        <v>1821.6831000000002</v>
      </c>
      <c r="I59" s="70">
        <f t="shared" si="20"/>
        <v>1924.79403</v>
      </c>
      <c r="J59" s="70">
        <f t="shared" si="20"/>
        <v>1943.5264</v>
      </c>
      <c r="K59" s="70">
        <f t="shared" si="20"/>
        <v>1865.5971000000004</v>
      </c>
      <c r="L59" s="70">
        <f t="shared" si="20"/>
        <v>1933.7762800000003</v>
      </c>
      <c r="M59" s="70">
        <f t="shared" si="20"/>
        <v>1799.7936</v>
      </c>
      <c r="N59" s="70">
        <f t="shared" si="20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570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70"/>
    </row>
    <row r="62" spans="1:18" customFormat="1" x14ac:dyDescent="0.2">
      <c r="A62" s="29" t="s">
        <v>185</v>
      </c>
      <c r="B62" s="29"/>
      <c r="C62" s="71">
        <f>-C134</f>
        <v>-907.51991099999998</v>
      </c>
      <c r="D62" s="71">
        <f t="shared" ref="D62:N62" si="21">-D134</f>
        <v>-837.963436</v>
      </c>
      <c r="E62" s="71">
        <f t="shared" si="21"/>
        <v>-906.88103999999998</v>
      </c>
      <c r="F62" s="71">
        <f t="shared" si="21"/>
        <v>-841.95073000000002</v>
      </c>
      <c r="G62" s="71">
        <f t="shared" si="21"/>
        <v>-872.03021000000001</v>
      </c>
      <c r="H62" s="71">
        <f t="shared" si="21"/>
        <v>-1125.2284099999999</v>
      </c>
      <c r="I62" s="71">
        <f t="shared" si="21"/>
        <v>-1113.479433</v>
      </c>
      <c r="J62" s="71">
        <f t="shared" si="21"/>
        <v>-1192.667715</v>
      </c>
      <c r="K62" s="71">
        <f t="shared" si="21"/>
        <v>-1082.29531</v>
      </c>
      <c r="L62" s="71">
        <f t="shared" si="21"/>
        <v>-1113.8796580000001</v>
      </c>
      <c r="M62" s="71">
        <f t="shared" si="21"/>
        <v>-1105.65996</v>
      </c>
      <c r="N62" s="71">
        <f t="shared" si="21"/>
        <v>-1206.936651</v>
      </c>
      <c r="O62" s="71">
        <f>SUM(C62:N62)</f>
        <v>-12306.492463999999</v>
      </c>
      <c r="P62" s="73">
        <f>O62/365</f>
        <v>-33.716417709589038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22">C48*-C76</f>
        <v>-21.339283999999999</v>
      </c>
      <c r="D63" s="73">
        <f t="shared" si="22"/>
        <v>-19.682096000000001</v>
      </c>
      <c r="E63" s="73">
        <f t="shared" si="22"/>
        <v>-21.233078000000003</v>
      </c>
      <c r="F63" s="73">
        <f t="shared" si="22"/>
        <v>-19.94556</v>
      </c>
      <c r="G63" s="73">
        <f t="shared" si="22"/>
        <v>-20.633971999999996</v>
      </c>
      <c r="H63" s="73">
        <f t="shared" si="22"/>
        <v>-22.546379999999999</v>
      </c>
      <c r="I63" s="73">
        <f t="shared" si="22"/>
        <v>-22.366066000000004</v>
      </c>
      <c r="J63" s="73">
        <f t="shared" si="22"/>
        <v>-23.772163999999997</v>
      </c>
      <c r="K63" s="73">
        <f t="shared" si="22"/>
        <v>-21.617100000000001</v>
      </c>
      <c r="L63" s="73">
        <f t="shared" si="22"/>
        <v>-22.226255999999999</v>
      </c>
      <c r="M63" s="73">
        <f t="shared" si="22"/>
        <v>-21.858719999999998</v>
      </c>
      <c r="N63" s="73">
        <f t="shared" si="22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23">C48*-C77</f>
        <v>-10.669642</v>
      </c>
      <c r="D64" s="73">
        <f t="shared" si="23"/>
        <v>-9.8410480000000007</v>
      </c>
      <c r="E64" s="73">
        <f t="shared" si="23"/>
        <v>-10.616539000000001</v>
      </c>
      <c r="F64" s="73">
        <f t="shared" si="23"/>
        <v>-9.9727800000000002</v>
      </c>
      <c r="G64" s="73">
        <f t="shared" si="23"/>
        <v>-10.316985999999998</v>
      </c>
      <c r="H64" s="73">
        <f t="shared" si="23"/>
        <v>-11.27319</v>
      </c>
      <c r="I64" s="73">
        <f t="shared" si="23"/>
        <v>-11.183033000000002</v>
      </c>
      <c r="J64" s="73">
        <f t="shared" si="23"/>
        <v>-11.886081999999998</v>
      </c>
      <c r="K64" s="73">
        <f t="shared" si="23"/>
        <v>-10.80855</v>
      </c>
      <c r="L64" s="73">
        <f t="shared" si="23"/>
        <v>-11.113128</v>
      </c>
      <c r="M64" s="73">
        <f t="shared" si="23"/>
        <v>-10.929359999999999</v>
      </c>
      <c r="N64" s="73">
        <f t="shared" si="23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570"/>
    </row>
    <row r="66" spans="1:18" customFormat="1" x14ac:dyDescent="0.2">
      <c r="A66" s="29" t="s">
        <v>188</v>
      </c>
      <c r="B66" s="29"/>
      <c r="C66" s="74">
        <f t="shared" ref="C66:N66" si="24">ROUND((C59*C75),0)</f>
        <v>4631</v>
      </c>
      <c r="D66" s="74">
        <f t="shared" si="24"/>
        <v>4197</v>
      </c>
      <c r="E66" s="74">
        <f t="shared" si="24"/>
        <v>4412</v>
      </c>
      <c r="F66" s="74">
        <f t="shared" si="24"/>
        <v>3857</v>
      </c>
      <c r="G66" s="74">
        <f t="shared" si="24"/>
        <v>4022</v>
      </c>
      <c r="H66" s="74">
        <f t="shared" si="24"/>
        <v>4609</v>
      </c>
      <c r="I66" s="74">
        <f t="shared" si="24"/>
        <v>4947</v>
      </c>
      <c r="J66" s="74">
        <f t="shared" si="24"/>
        <v>5073</v>
      </c>
      <c r="K66" s="74">
        <f t="shared" si="24"/>
        <v>4869</v>
      </c>
      <c r="L66" s="74">
        <f t="shared" si="24"/>
        <v>5066</v>
      </c>
      <c r="M66" s="74">
        <f t="shared" si="24"/>
        <v>5111</v>
      </c>
      <c r="N66" s="74">
        <f t="shared" si="24"/>
        <v>5569</v>
      </c>
      <c r="O66" s="74">
        <f t="shared" ref="O66:O73" si="25">SUM(C66:N66)</f>
        <v>56363</v>
      </c>
      <c r="P66" s="570"/>
      <c r="Q66" s="75">
        <v>0</v>
      </c>
      <c r="R66" s="75">
        <v>0</v>
      </c>
    </row>
    <row r="67" spans="1:18" customFormat="1" x14ac:dyDescent="0.2">
      <c r="A67" s="48" t="s">
        <v>752</v>
      </c>
      <c r="B67" s="29"/>
      <c r="C67" s="74">
        <f>ROUND((ROUND(5*C$1*5.05,0))-(ROUND(5*C$1*C75,0)),0)+ROUND((ROUND(5*C$1*3.46,0))-(ROUND(5*C$1*C75,0)),0)+ROUND((ROUND(5*C$1*3.3625,0))-(ROUND(5*C$1*C75,0)),0)</f>
        <v>622</v>
      </c>
      <c r="D67" s="74">
        <f t="shared" ref="D67:O67" si="26">ROUND((ROUND(5*D$1*5.05,0))-(ROUND(5*D$1*D75,0)),0)+ROUND((ROUND(5*D$1*3.46,0))-(ROUND(5*D$1*D75,0)),0)+ROUND((ROUND(5*D$1*3.3625,0))-(ROUND(5*D$1*D75,0)),0)</f>
        <v>561</v>
      </c>
      <c r="E67" s="74">
        <f t="shared" si="26"/>
        <v>649</v>
      </c>
      <c r="F67" s="74">
        <f t="shared" si="26"/>
        <v>677</v>
      </c>
      <c r="G67" s="74">
        <f t="shared" si="26"/>
        <v>688</v>
      </c>
      <c r="H67" s="74">
        <f t="shared" si="26"/>
        <v>641</v>
      </c>
      <c r="I67" s="74">
        <f t="shared" si="26"/>
        <v>646</v>
      </c>
      <c r="J67" s="74">
        <f t="shared" si="26"/>
        <v>625</v>
      </c>
      <c r="K67" s="74">
        <f t="shared" si="26"/>
        <v>605</v>
      </c>
      <c r="L67" s="74">
        <f t="shared" si="26"/>
        <v>622</v>
      </c>
      <c r="M67" s="74">
        <f t="shared" si="26"/>
        <v>503</v>
      </c>
      <c r="N67" s="74">
        <f t="shared" si="26"/>
        <v>445</v>
      </c>
      <c r="O67" s="74">
        <f t="shared" si="26"/>
        <v>7292</v>
      </c>
      <c r="P67" s="570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 t="shared" ref="C68:N68" si="27">ROUND(((0*C$1*0.005)+(0*C$1*0.02)),0)</f>
        <v>0</v>
      </c>
      <c r="D68" s="74">
        <f t="shared" si="27"/>
        <v>0</v>
      </c>
      <c r="E68" s="74">
        <f t="shared" si="27"/>
        <v>0</v>
      </c>
      <c r="F68" s="74">
        <f t="shared" si="27"/>
        <v>0</v>
      </c>
      <c r="G68" s="74">
        <f t="shared" si="27"/>
        <v>0</v>
      </c>
      <c r="H68" s="74">
        <f t="shared" si="27"/>
        <v>0</v>
      </c>
      <c r="I68" s="74">
        <f t="shared" si="27"/>
        <v>0</v>
      </c>
      <c r="J68" s="74">
        <f t="shared" si="27"/>
        <v>0</v>
      </c>
      <c r="K68" s="74">
        <f t="shared" si="27"/>
        <v>0</v>
      </c>
      <c r="L68" s="74">
        <f t="shared" si="27"/>
        <v>0</v>
      </c>
      <c r="M68" s="74">
        <f t="shared" si="27"/>
        <v>0</v>
      </c>
      <c r="N68" s="74">
        <f t="shared" si="27"/>
        <v>0</v>
      </c>
      <c r="O68" s="74">
        <f t="shared" si="25"/>
        <v>0</v>
      </c>
      <c r="P68" s="570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8">ROUND((C62*C75),0)</f>
        <v>-2378</v>
      </c>
      <c r="D69" s="74">
        <f t="shared" si="28"/>
        <v>-2195</v>
      </c>
      <c r="E69" s="74">
        <f t="shared" si="28"/>
        <v>-2322</v>
      </c>
      <c r="F69" s="74">
        <f t="shared" si="28"/>
        <v>-2063</v>
      </c>
      <c r="G69" s="74">
        <f t="shared" si="28"/>
        <v>-2163</v>
      </c>
      <c r="H69" s="74">
        <f t="shared" si="28"/>
        <v>-2847</v>
      </c>
      <c r="I69" s="74">
        <f t="shared" si="28"/>
        <v>-2862</v>
      </c>
      <c r="J69" s="74">
        <f t="shared" si="28"/>
        <v>-3113</v>
      </c>
      <c r="K69" s="74">
        <f t="shared" si="28"/>
        <v>-2825</v>
      </c>
      <c r="L69" s="74">
        <f t="shared" si="28"/>
        <v>-2918</v>
      </c>
      <c r="M69" s="74">
        <f t="shared" si="28"/>
        <v>-3140</v>
      </c>
      <c r="N69" s="74">
        <f t="shared" si="28"/>
        <v>-3621</v>
      </c>
      <c r="O69" s="74">
        <f t="shared" si="25"/>
        <v>-32447</v>
      </c>
      <c r="P69" s="570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9">(C78-C75)*(C63+C64)</f>
        <v>0</v>
      </c>
      <c r="D70" s="77">
        <f t="shared" si="29"/>
        <v>0</v>
      </c>
      <c r="E70" s="77">
        <f t="shared" si="29"/>
        <v>0</v>
      </c>
      <c r="F70" s="77">
        <f t="shared" si="29"/>
        <v>0</v>
      </c>
      <c r="G70" s="77">
        <f t="shared" si="29"/>
        <v>0</v>
      </c>
      <c r="H70" s="77">
        <f t="shared" si="29"/>
        <v>0</v>
      </c>
      <c r="I70" s="77">
        <f t="shared" si="29"/>
        <v>0</v>
      </c>
      <c r="J70" s="77">
        <f t="shared" si="29"/>
        <v>0</v>
      </c>
      <c r="K70" s="77">
        <f t="shared" si="29"/>
        <v>0</v>
      </c>
      <c r="L70" s="77">
        <f t="shared" si="29"/>
        <v>0</v>
      </c>
      <c r="M70" s="77">
        <f t="shared" si="29"/>
        <v>0</v>
      </c>
      <c r="N70" s="77">
        <f t="shared" si="29"/>
        <v>0</v>
      </c>
      <c r="O70" s="77">
        <f t="shared" si="25"/>
        <v>0</v>
      </c>
      <c r="P70" s="570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30">C63*C75</f>
        <v>-55.908924079999998</v>
      </c>
      <c r="D71" s="77">
        <f t="shared" si="30"/>
        <v>-51.567091520000005</v>
      </c>
      <c r="E71" s="77">
        <f t="shared" si="30"/>
        <v>-54.356679680000006</v>
      </c>
      <c r="F71" s="77">
        <f t="shared" si="30"/>
        <v>-48.866622000000007</v>
      </c>
      <c r="G71" s="77">
        <f t="shared" si="30"/>
        <v>-51.172250559999988</v>
      </c>
      <c r="H71" s="77">
        <f t="shared" si="30"/>
        <v>-57.042341399999991</v>
      </c>
      <c r="I71" s="77">
        <f t="shared" si="30"/>
        <v>-57.480789620000003</v>
      </c>
      <c r="J71" s="77">
        <f t="shared" si="30"/>
        <v>-62.045348039999986</v>
      </c>
      <c r="K71" s="77">
        <f t="shared" si="30"/>
        <v>-56.420631</v>
      </c>
      <c r="L71" s="77">
        <f t="shared" si="30"/>
        <v>-58.232790720000004</v>
      </c>
      <c r="M71" s="77">
        <f t="shared" si="30"/>
        <v>-62.078764799999995</v>
      </c>
      <c r="N71" s="77">
        <f t="shared" si="30"/>
        <v>-71.414328000000012</v>
      </c>
      <c r="O71" s="77">
        <f t="shared" si="25"/>
        <v>-686.58656141999995</v>
      </c>
      <c r="P71" s="570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31">C64*C75</f>
        <v>-27.954462039999999</v>
      </c>
      <c r="D72" s="77">
        <f t="shared" si="31"/>
        <v>-25.783545760000003</v>
      </c>
      <c r="E72" s="77">
        <f t="shared" si="31"/>
        <v>-27.178339840000003</v>
      </c>
      <c r="F72" s="77">
        <f t="shared" si="31"/>
        <v>-24.433311000000003</v>
      </c>
      <c r="G72" s="77">
        <f t="shared" si="31"/>
        <v>-25.586125279999994</v>
      </c>
      <c r="H72" s="77">
        <f t="shared" si="31"/>
        <v>-28.521170699999995</v>
      </c>
      <c r="I72" s="77">
        <f t="shared" si="31"/>
        <v>-28.740394810000002</v>
      </c>
      <c r="J72" s="77">
        <f t="shared" si="31"/>
        <v>-31.022674019999993</v>
      </c>
      <c r="K72" s="77">
        <f t="shared" si="31"/>
        <v>-28.2103155</v>
      </c>
      <c r="L72" s="77">
        <f t="shared" si="31"/>
        <v>-29.116395360000002</v>
      </c>
      <c r="M72" s="77">
        <f t="shared" si="31"/>
        <v>-31.039382399999997</v>
      </c>
      <c r="N72" s="77">
        <f t="shared" si="31"/>
        <v>-35.707164000000006</v>
      </c>
      <c r="O72" s="77">
        <f t="shared" si="25"/>
        <v>-343.29328070999998</v>
      </c>
      <c r="P72" s="570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32">SUM(C66:C72)</f>
        <v>2791.1366138799999</v>
      </c>
      <c r="D73" s="78">
        <f t="shared" si="32"/>
        <v>2485.6493627200002</v>
      </c>
      <c r="E73" s="78">
        <f t="shared" si="32"/>
        <v>2657.4649804800001</v>
      </c>
      <c r="F73" s="78">
        <f t="shared" si="32"/>
        <v>2397.7000669999998</v>
      </c>
      <c r="G73" s="78">
        <f t="shared" si="32"/>
        <v>2470.2416241599999</v>
      </c>
      <c r="H73" s="78">
        <f t="shared" si="32"/>
        <v>2317.4364879</v>
      </c>
      <c r="I73" s="78">
        <f t="shared" si="32"/>
        <v>2644.77881557</v>
      </c>
      <c r="J73" s="78">
        <f t="shared" si="32"/>
        <v>2491.9319779399998</v>
      </c>
      <c r="K73" s="78">
        <f t="shared" si="32"/>
        <v>2564.3690535000001</v>
      </c>
      <c r="L73" s="78">
        <f t="shared" si="32"/>
        <v>2682.65081392</v>
      </c>
      <c r="M73" s="78">
        <f t="shared" si="32"/>
        <v>2380.8818528000002</v>
      </c>
      <c r="N73" s="78">
        <f t="shared" si="32"/>
        <v>2285.8785080000002</v>
      </c>
      <c r="O73" s="78">
        <f t="shared" si="25"/>
        <v>30170.120157870006</v>
      </c>
      <c r="P73" s="570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570"/>
    </row>
    <row r="75" spans="1:18" customFormat="1" x14ac:dyDescent="0.2">
      <c r="A75" s="30" t="s">
        <v>194</v>
      </c>
      <c r="B75" s="29"/>
      <c r="C75" s="30">
        <f>Summary!B361</f>
        <v>2.62</v>
      </c>
      <c r="D75" s="30">
        <f>Summary!C361</f>
        <v>2.62</v>
      </c>
      <c r="E75" s="30">
        <f>Summary!D361</f>
        <v>2.56</v>
      </c>
      <c r="F75" s="30">
        <f>Summary!E361</f>
        <v>2.4500000000000002</v>
      </c>
      <c r="G75" s="30">
        <f>Summary!F361</f>
        <v>2.48</v>
      </c>
      <c r="H75" s="30">
        <f>Summary!G361</f>
        <v>2.5299999999999998</v>
      </c>
      <c r="I75" s="30">
        <f>Summary!H361</f>
        <v>2.57</v>
      </c>
      <c r="J75" s="30">
        <f>Summary!I361</f>
        <v>2.61</v>
      </c>
      <c r="K75" s="30">
        <f>Summary!J361</f>
        <v>2.61</v>
      </c>
      <c r="L75" s="30">
        <f>Summary!K361</f>
        <v>2.62</v>
      </c>
      <c r="M75" s="30">
        <f>Summary!L361</f>
        <v>2.84</v>
      </c>
      <c r="N75" s="30">
        <f>Summary!M361</f>
        <v>3</v>
      </c>
      <c r="O75" s="30">
        <f>AVERAGE(C75:N75)</f>
        <v>2.625833333333333</v>
      </c>
      <c r="P75" s="570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570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570"/>
      <c r="Q77" s="82"/>
      <c r="R77" s="82"/>
    </row>
    <row r="78" spans="1:18" customFormat="1" x14ac:dyDescent="0.2">
      <c r="A78" s="81" t="s">
        <v>197</v>
      </c>
      <c r="B78" s="29"/>
      <c r="C78" s="30">
        <f t="shared" ref="C78:N78" si="33">C75</f>
        <v>2.62</v>
      </c>
      <c r="D78" s="30">
        <f t="shared" si="33"/>
        <v>2.62</v>
      </c>
      <c r="E78" s="30">
        <f t="shared" si="33"/>
        <v>2.56</v>
      </c>
      <c r="F78" s="30">
        <f t="shared" si="33"/>
        <v>2.4500000000000002</v>
      </c>
      <c r="G78" s="30">
        <f t="shared" si="33"/>
        <v>2.48</v>
      </c>
      <c r="H78" s="30">
        <f t="shared" si="33"/>
        <v>2.5299999999999998</v>
      </c>
      <c r="I78" s="30">
        <f t="shared" si="33"/>
        <v>2.57</v>
      </c>
      <c r="J78" s="30">
        <f t="shared" si="33"/>
        <v>2.61</v>
      </c>
      <c r="K78" s="30">
        <f t="shared" si="33"/>
        <v>2.61</v>
      </c>
      <c r="L78" s="30">
        <f t="shared" si="33"/>
        <v>2.62</v>
      </c>
      <c r="M78" s="30">
        <f t="shared" si="33"/>
        <v>2.84</v>
      </c>
      <c r="N78" s="30">
        <f t="shared" si="33"/>
        <v>3</v>
      </c>
      <c r="O78" s="30">
        <f>AVERAGE(C78:N78)</f>
        <v>2.625833333333333</v>
      </c>
      <c r="P78" s="570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570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570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570"/>
    </row>
    <row r="82" spans="1:18" customFormat="1" x14ac:dyDescent="0.2">
      <c r="A82" s="48" t="s">
        <v>199</v>
      </c>
      <c r="B82" s="29"/>
      <c r="C82" s="74">
        <f>ROUND(((5*C$1*5.05)),0)+ROUND(((5*C$1*3.46)),0)+ROUND(((5*C$1*3.3625)),0)</f>
        <v>1840</v>
      </c>
      <c r="D82" s="74">
        <f t="shared" ref="D82:N82" si="34">ROUND(((5*D$1*5.05)),0)+ROUND(((5*D$1*3.46)),0)+ROUND(((5*D$1*3.3625)),0)</f>
        <v>1662</v>
      </c>
      <c r="E82" s="74">
        <f t="shared" si="34"/>
        <v>1840</v>
      </c>
      <c r="F82" s="74">
        <f t="shared" si="34"/>
        <v>1781</v>
      </c>
      <c r="G82" s="74">
        <f t="shared" si="34"/>
        <v>1840</v>
      </c>
      <c r="H82" s="74">
        <f t="shared" si="34"/>
        <v>1781</v>
      </c>
      <c r="I82" s="74">
        <f t="shared" si="34"/>
        <v>1840</v>
      </c>
      <c r="J82" s="74">
        <f t="shared" si="34"/>
        <v>1840</v>
      </c>
      <c r="K82" s="74">
        <f t="shared" si="34"/>
        <v>1781</v>
      </c>
      <c r="L82" s="74">
        <f t="shared" si="34"/>
        <v>1840</v>
      </c>
      <c r="M82" s="74">
        <f t="shared" si="34"/>
        <v>1781</v>
      </c>
      <c r="N82" s="74">
        <f t="shared" si="34"/>
        <v>1840</v>
      </c>
      <c r="O82" s="74">
        <f t="shared" ref="O82:O87" si="35">SUM(C82:N82)</f>
        <v>21666</v>
      </c>
      <c r="P82" s="570"/>
    </row>
    <row r="83" spans="1:18" customFormat="1" x14ac:dyDescent="0.2">
      <c r="A83" s="29" t="s">
        <v>189</v>
      </c>
      <c r="B83" s="29"/>
      <c r="C83" s="74">
        <f t="shared" ref="C83:N83" si="36">ROUND(((0*C$1*0.005)+(0*C$1*0.02)),0)</f>
        <v>0</v>
      </c>
      <c r="D83" s="74">
        <f t="shared" si="36"/>
        <v>0</v>
      </c>
      <c r="E83" s="74">
        <f t="shared" si="36"/>
        <v>0</v>
      </c>
      <c r="F83" s="74">
        <f t="shared" si="36"/>
        <v>0</v>
      </c>
      <c r="G83" s="74">
        <f t="shared" si="36"/>
        <v>0</v>
      </c>
      <c r="H83" s="74">
        <f t="shared" si="36"/>
        <v>0</v>
      </c>
      <c r="I83" s="74">
        <f t="shared" si="36"/>
        <v>0</v>
      </c>
      <c r="J83" s="74">
        <f t="shared" si="36"/>
        <v>0</v>
      </c>
      <c r="K83" s="74">
        <f t="shared" si="36"/>
        <v>0</v>
      </c>
      <c r="L83" s="74">
        <f t="shared" si="36"/>
        <v>0</v>
      </c>
      <c r="M83" s="74">
        <f t="shared" si="36"/>
        <v>0</v>
      </c>
      <c r="N83" s="74">
        <f t="shared" si="36"/>
        <v>0</v>
      </c>
      <c r="O83" s="74">
        <f t="shared" si="35"/>
        <v>0</v>
      </c>
      <c r="P83" s="570"/>
    </row>
    <row r="84" spans="1:18" s="85" customFormat="1" x14ac:dyDescent="0.2">
      <c r="A84" s="83" t="s">
        <v>200</v>
      </c>
      <c r="B84" s="83"/>
      <c r="C84" s="84">
        <f>C73-C82-C83</f>
        <v>951.13661387999991</v>
      </c>
      <c r="D84" s="84">
        <f t="shared" ref="D84:N84" si="37">D73-D82-D83</f>
        <v>823.64936272000023</v>
      </c>
      <c r="E84" s="84">
        <f t="shared" si="37"/>
        <v>817.46498048000012</v>
      </c>
      <c r="F84" s="84">
        <f t="shared" si="37"/>
        <v>616.70006699999976</v>
      </c>
      <c r="G84" s="84">
        <f t="shared" si="37"/>
        <v>630.2416241599999</v>
      </c>
      <c r="H84" s="84">
        <f t="shared" si="37"/>
        <v>536.43648789999997</v>
      </c>
      <c r="I84" s="84">
        <f t="shared" si="37"/>
        <v>804.77881557000001</v>
      </c>
      <c r="J84" s="84">
        <f t="shared" si="37"/>
        <v>651.9319779399998</v>
      </c>
      <c r="K84" s="84">
        <f t="shared" si="37"/>
        <v>783.36905350000006</v>
      </c>
      <c r="L84" s="84">
        <f t="shared" si="37"/>
        <v>842.65081392000002</v>
      </c>
      <c r="M84" s="84">
        <f t="shared" si="37"/>
        <v>599.88185280000016</v>
      </c>
      <c r="N84" s="84">
        <f t="shared" si="37"/>
        <v>445.87850800000024</v>
      </c>
      <c r="O84" s="84">
        <f t="shared" si="35"/>
        <v>8504.1201578700002</v>
      </c>
      <c r="P84" s="807"/>
    </row>
    <row r="85" spans="1:18" s="85" customFormat="1" x14ac:dyDescent="0.2">
      <c r="A85" s="83" t="s">
        <v>788</v>
      </c>
      <c r="B85" s="83"/>
      <c r="C85" s="84">
        <f>-C70-C71-C72</f>
        <v>83.863386120000001</v>
      </c>
      <c r="D85" s="84">
        <f t="shared" ref="D85:N85" si="38">-D70-D71-D72</f>
        <v>77.350637280000001</v>
      </c>
      <c r="E85" s="84">
        <f t="shared" si="38"/>
        <v>81.535019520000006</v>
      </c>
      <c r="F85" s="84">
        <f t="shared" si="38"/>
        <v>73.29993300000001</v>
      </c>
      <c r="G85" s="84">
        <f t="shared" si="38"/>
        <v>76.758375839999985</v>
      </c>
      <c r="H85" s="84">
        <f t="shared" si="38"/>
        <v>85.563512099999983</v>
      </c>
      <c r="I85" s="84">
        <f t="shared" si="38"/>
        <v>86.221184430000008</v>
      </c>
      <c r="J85" s="84">
        <f t="shared" si="38"/>
        <v>93.068022059999976</v>
      </c>
      <c r="K85" s="84">
        <f t="shared" si="38"/>
        <v>84.630946499999993</v>
      </c>
      <c r="L85" s="84">
        <f t="shared" si="38"/>
        <v>87.34918608000001</v>
      </c>
      <c r="M85" s="84">
        <f t="shared" si="38"/>
        <v>93.118147199999996</v>
      </c>
      <c r="N85" s="84">
        <f t="shared" si="38"/>
        <v>107.12149200000002</v>
      </c>
      <c r="O85" s="84">
        <f t="shared" si="35"/>
        <v>1029.87984213</v>
      </c>
      <c r="P85" s="807"/>
    </row>
    <row r="86" spans="1:18" s="76" customFormat="1" x14ac:dyDescent="0.2">
      <c r="A86" s="76" t="s">
        <v>201</v>
      </c>
      <c r="C86" s="86">
        <f t="shared" ref="C86:N86" si="39">SUM(C70:C72)</f>
        <v>-83.863386120000001</v>
      </c>
      <c r="D86" s="86">
        <f t="shared" si="39"/>
        <v>-77.350637280000001</v>
      </c>
      <c r="E86" s="86">
        <f t="shared" si="39"/>
        <v>-81.535019520000006</v>
      </c>
      <c r="F86" s="86">
        <f t="shared" si="39"/>
        <v>-73.29993300000001</v>
      </c>
      <c r="G86" s="86">
        <f t="shared" si="39"/>
        <v>-76.758375839999985</v>
      </c>
      <c r="H86" s="86">
        <f t="shared" si="39"/>
        <v>-85.563512099999983</v>
      </c>
      <c r="I86" s="86">
        <f t="shared" si="39"/>
        <v>-86.221184430000008</v>
      </c>
      <c r="J86" s="86">
        <f t="shared" si="39"/>
        <v>-93.068022059999976</v>
      </c>
      <c r="K86" s="86">
        <f t="shared" si="39"/>
        <v>-84.630946499999993</v>
      </c>
      <c r="L86" s="86">
        <f t="shared" si="39"/>
        <v>-87.34918608000001</v>
      </c>
      <c r="M86" s="86">
        <f t="shared" si="39"/>
        <v>-93.118147199999996</v>
      </c>
      <c r="N86" s="86">
        <f t="shared" si="39"/>
        <v>-107.12149200000002</v>
      </c>
      <c r="O86" s="86">
        <f t="shared" si="35"/>
        <v>-1029.87984213</v>
      </c>
    </row>
    <row r="87" spans="1:18" customFormat="1" x14ac:dyDescent="0.2">
      <c r="A87" s="29" t="s">
        <v>219</v>
      </c>
      <c r="B87" s="29"/>
      <c r="C87" s="74">
        <f t="shared" ref="C87:N87" si="40">SUM(C82:C86)</f>
        <v>2791.1366138799999</v>
      </c>
      <c r="D87" s="74">
        <f t="shared" si="40"/>
        <v>2485.6493627199998</v>
      </c>
      <c r="E87" s="74">
        <f t="shared" si="40"/>
        <v>2657.4649804800001</v>
      </c>
      <c r="F87" s="74">
        <f t="shared" si="40"/>
        <v>2397.7000669999998</v>
      </c>
      <c r="G87" s="74">
        <f t="shared" si="40"/>
        <v>2470.2416241599999</v>
      </c>
      <c r="H87" s="74">
        <f t="shared" si="40"/>
        <v>2317.4364879</v>
      </c>
      <c r="I87" s="74">
        <f t="shared" si="40"/>
        <v>2644.77881557</v>
      </c>
      <c r="J87" s="74">
        <f t="shared" si="40"/>
        <v>2491.9319779400003</v>
      </c>
      <c r="K87" s="74">
        <f t="shared" si="40"/>
        <v>2564.3690535000001</v>
      </c>
      <c r="L87" s="74">
        <f t="shared" si="40"/>
        <v>2682.65081392</v>
      </c>
      <c r="M87" s="74">
        <f t="shared" si="40"/>
        <v>2380.8818528000002</v>
      </c>
      <c r="N87" s="74">
        <f t="shared" si="40"/>
        <v>2285.8785080000002</v>
      </c>
      <c r="O87" s="74">
        <f t="shared" si="35"/>
        <v>30170.120157870006</v>
      </c>
      <c r="P87" s="570"/>
    </row>
    <row r="88" spans="1:18" customFormat="1" x14ac:dyDescent="0.2">
      <c r="A88" s="29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570"/>
    </row>
    <row r="89" spans="1:18" customFormat="1" x14ac:dyDescent="0.2">
      <c r="A89" s="42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87"/>
      <c r="P89" s="570"/>
    </row>
    <row r="90" spans="1:18" customFormat="1" x14ac:dyDescent="0.2">
      <c r="A90" s="29"/>
      <c r="B90" s="29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570"/>
    </row>
    <row r="91" spans="1:18" x14ac:dyDescent="0.2">
      <c r="A91" s="1"/>
      <c r="B91" s="1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Q91" s="68"/>
      <c r="R91" s="68"/>
    </row>
    <row r="92" spans="1:18" ht="15" x14ac:dyDescent="0.25">
      <c r="A92" s="34" t="s">
        <v>625</v>
      </c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109"/>
      <c r="Q92" s="68"/>
      <c r="R92" s="68"/>
    </row>
    <row r="93" spans="1:18" x14ac:dyDescent="0.2">
      <c r="A93" s="29"/>
      <c r="B93" s="29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29"/>
    </row>
    <row r="94" spans="1:18" x14ac:dyDescent="0.2">
      <c r="A94" s="88" t="s">
        <v>202</v>
      </c>
      <c r="B94" s="89"/>
      <c r="C94" s="90">
        <v>5.9999999999999995E-4</v>
      </c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91"/>
    </row>
    <row r="95" spans="1:18" x14ac:dyDescent="0.2">
      <c r="A95" s="92" t="s">
        <v>203</v>
      </c>
      <c r="B95" s="10"/>
      <c r="C95" s="93">
        <f t="shared" ref="C95:N95" si="41">C48*$C$94</f>
        <v>32.008925999999995</v>
      </c>
      <c r="D95" s="93">
        <f t="shared" si="41"/>
        <v>29.523144000000002</v>
      </c>
      <c r="E95" s="93">
        <f t="shared" si="41"/>
        <v>31.849616999999999</v>
      </c>
      <c r="F95" s="93">
        <f t="shared" si="41"/>
        <v>29.918339999999997</v>
      </c>
      <c r="G95" s="93">
        <f t="shared" si="41"/>
        <v>30.950957999999993</v>
      </c>
      <c r="H95" s="93">
        <f t="shared" si="41"/>
        <v>33.819569999999999</v>
      </c>
      <c r="I95" s="93">
        <f t="shared" si="41"/>
        <v>33.549099000000005</v>
      </c>
      <c r="J95" s="93">
        <f t="shared" si="41"/>
        <v>35.658245999999991</v>
      </c>
      <c r="K95" s="93">
        <f t="shared" si="41"/>
        <v>32.425649999999997</v>
      </c>
      <c r="L95" s="93">
        <f t="shared" si="41"/>
        <v>33.339383999999995</v>
      </c>
      <c r="M95" s="93">
        <f t="shared" si="41"/>
        <v>32.788079999999994</v>
      </c>
      <c r="N95" s="93">
        <f t="shared" si="41"/>
        <v>35.707164000000006</v>
      </c>
      <c r="O95" s="94">
        <f>SUM(C95:N95)</f>
        <v>391.53817800000002</v>
      </c>
      <c r="Q95" s="95">
        <f>Q48*0.0006</f>
        <v>420.43984999999998</v>
      </c>
      <c r="R95" s="95">
        <f>R48*0.0006</f>
        <v>502.71814999999992</v>
      </c>
    </row>
    <row r="96" spans="1:18" x14ac:dyDescent="0.2">
      <c r="A96" s="92" t="s">
        <v>25</v>
      </c>
      <c r="B96" s="10"/>
      <c r="C96" s="783">
        <f t="shared" ref="C96:N96" si="42">C78</f>
        <v>2.62</v>
      </c>
      <c r="D96" s="783">
        <f t="shared" si="42"/>
        <v>2.62</v>
      </c>
      <c r="E96" s="783">
        <f t="shared" si="42"/>
        <v>2.56</v>
      </c>
      <c r="F96" s="783">
        <f t="shared" si="42"/>
        <v>2.4500000000000002</v>
      </c>
      <c r="G96" s="783">
        <f t="shared" si="42"/>
        <v>2.48</v>
      </c>
      <c r="H96" s="783">
        <f t="shared" si="42"/>
        <v>2.5299999999999998</v>
      </c>
      <c r="I96" s="783">
        <f t="shared" si="42"/>
        <v>2.57</v>
      </c>
      <c r="J96" s="783">
        <f t="shared" si="42"/>
        <v>2.61</v>
      </c>
      <c r="K96" s="783">
        <f t="shared" si="42"/>
        <v>2.61</v>
      </c>
      <c r="L96" s="783">
        <f t="shared" si="42"/>
        <v>2.62</v>
      </c>
      <c r="M96" s="783">
        <f t="shared" si="42"/>
        <v>2.84</v>
      </c>
      <c r="N96" s="783">
        <f t="shared" si="42"/>
        <v>3</v>
      </c>
      <c r="O96" s="97"/>
      <c r="Q96" s="29">
        <v>2.37</v>
      </c>
      <c r="R96" s="29">
        <v>2.37</v>
      </c>
    </row>
    <row r="97" spans="1:18" x14ac:dyDescent="0.2">
      <c r="A97" s="92" t="s">
        <v>204</v>
      </c>
      <c r="B97" s="10"/>
      <c r="C97" s="98">
        <f t="shared" ref="C97:N97" si="43">C95*C96</f>
        <v>83.863386119999987</v>
      </c>
      <c r="D97" s="98">
        <f t="shared" si="43"/>
        <v>77.350637280000015</v>
      </c>
      <c r="E97" s="98">
        <f t="shared" si="43"/>
        <v>81.535019519999992</v>
      </c>
      <c r="F97" s="98">
        <f t="shared" si="43"/>
        <v>73.299932999999996</v>
      </c>
      <c r="G97" s="98">
        <f t="shared" si="43"/>
        <v>76.758375839999985</v>
      </c>
      <c r="H97" s="98">
        <f t="shared" si="43"/>
        <v>85.563512099999997</v>
      </c>
      <c r="I97" s="98">
        <f t="shared" si="43"/>
        <v>86.221184430000008</v>
      </c>
      <c r="J97" s="98">
        <f t="shared" si="43"/>
        <v>93.068022059999976</v>
      </c>
      <c r="K97" s="98">
        <f t="shared" si="43"/>
        <v>84.630946499999993</v>
      </c>
      <c r="L97" s="98">
        <f t="shared" si="43"/>
        <v>87.349186079999996</v>
      </c>
      <c r="M97" s="98">
        <f t="shared" si="43"/>
        <v>93.118147199999981</v>
      </c>
      <c r="N97" s="98">
        <f t="shared" si="43"/>
        <v>107.12149200000002</v>
      </c>
      <c r="O97" s="99">
        <f>SUM(C97:N97)</f>
        <v>1029.87984213</v>
      </c>
      <c r="Q97" s="95">
        <f>Q95*Q96</f>
        <v>996.44244449999997</v>
      </c>
      <c r="R97" s="95">
        <f>R95*R96</f>
        <v>1191.4420154999998</v>
      </c>
    </row>
    <row r="98" spans="1:18" x14ac:dyDescent="0.2">
      <c r="A98" s="100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101"/>
    </row>
    <row r="99" spans="1:18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</row>
    <row r="100" spans="1:18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8" x14ac:dyDescent="0.2">
      <c r="A101" s="10"/>
      <c r="B101" s="10"/>
      <c r="C101" s="10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8" x14ac:dyDescent="0.2">
      <c r="A102" s="103" t="s">
        <v>205</v>
      </c>
      <c r="B102" s="89"/>
      <c r="C102" s="90">
        <v>5.9999999999999995E-4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91"/>
    </row>
    <row r="103" spans="1:18" x14ac:dyDescent="0.2">
      <c r="A103" s="92" t="s">
        <v>203</v>
      </c>
      <c r="B103" s="10"/>
      <c r="C103" s="93">
        <v>34.413720000000012</v>
      </c>
      <c r="D103" s="93">
        <v>30.64487999999999</v>
      </c>
      <c r="E103" s="93">
        <v>33.522779999999997</v>
      </c>
      <c r="F103" s="93">
        <v>30.898800000000001</v>
      </c>
      <c r="G103" s="93">
        <v>32.828999999999994</v>
      </c>
      <c r="H103" s="93">
        <v>32.477400000000003</v>
      </c>
      <c r="I103" s="93">
        <v>29.583299999999998</v>
      </c>
      <c r="J103" s="93">
        <v>31.15128</v>
      </c>
      <c r="K103" s="93">
        <v>29.003400000000003</v>
      </c>
      <c r="L103" s="93">
        <v>31.692539999999997</v>
      </c>
      <c r="M103" s="93">
        <v>31.388400000000001</v>
      </c>
      <c r="N103" s="93">
        <v>34.374659999999999</v>
      </c>
      <c r="O103" s="94">
        <f>SUM(C103:N103)</f>
        <v>381.98015999999996</v>
      </c>
    </row>
    <row r="104" spans="1:18" x14ac:dyDescent="0.2">
      <c r="A104" s="92" t="s">
        <v>25</v>
      </c>
      <c r="B104" s="10"/>
      <c r="C104" s="96">
        <v>4.5</v>
      </c>
      <c r="D104" s="96">
        <v>4.5</v>
      </c>
      <c r="E104" s="96">
        <v>4.5</v>
      </c>
      <c r="F104" s="96">
        <v>4.5</v>
      </c>
      <c r="G104" s="96">
        <v>4.5</v>
      </c>
      <c r="H104" s="96">
        <v>4.5</v>
      </c>
      <c r="I104" s="96">
        <v>4.5</v>
      </c>
      <c r="J104" s="96">
        <v>4.5</v>
      </c>
      <c r="K104" s="96">
        <v>4.5</v>
      </c>
      <c r="L104" s="96">
        <v>4.5</v>
      </c>
      <c r="M104" s="96">
        <v>4.5</v>
      </c>
      <c r="N104" s="96">
        <v>4.5</v>
      </c>
      <c r="O104" s="97"/>
    </row>
    <row r="105" spans="1:18" x14ac:dyDescent="0.2">
      <c r="A105" s="92" t="s">
        <v>204</v>
      </c>
      <c r="B105" s="10"/>
      <c r="C105" s="98">
        <f t="shared" ref="C105:N105" si="44">C103*C104</f>
        <v>154.86174000000005</v>
      </c>
      <c r="D105" s="98">
        <f t="shared" si="44"/>
        <v>137.90195999999995</v>
      </c>
      <c r="E105" s="98">
        <f t="shared" si="44"/>
        <v>150.85251</v>
      </c>
      <c r="F105" s="98">
        <f t="shared" si="44"/>
        <v>139.0446</v>
      </c>
      <c r="G105" s="98">
        <f t="shared" si="44"/>
        <v>147.73049999999998</v>
      </c>
      <c r="H105" s="98">
        <f t="shared" si="44"/>
        <v>146.14830000000001</v>
      </c>
      <c r="I105" s="98">
        <f t="shared" si="44"/>
        <v>133.12484999999998</v>
      </c>
      <c r="J105" s="98">
        <f t="shared" si="44"/>
        <v>140.18075999999999</v>
      </c>
      <c r="K105" s="98">
        <f t="shared" si="44"/>
        <v>130.51530000000002</v>
      </c>
      <c r="L105" s="98">
        <f t="shared" si="44"/>
        <v>142.61642999999998</v>
      </c>
      <c r="M105" s="98">
        <f t="shared" si="44"/>
        <v>141.24780000000001</v>
      </c>
      <c r="N105" s="98">
        <f t="shared" si="44"/>
        <v>154.68597</v>
      </c>
      <c r="O105" s="99">
        <f>SUM(C105:N105)</f>
        <v>1718.9107200000001</v>
      </c>
    </row>
    <row r="106" spans="1:18" x14ac:dyDescent="0.2">
      <c r="A106" s="100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101"/>
    </row>
    <row r="109" spans="1:18" x14ac:dyDescent="0.2">
      <c r="A109" s="103" t="s">
        <v>40</v>
      </c>
      <c r="B109" s="89"/>
      <c r="C109" s="90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91"/>
    </row>
    <row r="110" spans="1:18" x14ac:dyDescent="0.2">
      <c r="A110" s="92" t="s">
        <v>206</v>
      </c>
      <c r="B110" s="10"/>
      <c r="C110" s="93">
        <f t="shared" ref="C110:N110" si="45">(C59+C62+C63+C64)/C1</f>
        <v>26.716578161290325</v>
      </c>
      <c r="D110" s="93">
        <f t="shared" si="45"/>
        <v>26.234506428571429</v>
      </c>
      <c r="E110" s="93">
        <f t="shared" si="45"/>
        <v>25.310765903225814</v>
      </c>
      <c r="F110" s="93">
        <f t="shared" si="45"/>
        <v>23.40825766666666</v>
      </c>
      <c r="G110" s="93">
        <f t="shared" si="45"/>
        <v>23.190175225806453</v>
      </c>
      <c r="H110" s="93">
        <f t="shared" si="45"/>
        <v>22.087837333333344</v>
      </c>
      <c r="I110" s="93">
        <f t="shared" si="45"/>
        <v>25.089209612903225</v>
      </c>
      <c r="J110" s="93">
        <f t="shared" si="45"/>
        <v>23.070981903225807</v>
      </c>
      <c r="K110" s="93">
        <f t="shared" si="45"/>
        <v>25.029204666666679</v>
      </c>
      <c r="L110" s="93">
        <f t="shared" si="45"/>
        <v>25.372814129032264</v>
      </c>
      <c r="M110" s="93">
        <f t="shared" si="45"/>
        <v>22.044852000000002</v>
      </c>
      <c r="N110" s="93">
        <f t="shared" si="45"/>
        <v>19.798075645161294</v>
      </c>
      <c r="O110" s="94">
        <f>SUM(C110:N110)</f>
        <v>287.3532586758833</v>
      </c>
      <c r="P110" s="808">
        <f>O110/12</f>
        <v>23.94610488965694</v>
      </c>
    </row>
    <row r="111" spans="1:18" x14ac:dyDescent="0.2">
      <c r="A111" s="971" t="s">
        <v>207</v>
      </c>
      <c r="B111" s="10"/>
      <c r="C111" s="104">
        <v>15</v>
      </c>
      <c r="D111" s="104">
        <v>15</v>
      </c>
      <c r="E111" s="104">
        <v>15</v>
      </c>
      <c r="F111" s="104">
        <v>15</v>
      </c>
      <c r="G111" s="104">
        <v>15</v>
      </c>
      <c r="H111" s="104">
        <v>15</v>
      </c>
      <c r="I111" s="104">
        <v>15</v>
      </c>
      <c r="J111" s="104">
        <v>15</v>
      </c>
      <c r="K111" s="104">
        <v>15</v>
      </c>
      <c r="L111" s="104">
        <v>15</v>
      </c>
      <c r="M111" s="104">
        <v>15</v>
      </c>
      <c r="N111" s="104">
        <v>15</v>
      </c>
      <c r="O111" s="94">
        <f>SUM(C111:N111)</f>
        <v>180</v>
      </c>
      <c r="P111" s="808">
        <f>O111/12</f>
        <v>15</v>
      </c>
    </row>
    <row r="112" spans="1:18" x14ac:dyDescent="0.2">
      <c r="A112" s="92" t="s">
        <v>208</v>
      </c>
      <c r="B112" s="10"/>
      <c r="C112" s="105">
        <f t="shared" ref="C112:N112" si="46">C110-C111</f>
        <v>11.716578161290325</v>
      </c>
      <c r="D112" s="105">
        <f t="shared" si="46"/>
        <v>11.234506428571429</v>
      </c>
      <c r="E112" s="105">
        <f t="shared" si="46"/>
        <v>10.310765903225814</v>
      </c>
      <c r="F112" s="105">
        <f t="shared" si="46"/>
        <v>8.4082576666666604</v>
      </c>
      <c r="G112" s="105">
        <f t="shared" si="46"/>
        <v>8.1901752258064526</v>
      </c>
      <c r="H112" s="105">
        <f t="shared" si="46"/>
        <v>7.0878373333333435</v>
      </c>
      <c r="I112" s="105">
        <f t="shared" si="46"/>
        <v>10.089209612903225</v>
      </c>
      <c r="J112" s="105">
        <f t="shared" si="46"/>
        <v>8.0709819032258068</v>
      </c>
      <c r="K112" s="105">
        <f t="shared" si="46"/>
        <v>10.029204666666679</v>
      </c>
      <c r="L112" s="105">
        <f t="shared" si="46"/>
        <v>10.372814129032264</v>
      </c>
      <c r="M112" s="105">
        <f t="shared" si="46"/>
        <v>7.0448520000000023</v>
      </c>
      <c r="N112" s="105">
        <f t="shared" si="46"/>
        <v>4.798075645161294</v>
      </c>
      <c r="O112" s="94">
        <f>SUM(C112:N112)</f>
        <v>107.3532586758833</v>
      </c>
      <c r="P112" s="808">
        <f>O112/12</f>
        <v>8.9461048896569419</v>
      </c>
    </row>
    <row r="113" spans="1:19" x14ac:dyDescent="0.2">
      <c r="A113" s="100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101"/>
    </row>
    <row r="115" spans="1:19" x14ac:dyDescent="0.2">
      <c r="F115" s="106">
        <f ca="1">(NOW())</f>
        <v>41885.92788761574</v>
      </c>
    </row>
    <row r="119" spans="1:19" x14ac:dyDescent="0.2">
      <c r="C119" s="5" t="s">
        <v>57</v>
      </c>
      <c r="D119" s="5" t="s">
        <v>58</v>
      </c>
      <c r="E119" s="5" t="s">
        <v>59</v>
      </c>
      <c r="F119" s="107" t="s">
        <v>60</v>
      </c>
      <c r="G119" s="5" t="s">
        <v>1</v>
      </c>
      <c r="H119" s="5" t="s">
        <v>61</v>
      </c>
      <c r="I119" s="5" t="s">
        <v>62</v>
      </c>
      <c r="J119" s="5" t="s">
        <v>63</v>
      </c>
      <c r="K119" s="5" t="s">
        <v>64</v>
      </c>
      <c r="L119" s="5" t="s">
        <v>65</v>
      </c>
      <c r="M119" s="5" t="s">
        <v>66</v>
      </c>
      <c r="N119" s="5" t="s">
        <v>67</v>
      </c>
      <c r="O119" s="43" t="s">
        <v>2</v>
      </c>
      <c r="P119" s="43" t="s">
        <v>663</v>
      </c>
      <c r="Q119" s="43">
        <v>2003</v>
      </c>
      <c r="R119" s="43">
        <v>2004</v>
      </c>
      <c r="S119" s="43"/>
    </row>
    <row r="121" spans="1:19" x14ac:dyDescent="0.2">
      <c r="A121" s="860" t="s">
        <v>697</v>
      </c>
    </row>
    <row r="122" spans="1:19" x14ac:dyDescent="0.2">
      <c r="A122" s="860" t="s">
        <v>703</v>
      </c>
    </row>
    <row r="123" spans="1:19" x14ac:dyDescent="0.2">
      <c r="A123" s="860" t="s">
        <v>698</v>
      </c>
      <c r="C123" s="70">
        <f t="shared" ref="C123:N123" si="47">C57+C58</f>
        <v>157.40900999999997</v>
      </c>
      <c r="D123" s="70">
        <f t="shared" si="47"/>
        <v>143.96675999999999</v>
      </c>
      <c r="E123" s="70">
        <f t="shared" si="47"/>
        <v>149.24639999999999</v>
      </c>
      <c r="F123" s="70">
        <f t="shared" si="47"/>
        <v>184.46429999999998</v>
      </c>
      <c r="G123" s="70">
        <f t="shared" si="47"/>
        <v>187.49110000000002</v>
      </c>
      <c r="H123" s="70">
        <f t="shared" si="47"/>
        <v>179.75310000000002</v>
      </c>
      <c r="I123" s="70">
        <f t="shared" si="47"/>
        <v>181.35403000000002</v>
      </c>
      <c r="J123" s="70">
        <f t="shared" si="47"/>
        <v>176.27064999999999</v>
      </c>
      <c r="K123" s="70">
        <f t="shared" si="47"/>
        <v>162.63210000000001</v>
      </c>
      <c r="L123" s="70">
        <f t="shared" si="47"/>
        <v>163.90878000000001</v>
      </c>
      <c r="M123" s="70">
        <f t="shared" si="47"/>
        <v>174.06360000000001</v>
      </c>
      <c r="N123" s="70">
        <f t="shared" si="47"/>
        <v>185.04240999999999</v>
      </c>
      <c r="O123" s="70">
        <f>SUM(C123:N123)</f>
        <v>2045.6022399999999</v>
      </c>
      <c r="P123" s="29">
        <f>ROUND(O123/12,1)</f>
        <v>170.5</v>
      </c>
    </row>
    <row r="124" spans="1:19" x14ac:dyDescent="0.2">
      <c r="A124" s="860" t="s">
        <v>700</v>
      </c>
      <c r="C124" s="70">
        <f t="shared" ref="C124:N124" si="48">SUM(C52:C56)</f>
        <v>1610.33375</v>
      </c>
      <c r="D124" s="70">
        <f t="shared" si="48"/>
        <v>1458.086</v>
      </c>
      <c r="E124" s="70">
        <f t="shared" si="48"/>
        <v>1574.1180000000002</v>
      </c>
      <c r="F124" s="70">
        <f t="shared" si="48"/>
        <v>1389.6524999999999</v>
      </c>
      <c r="G124" s="70">
        <f t="shared" si="48"/>
        <v>1434.3855000000001</v>
      </c>
      <c r="H124" s="70">
        <f t="shared" si="48"/>
        <v>1641.93</v>
      </c>
      <c r="I124" s="70">
        <f t="shared" si="48"/>
        <v>1743.44</v>
      </c>
      <c r="J124" s="70">
        <f t="shared" si="48"/>
        <v>1767.25575</v>
      </c>
      <c r="K124" s="70">
        <f t="shared" si="48"/>
        <v>1702.9650000000004</v>
      </c>
      <c r="L124" s="70">
        <f t="shared" si="48"/>
        <v>1769.8675000000003</v>
      </c>
      <c r="M124" s="70">
        <f t="shared" si="48"/>
        <v>1625.73</v>
      </c>
      <c r="N124" s="70">
        <f t="shared" si="48"/>
        <v>1671.34175</v>
      </c>
      <c r="O124" s="70">
        <f>SUM(C124:N124)</f>
        <v>19389.105750000002</v>
      </c>
      <c r="P124" s="29">
        <f>ROUND(O124/12,1)</f>
        <v>1615.8</v>
      </c>
    </row>
    <row r="125" spans="1:19" x14ac:dyDescent="0.2">
      <c r="A125" s="860" t="s">
        <v>705</v>
      </c>
      <c r="C125" s="70">
        <f t="shared" ref="C125:P125" si="49">SUM(C123:C124)</f>
        <v>1767.7427600000001</v>
      </c>
      <c r="D125" s="70">
        <f t="shared" si="49"/>
        <v>1602.05276</v>
      </c>
      <c r="E125" s="70">
        <f t="shared" si="49"/>
        <v>1723.3644000000002</v>
      </c>
      <c r="F125" s="70">
        <f t="shared" si="49"/>
        <v>1574.1167999999998</v>
      </c>
      <c r="G125" s="70">
        <f t="shared" si="49"/>
        <v>1621.8766000000001</v>
      </c>
      <c r="H125" s="70">
        <f t="shared" si="49"/>
        <v>1821.6831000000002</v>
      </c>
      <c r="I125" s="70">
        <f t="shared" si="49"/>
        <v>1924.79403</v>
      </c>
      <c r="J125" s="70">
        <f t="shared" si="49"/>
        <v>1943.5264</v>
      </c>
      <c r="K125" s="70">
        <f t="shared" si="49"/>
        <v>1865.5971000000004</v>
      </c>
      <c r="L125" s="70">
        <f t="shared" si="49"/>
        <v>1933.7762800000003</v>
      </c>
      <c r="M125" s="70">
        <f t="shared" si="49"/>
        <v>1799.7936</v>
      </c>
      <c r="N125" s="70">
        <f t="shared" si="49"/>
        <v>1856.3841600000001</v>
      </c>
      <c r="O125" s="70">
        <f t="shared" si="49"/>
        <v>21434.707990000003</v>
      </c>
      <c r="P125" s="70">
        <f t="shared" si="49"/>
        <v>1786.3</v>
      </c>
    </row>
    <row r="126" spans="1:19" x14ac:dyDescent="0.2">
      <c r="A126" s="86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702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</row>
    <row r="128" spans="1:19" x14ac:dyDescent="0.2">
      <c r="A128" s="860" t="s">
        <v>701</v>
      </c>
      <c r="C128" s="70">
        <f t="shared" ref="C128:N128" si="50">SUM(C17:C18)</f>
        <v>371.49400000000003</v>
      </c>
      <c r="D128" s="70">
        <f t="shared" si="50"/>
        <v>375.49399999999997</v>
      </c>
      <c r="E128" s="70">
        <f t="shared" si="50"/>
        <v>351.69400000000002</v>
      </c>
      <c r="F128" s="70">
        <f t="shared" si="50"/>
        <v>448.91999999999996</v>
      </c>
      <c r="G128" s="70">
        <f t="shared" si="50"/>
        <v>442.39100000000002</v>
      </c>
      <c r="H128" s="70">
        <f t="shared" si="50"/>
        <v>438.18599999999998</v>
      </c>
      <c r="I128" s="70">
        <f t="shared" si="50"/>
        <v>426.37700000000001</v>
      </c>
      <c r="J128" s="70">
        <f t="shared" si="50"/>
        <v>415.86699999999996</v>
      </c>
      <c r="K128" s="70">
        <f t="shared" si="50"/>
        <v>394.26299999999998</v>
      </c>
      <c r="L128" s="70">
        <f t="shared" si="50"/>
        <v>387.04</v>
      </c>
      <c r="M128" s="70">
        <f t="shared" si="50"/>
        <v>424.40999999999997</v>
      </c>
      <c r="N128" s="70">
        <f t="shared" si="50"/>
        <v>437.15000000000003</v>
      </c>
      <c r="O128" s="70">
        <f>SUM(C128:N128)</f>
        <v>4913.2859999999991</v>
      </c>
      <c r="P128" s="29">
        <f>ROUND(O128/12,1)</f>
        <v>409.4</v>
      </c>
    </row>
    <row r="129" spans="1:16" x14ac:dyDescent="0.2">
      <c r="A129" s="860" t="s">
        <v>699</v>
      </c>
      <c r="C129" s="28">
        <f t="shared" ref="C129:N129" si="51">SUM(C12:C16)</f>
        <v>2003.4739999999997</v>
      </c>
      <c r="D129" s="28">
        <f t="shared" si="51"/>
        <v>2037.9769999999999</v>
      </c>
      <c r="E129" s="28">
        <f t="shared" si="51"/>
        <v>1984.0690000000002</v>
      </c>
      <c r="F129" s="28">
        <f t="shared" si="51"/>
        <v>1811.7779999999998</v>
      </c>
      <c r="G129" s="28">
        <f t="shared" si="51"/>
        <v>1805.8449999999998</v>
      </c>
      <c r="H129" s="28">
        <f t="shared" si="51"/>
        <v>2002.8420000000001</v>
      </c>
      <c r="I129" s="28">
        <f t="shared" si="51"/>
        <v>2011.3430000000001</v>
      </c>
      <c r="J129" s="28">
        <f t="shared" si="51"/>
        <v>2091.0590000000002</v>
      </c>
      <c r="K129" s="28">
        <f t="shared" si="51"/>
        <v>2023.4559999999999</v>
      </c>
      <c r="L129" s="28">
        <f t="shared" si="51"/>
        <v>2025.7490000000003</v>
      </c>
      <c r="M129" s="28">
        <f t="shared" si="51"/>
        <v>2012.4739999999999</v>
      </c>
      <c r="N129" s="28">
        <f t="shared" si="51"/>
        <v>2061.7089999999998</v>
      </c>
      <c r="O129" s="70">
        <f>SUM(C129:N129)</f>
        <v>23871.774999999994</v>
      </c>
      <c r="P129" s="29">
        <f>ROUND(O129/12,1)</f>
        <v>1989.3</v>
      </c>
    </row>
    <row r="130" spans="1:16" x14ac:dyDescent="0.2">
      <c r="A130" s="860"/>
      <c r="C130" s="70">
        <f t="shared" ref="C130:P130" si="52">SUM(C128:C129)</f>
        <v>2374.9679999999998</v>
      </c>
      <c r="D130" s="70">
        <f t="shared" si="52"/>
        <v>2413.471</v>
      </c>
      <c r="E130" s="70">
        <f t="shared" si="52"/>
        <v>2335.7630000000004</v>
      </c>
      <c r="F130" s="70">
        <f t="shared" si="52"/>
        <v>2260.6979999999999</v>
      </c>
      <c r="G130" s="70">
        <f t="shared" si="52"/>
        <v>2248.2359999999999</v>
      </c>
      <c r="H130" s="70">
        <f t="shared" si="52"/>
        <v>2441.0280000000002</v>
      </c>
      <c r="I130" s="70">
        <f t="shared" si="52"/>
        <v>2437.7200000000003</v>
      </c>
      <c r="J130" s="70">
        <f t="shared" si="52"/>
        <v>2506.9260000000004</v>
      </c>
      <c r="K130" s="70">
        <f t="shared" si="52"/>
        <v>2417.7190000000001</v>
      </c>
      <c r="L130" s="70">
        <f t="shared" si="52"/>
        <v>2412.7890000000002</v>
      </c>
      <c r="M130" s="70">
        <f t="shared" si="52"/>
        <v>2436.884</v>
      </c>
      <c r="N130" s="70">
        <f t="shared" si="52"/>
        <v>2498.8589999999999</v>
      </c>
      <c r="O130" s="70">
        <f t="shared" si="52"/>
        <v>28785.060999999994</v>
      </c>
      <c r="P130" s="70">
        <f t="shared" si="52"/>
        <v>2398.6999999999998</v>
      </c>
    </row>
    <row r="131" spans="1:16" x14ac:dyDescent="0.2">
      <c r="A131" s="860" t="s">
        <v>706</v>
      </c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6" x14ac:dyDescent="0.2">
      <c r="A132" s="860" t="s">
        <v>711</v>
      </c>
      <c r="C132" s="70">
        <f>C123*1.1</f>
        <v>173.14991099999997</v>
      </c>
      <c r="D132" s="70">
        <f t="shared" ref="D132:N132" si="53">D123*1.1</f>
        <v>158.36343600000001</v>
      </c>
      <c r="E132" s="70">
        <f t="shared" si="53"/>
        <v>164.17104</v>
      </c>
      <c r="F132" s="70">
        <f t="shared" si="53"/>
        <v>202.91073</v>
      </c>
      <c r="G132" s="70">
        <f t="shared" si="53"/>
        <v>206.24021000000005</v>
      </c>
      <c r="H132" s="70">
        <f t="shared" si="53"/>
        <v>197.72841000000003</v>
      </c>
      <c r="I132" s="70">
        <f t="shared" si="53"/>
        <v>199.48943300000005</v>
      </c>
      <c r="J132" s="70">
        <f t="shared" si="53"/>
        <v>193.89771500000001</v>
      </c>
      <c r="K132" s="70">
        <f t="shared" si="53"/>
        <v>178.89531000000002</v>
      </c>
      <c r="L132" s="70">
        <f t="shared" si="53"/>
        <v>180.29965800000002</v>
      </c>
      <c r="M132" s="70">
        <f t="shared" si="53"/>
        <v>191.46996000000001</v>
      </c>
      <c r="N132" s="70">
        <f t="shared" si="53"/>
        <v>203.546651</v>
      </c>
      <c r="O132" s="70">
        <f>SUM(C132:N132)</f>
        <v>2250.162464</v>
      </c>
      <c r="P132" s="29">
        <f>ROUND(O132/12,1)</f>
        <v>187.5</v>
      </c>
    </row>
    <row r="133" spans="1:16" x14ac:dyDescent="0.2">
      <c r="A133" s="860" t="s">
        <v>704</v>
      </c>
      <c r="C133" s="29">
        <f t="shared" ref="C133:N133" si="54">ROUND((C129-C16)*C79*C1,2)</f>
        <v>734.37</v>
      </c>
      <c r="D133" s="29">
        <f t="shared" si="54"/>
        <v>679.6</v>
      </c>
      <c r="E133" s="29">
        <f t="shared" si="54"/>
        <v>742.71</v>
      </c>
      <c r="F133" s="29">
        <f t="shared" si="54"/>
        <v>639.04</v>
      </c>
      <c r="G133" s="29">
        <f t="shared" si="54"/>
        <v>665.79</v>
      </c>
      <c r="H133" s="29">
        <f t="shared" si="54"/>
        <v>927.5</v>
      </c>
      <c r="I133" s="29">
        <f t="shared" si="54"/>
        <v>913.99</v>
      </c>
      <c r="J133" s="29">
        <f t="shared" si="54"/>
        <v>998.77</v>
      </c>
      <c r="K133" s="29">
        <f t="shared" si="54"/>
        <v>903.4</v>
      </c>
      <c r="L133" s="29">
        <f t="shared" si="54"/>
        <v>933.58</v>
      </c>
      <c r="M133" s="29">
        <f t="shared" si="54"/>
        <v>914.19</v>
      </c>
      <c r="N133" s="29">
        <f t="shared" si="54"/>
        <v>1003.39</v>
      </c>
      <c r="O133" s="70">
        <f>SUM(C133:N133)</f>
        <v>10056.33</v>
      </c>
      <c r="P133" s="29">
        <f>ROUND(O133/12,1)</f>
        <v>838</v>
      </c>
    </row>
    <row r="134" spans="1:16" x14ac:dyDescent="0.2">
      <c r="A134" s="860"/>
      <c r="C134" s="70">
        <f t="shared" ref="C134:P134" si="55">SUM(C132:C133)</f>
        <v>907.51991099999998</v>
      </c>
      <c r="D134" s="70">
        <f t="shared" si="55"/>
        <v>837.963436</v>
      </c>
      <c r="E134" s="70">
        <f t="shared" si="55"/>
        <v>906.88103999999998</v>
      </c>
      <c r="F134" s="70">
        <f t="shared" si="55"/>
        <v>841.95073000000002</v>
      </c>
      <c r="G134" s="70">
        <f t="shared" si="55"/>
        <v>872.03021000000001</v>
      </c>
      <c r="H134" s="70">
        <f t="shared" si="55"/>
        <v>1125.2284099999999</v>
      </c>
      <c r="I134" s="70">
        <f t="shared" si="55"/>
        <v>1113.479433</v>
      </c>
      <c r="J134" s="70">
        <f t="shared" si="55"/>
        <v>1192.667715</v>
      </c>
      <c r="K134" s="70">
        <f t="shared" si="55"/>
        <v>1082.29531</v>
      </c>
      <c r="L134" s="70">
        <f t="shared" si="55"/>
        <v>1113.8796580000001</v>
      </c>
      <c r="M134" s="70">
        <f t="shared" si="55"/>
        <v>1105.65996</v>
      </c>
      <c r="N134" s="70">
        <f t="shared" si="55"/>
        <v>1206.936651</v>
      </c>
      <c r="O134" s="70">
        <f t="shared" si="55"/>
        <v>12306.492463999999</v>
      </c>
      <c r="P134" s="70">
        <f t="shared" si="55"/>
        <v>1025.5</v>
      </c>
    </row>
    <row r="135" spans="1:16" x14ac:dyDescent="0.2">
      <c r="A135" s="86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6" x14ac:dyDescent="0.2">
      <c r="A136" s="860" t="s">
        <v>707</v>
      </c>
      <c r="C136" s="71">
        <f t="shared" ref="C136:P136" si="56">-C62</f>
        <v>907.51991099999998</v>
      </c>
      <c r="D136" s="71">
        <f t="shared" si="56"/>
        <v>837.963436</v>
      </c>
      <c r="E136" s="71">
        <f t="shared" si="56"/>
        <v>906.88103999999998</v>
      </c>
      <c r="F136" s="71">
        <f t="shared" si="56"/>
        <v>841.95073000000002</v>
      </c>
      <c r="G136" s="71">
        <f t="shared" si="56"/>
        <v>872.03021000000001</v>
      </c>
      <c r="H136" s="71">
        <f t="shared" si="56"/>
        <v>1125.2284099999999</v>
      </c>
      <c r="I136" s="71">
        <f t="shared" si="56"/>
        <v>1113.479433</v>
      </c>
      <c r="J136" s="71">
        <f t="shared" si="56"/>
        <v>1192.667715</v>
      </c>
      <c r="K136" s="71">
        <f t="shared" si="56"/>
        <v>1082.29531</v>
      </c>
      <c r="L136" s="71">
        <f t="shared" si="56"/>
        <v>1113.8796580000001</v>
      </c>
      <c r="M136" s="71">
        <f t="shared" si="56"/>
        <v>1105.65996</v>
      </c>
      <c r="N136" s="71">
        <f t="shared" si="56"/>
        <v>1206.936651</v>
      </c>
      <c r="O136" s="71">
        <f t="shared" si="56"/>
        <v>12306.492463999999</v>
      </c>
      <c r="P136" s="71">
        <f t="shared" si="56"/>
        <v>33.716417709589038</v>
      </c>
    </row>
    <row r="137" spans="1:16" x14ac:dyDescent="0.2">
      <c r="A137" s="86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6" x14ac:dyDescent="0.2">
      <c r="A138" s="65" t="s">
        <v>710</v>
      </c>
      <c r="C138" s="70">
        <f t="shared" ref="C138:P138" si="57">C134-C136</f>
        <v>0</v>
      </c>
      <c r="D138" s="70">
        <f t="shared" si="57"/>
        <v>0</v>
      </c>
      <c r="E138" s="70">
        <f t="shared" si="57"/>
        <v>0</v>
      </c>
      <c r="F138" s="70">
        <f t="shared" si="57"/>
        <v>0</v>
      </c>
      <c r="G138" s="70">
        <f t="shared" si="57"/>
        <v>0</v>
      </c>
      <c r="H138" s="70">
        <f t="shared" si="57"/>
        <v>0</v>
      </c>
      <c r="I138" s="70">
        <f t="shared" si="57"/>
        <v>0</v>
      </c>
      <c r="J138" s="70">
        <f t="shared" si="57"/>
        <v>0</v>
      </c>
      <c r="K138" s="70">
        <f t="shared" si="57"/>
        <v>0</v>
      </c>
      <c r="L138" s="70">
        <f t="shared" si="57"/>
        <v>0</v>
      </c>
      <c r="M138" s="70">
        <f t="shared" si="57"/>
        <v>0</v>
      </c>
      <c r="N138" s="70">
        <f t="shared" si="57"/>
        <v>0</v>
      </c>
      <c r="O138" s="70">
        <f t="shared" si="57"/>
        <v>0</v>
      </c>
      <c r="P138" s="70">
        <f t="shared" si="57"/>
        <v>991.783582290411</v>
      </c>
    </row>
    <row r="140" spans="1:16" x14ac:dyDescent="0.2">
      <c r="A140" s="65" t="s">
        <v>708</v>
      </c>
      <c r="C140" s="70">
        <f t="shared" ref="C140:P140" si="58">C75</f>
        <v>2.62</v>
      </c>
      <c r="D140" s="70">
        <f t="shared" si="58"/>
        <v>2.62</v>
      </c>
      <c r="E140" s="70">
        <f t="shared" si="58"/>
        <v>2.56</v>
      </c>
      <c r="F140" s="70">
        <f t="shared" si="58"/>
        <v>2.4500000000000002</v>
      </c>
      <c r="G140" s="70">
        <f t="shared" si="58"/>
        <v>2.48</v>
      </c>
      <c r="H140" s="70">
        <f t="shared" si="58"/>
        <v>2.5299999999999998</v>
      </c>
      <c r="I140" s="70">
        <f t="shared" si="58"/>
        <v>2.57</v>
      </c>
      <c r="J140" s="70">
        <f t="shared" si="58"/>
        <v>2.61</v>
      </c>
      <c r="K140" s="70">
        <f t="shared" si="58"/>
        <v>2.61</v>
      </c>
      <c r="L140" s="70">
        <f t="shared" si="58"/>
        <v>2.62</v>
      </c>
      <c r="M140" s="70">
        <f t="shared" si="58"/>
        <v>2.84</v>
      </c>
      <c r="N140" s="70">
        <f t="shared" si="58"/>
        <v>3</v>
      </c>
      <c r="O140" s="70">
        <f t="shared" si="58"/>
        <v>2.625833333333333</v>
      </c>
      <c r="P140" s="70">
        <f t="shared" si="58"/>
        <v>0</v>
      </c>
    </row>
    <row r="141" spans="1:16" x14ac:dyDescent="0.2"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</row>
    <row r="142" spans="1:16" x14ac:dyDescent="0.2">
      <c r="A142" s="65" t="s">
        <v>709</v>
      </c>
      <c r="C142" s="70">
        <f t="shared" ref="C142:P142" si="59">C138*C140</f>
        <v>0</v>
      </c>
      <c r="D142" s="70">
        <f t="shared" si="59"/>
        <v>0</v>
      </c>
      <c r="E142" s="70">
        <f t="shared" si="59"/>
        <v>0</v>
      </c>
      <c r="F142" s="70">
        <f t="shared" si="59"/>
        <v>0</v>
      </c>
      <c r="G142" s="70">
        <f t="shared" si="59"/>
        <v>0</v>
      </c>
      <c r="H142" s="70">
        <f t="shared" si="59"/>
        <v>0</v>
      </c>
      <c r="I142" s="70">
        <f t="shared" si="59"/>
        <v>0</v>
      </c>
      <c r="J142" s="70">
        <f t="shared" si="59"/>
        <v>0</v>
      </c>
      <c r="K142" s="70">
        <f t="shared" si="59"/>
        <v>0</v>
      </c>
      <c r="L142" s="70">
        <f t="shared" si="59"/>
        <v>0</v>
      </c>
      <c r="M142" s="70">
        <f t="shared" si="59"/>
        <v>0</v>
      </c>
      <c r="N142" s="70">
        <f t="shared" si="59"/>
        <v>0</v>
      </c>
      <c r="O142" s="70">
        <f t="shared" si="59"/>
        <v>0</v>
      </c>
      <c r="P142" s="70">
        <f t="shared" si="59"/>
        <v>0</v>
      </c>
    </row>
    <row r="145" spans="1:16" x14ac:dyDescent="0.2">
      <c r="A145" s="1086" t="s">
        <v>795</v>
      </c>
      <c r="B145" s="860"/>
      <c r="C145" s="860"/>
      <c r="D145" s="860"/>
      <c r="E145" s="860"/>
      <c r="F145" s="860"/>
      <c r="G145" s="860"/>
      <c r="H145" s="860"/>
      <c r="I145" s="860"/>
      <c r="J145" s="860"/>
      <c r="K145" s="860"/>
      <c r="L145" s="860"/>
      <c r="M145" s="860"/>
      <c r="N145" s="860"/>
      <c r="O145" s="860"/>
    </row>
    <row r="146" spans="1:16" x14ac:dyDescent="0.2">
      <c r="A146" s="1087" t="s">
        <v>799</v>
      </c>
      <c r="B146" s="860"/>
      <c r="C146" s="860"/>
      <c r="D146" s="860"/>
      <c r="E146" s="860"/>
      <c r="F146" s="860"/>
      <c r="G146" s="860"/>
      <c r="H146" s="860"/>
      <c r="I146" s="860"/>
      <c r="J146" s="860"/>
      <c r="K146" s="860"/>
      <c r="L146" s="860"/>
      <c r="M146" s="860"/>
      <c r="N146" s="860"/>
      <c r="O146" s="860"/>
    </row>
    <row r="147" spans="1:16" x14ac:dyDescent="0.2">
      <c r="A147" s="860" t="s">
        <v>796</v>
      </c>
      <c r="B147" s="860"/>
      <c r="C147" s="860">
        <f>C21*C1*0.018</f>
        <v>-13.196699999999998</v>
      </c>
      <c r="D147" s="860">
        <f t="shared" ref="D147:N147" si="60">D21*D1*0.018</f>
        <v>-12.058199999999999</v>
      </c>
      <c r="E147" s="860">
        <f t="shared" si="60"/>
        <v>-14.424299999999999</v>
      </c>
      <c r="F147" s="860">
        <f t="shared" si="60"/>
        <v>-12.177</v>
      </c>
      <c r="G147" s="860">
        <f t="shared" si="60"/>
        <v>-13.350150000000001</v>
      </c>
      <c r="H147" s="860">
        <f t="shared" si="60"/>
        <v>-13.661999999999999</v>
      </c>
      <c r="I147" s="860">
        <f t="shared" si="60"/>
        <v>-13.963949999999999</v>
      </c>
      <c r="J147" s="860">
        <f t="shared" si="60"/>
        <v>-14.424299999999999</v>
      </c>
      <c r="K147" s="860">
        <f t="shared" si="60"/>
        <v>-12.919499999999999</v>
      </c>
      <c r="L147" s="860">
        <f t="shared" si="60"/>
        <v>-14.424299999999999</v>
      </c>
      <c r="M147" s="860">
        <f t="shared" si="60"/>
        <v>-25.930800000000001</v>
      </c>
      <c r="N147" s="860">
        <f t="shared" si="60"/>
        <v>-27.068579999999997</v>
      </c>
      <c r="O147" s="860">
        <f>SUM(C147:N147)</f>
        <v>-187.59977999999998</v>
      </c>
    </row>
    <row r="148" spans="1:16" ht="13.5" customHeight="1" x14ac:dyDescent="0.2">
      <c r="A148" s="860" t="s">
        <v>797</v>
      </c>
      <c r="B148" s="860"/>
      <c r="C148" s="1084">
        <f t="shared" ref="C148:N148" si="61">C147*C140</f>
        <v>-34.575353999999997</v>
      </c>
      <c r="D148" s="1084">
        <f t="shared" si="61"/>
        <v>-31.592483999999999</v>
      </c>
      <c r="E148" s="1084">
        <f t="shared" si="61"/>
        <v>-36.926207999999995</v>
      </c>
      <c r="F148" s="1084">
        <f t="shared" si="61"/>
        <v>-29.833650000000002</v>
      </c>
      <c r="G148" s="1084">
        <f t="shared" si="61"/>
        <v>-33.108372000000003</v>
      </c>
      <c r="H148" s="1084">
        <f t="shared" si="61"/>
        <v>-34.564859999999996</v>
      </c>
      <c r="I148" s="1084">
        <f t="shared" si="61"/>
        <v>-35.887351499999994</v>
      </c>
      <c r="J148" s="1084">
        <f t="shared" si="61"/>
        <v>-37.647422999999996</v>
      </c>
      <c r="K148" s="1084">
        <f t="shared" si="61"/>
        <v>-33.719894999999994</v>
      </c>
      <c r="L148" s="1084">
        <f t="shared" si="61"/>
        <v>-37.791665999999999</v>
      </c>
      <c r="M148" s="1084">
        <f t="shared" si="61"/>
        <v>-73.643472000000003</v>
      </c>
      <c r="N148" s="1084">
        <f t="shared" si="61"/>
        <v>-81.205739999999992</v>
      </c>
      <c r="O148" s="1085">
        <f>SUM(C148:N148)</f>
        <v>-500.49647549999997</v>
      </c>
    </row>
    <row r="149" spans="1:16" ht="6.75" customHeight="1" x14ac:dyDescent="0.2">
      <c r="A149" s="860"/>
      <c r="B149" s="860"/>
      <c r="C149" s="860"/>
      <c r="D149" s="860"/>
      <c r="E149" s="860"/>
      <c r="F149" s="860"/>
      <c r="G149" s="860"/>
      <c r="H149" s="860"/>
      <c r="I149" s="860"/>
      <c r="J149" s="860"/>
      <c r="K149" s="860"/>
      <c r="L149" s="860"/>
      <c r="M149" s="860"/>
      <c r="N149" s="860"/>
      <c r="O149" s="860"/>
    </row>
    <row r="150" spans="1:16" x14ac:dyDescent="0.2">
      <c r="A150" s="1078" t="s">
        <v>798</v>
      </c>
      <c r="B150" s="860"/>
      <c r="C150" s="860"/>
      <c r="D150" s="860"/>
      <c r="E150" s="860"/>
      <c r="F150" s="860"/>
      <c r="G150" s="860"/>
      <c r="H150" s="860"/>
      <c r="I150" s="860"/>
      <c r="J150" s="860"/>
      <c r="K150" s="860"/>
      <c r="L150" s="860"/>
      <c r="M150" s="860"/>
      <c r="N150" s="860"/>
      <c r="O150" s="860"/>
    </row>
    <row r="151" spans="1:16" x14ac:dyDescent="0.2">
      <c r="A151" s="860" t="s">
        <v>801</v>
      </c>
      <c r="B151" s="860"/>
      <c r="C151" s="860"/>
      <c r="D151" s="860"/>
      <c r="E151" s="860"/>
      <c r="F151" s="860"/>
      <c r="G151" s="860"/>
      <c r="H151" s="1079">
        <f>H129</f>
        <v>2002.8420000000001</v>
      </c>
      <c r="I151" s="1079">
        <f t="shared" ref="I151:N151" si="62">I129</f>
        <v>2011.3430000000001</v>
      </c>
      <c r="J151" s="1079">
        <f t="shared" si="62"/>
        <v>2091.0590000000002</v>
      </c>
      <c r="K151" s="1079">
        <f t="shared" si="62"/>
        <v>2023.4559999999999</v>
      </c>
      <c r="L151" s="1079">
        <f t="shared" si="62"/>
        <v>2025.7490000000003</v>
      </c>
      <c r="M151" s="1079">
        <f t="shared" si="62"/>
        <v>2012.4739999999999</v>
      </c>
      <c r="N151" s="1079">
        <f t="shared" si="62"/>
        <v>2061.7089999999998</v>
      </c>
      <c r="O151" s="860"/>
    </row>
    <row r="152" spans="1:16" x14ac:dyDescent="0.2">
      <c r="A152" s="860" t="s">
        <v>800</v>
      </c>
      <c r="B152" s="860"/>
      <c r="C152" s="860"/>
      <c r="D152" s="860"/>
      <c r="E152" s="860"/>
      <c r="F152" s="860"/>
      <c r="G152" s="860"/>
      <c r="H152" s="860">
        <f>'Red Rock &amp; New Ks'!X62*'Out Years Data Input'!R81/1000</f>
        <v>55.199999999999996</v>
      </c>
      <c r="I152" s="860">
        <f>'Red Rock &amp; New Ks'!AA62*'Out Years Data Input'!U81/1000</f>
        <v>84</v>
      </c>
      <c r="J152" s="860">
        <f>'Red Rock &amp; New Ks'!AD62*'Out Years Data Input'!X81/1000</f>
        <v>80.400000000000006</v>
      </c>
      <c r="K152" s="860">
        <f>'Red Rock &amp; New Ks'!AG62*'Out Years Data Input'!AA81/1000</f>
        <v>84</v>
      </c>
      <c r="L152" s="860">
        <f>'Red Rock &amp; New Ks'!AJ62*'Out Years Data Input'!AD81/1000</f>
        <v>85.2</v>
      </c>
      <c r="M152" s="860">
        <f>'Red Rock &amp; New Ks'!AM62*'Out Years Data Input'!AG81/1000</f>
        <v>91.2</v>
      </c>
      <c r="N152" s="860">
        <f>'Red Rock &amp; New Ks'!AP62*'Out Years Data Input'!AJ81/1000</f>
        <v>84</v>
      </c>
    </row>
    <row r="153" spans="1:16" x14ac:dyDescent="0.2">
      <c r="A153" s="860" t="s">
        <v>802</v>
      </c>
      <c r="B153" s="860"/>
      <c r="C153" s="860"/>
      <c r="D153" s="860"/>
      <c r="E153" s="860"/>
      <c r="F153" s="860"/>
      <c r="G153" s="860"/>
      <c r="H153" s="1079">
        <f>H151-H152</f>
        <v>1947.6420000000001</v>
      </c>
      <c r="I153" s="1079">
        <f t="shared" ref="I153:N153" si="63">I151-I152</f>
        <v>1927.3430000000001</v>
      </c>
      <c r="J153" s="1079">
        <f t="shared" si="63"/>
        <v>2010.6590000000001</v>
      </c>
      <c r="K153" s="1079">
        <f t="shared" si="63"/>
        <v>1939.4559999999999</v>
      </c>
      <c r="L153" s="1079">
        <f t="shared" si="63"/>
        <v>1940.5490000000002</v>
      </c>
      <c r="M153" s="1079">
        <f t="shared" si="63"/>
        <v>1921.2739999999999</v>
      </c>
      <c r="N153" s="1079">
        <f t="shared" si="63"/>
        <v>1977.7089999999998</v>
      </c>
      <c r="O153" s="860"/>
      <c r="P153" s="860"/>
    </row>
    <row r="154" spans="1:16" x14ac:dyDescent="0.2">
      <c r="A154" s="860" t="s">
        <v>803</v>
      </c>
      <c r="B154" s="860"/>
      <c r="C154" s="860"/>
      <c r="D154" s="860"/>
      <c r="E154" s="860"/>
      <c r="F154" s="860"/>
      <c r="G154" s="860"/>
      <c r="H154" s="860">
        <f>ROUND((H153-H16)*0.018*H1,2)</f>
        <v>729.06</v>
      </c>
      <c r="I154" s="860">
        <f t="shared" ref="I154:N154" si="64">ROUND((I153-I16)*0.018*I1,2)</f>
        <v>700.94</v>
      </c>
      <c r="J154" s="860">
        <f t="shared" si="64"/>
        <v>772.31</v>
      </c>
      <c r="K154" s="860">
        <f t="shared" si="64"/>
        <v>693.78</v>
      </c>
      <c r="L154" s="860">
        <f t="shared" si="64"/>
        <v>716.3</v>
      </c>
      <c r="M154" s="860">
        <f t="shared" si="64"/>
        <v>698.72</v>
      </c>
      <c r="N154" s="860">
        <f t="shared" si="64"/>
        <v>774.08</v>
      </c>
      <c r="O154" s="860"/>
      <c r="P154" s="860"/>
    </row>
    <row r="155" spans="1:16" x14ac:dyDescent="0.2">
      <c r="A155" s="860" t="s">
        <v>804</v>
      </c>
      <c r="B155" s="860"/>
      <c r="C155" s="860"/>
      <c r="D155" s="860"/>
      <c r="E155" s="860"/>
      <c r="F155" s="860"/>
      <c r="G155" s="860"/>
      <c r="H155" s="860">
        <f>H133</f>
        <v>927.5</v>
      </c>
      <c r="I155" s="860">
        <f t="shared" ref="I155:N155" si="65">I133</f>
        <v>913.99</v>
      </c>
      <c r="J155" s="860">
        <f t="shared" si="65"/>
        <v>998.77</v>
      </c>
      <c r="K155" s="860">
        <f t="shared" si="65"/>
        <v>903.4</v>
      </c>
      <c r="L155" s="860">
        <f t="shared" si="65"/>
        <v>933.58</v>
      </c>
      <c r="M155" s="860">
        <f t="shared" si="65"/>
        <v>914.19</v>
      </c>
      <c r="N155" s="860">
        <f t="shared" si="65"/>
        <v>1003.39</v>
      </c>
      <c r="O155" s="860"/>
      <c r="P155" s="860"/>
    </row>
    <row r="156" spans="1:16" ht="6" customHeight="1" x14ac:dyDescent="0.2">
      <c r="A156" s="860"/>
      <c r="B156" s="860"/>
      <c r="C156" s="860"/>
      <c r="D156" s="860"/>
      <c r="E156" s="860"/>
      <c r="F156" s="860"/>
      <c r="G156" s="860"/>
      <c r="H156" s="860"/>
      <c r="I156" s="860"/>
      <c r="J156" s="860"/>
      <c r="K156" s="860"/>
      <c r="L156" s="860"/>
      <c r="M156" s="860"/>
      <c r="N156" s="860"/>
      <c r="O156" s="860"/>
      <c r="P156" s="860"/>
    </row>
    <row r="157" spans="1:16" x14ac:dyDescent="0.2">
      <c r="A157" s="860" t="s">
        <v>805</v>
      </c>
      <c r="B157" s="860"/>
      <c r="C157" s="860"/>
      <c r="D157" s="860"/>
      <c r="E157" s="860"/>
      <c r="F157" s="860"/>
      <c r="G157" s="860"/>
      <c r="H157" s="1080">
        <f t="shared" ref="H157:N157" si="66">(H155-H154)*-1</f>
        <v>-198.44000000000005</v>
      </c>
      <c r="I157" s="1080">
        <f t="shared" si="66"/>
        <v>-213.04999999999995</v>
      </c>
      <c r="J157" s="1080">
        <f t="shared" si="66"/>
        <v>-226.46000000000004</v>
      </c>
      <c r="K157" s="1080">
        <f t="shared" si="66"/>
        <v>-209.62</v>
      </c>
      <c r="L157" s="1080">
        <f t="shared" si="66"/>
        <v>-217.28000000000009</v>
      </c>
      <c r="M157" s="1080">
        <f t="shared" si="66"/>
        <v>-215.47000000000003</v>
      </c>
      <c r="N157" s="1080">
        <f t="shared" si="66"/>
        <v>-229.30999999999995</v>
      </c>
      <c r="O157" s="860"/>
      <c r="P157" s="860"/>
    </row>
    <row r="158" spans="1:16" x14ac:dyDescent="0.2">
      <c r="A158" s="860" t="s">
        <v>806</v>
      </c>
      <c r="B158" s="860"/>
      <c r="C158" s="860"/>
      <c r="D158" s="860"/>
      <c r="E158" s="860"/>
      <c r="F158" s="860"/>
      <c r="G158" s="860"/>
      <c r="H158" s="1084">
        <f>H157*H140</f>
        <v>-502.05320000000012</v>
      </c>
      <c r="I158" s="1084">
        <f t="shared" ref="I158:N158" si="67">I157*I140</f>
        <v>-547.53849999999989</v>
      </c>
      <c r="J158" s="1084">
        <f t="shared" si="67"/>
        <v>-591.06060000000002</v>
      </c>
      <c r="K158" s="1084">
        <f t="shared" si="67"/>
        <v>-547.10820000000001</v>
      </c>
      <c r="L158" s="1084">
        <f t="shared" si="67"/>
        <v>-569.27360000000022</v>
      </c>
      <c r="M158" s="1084">
        <f t="shared" si="67"/>
        <v>-611.9348</v>
      </c>
      <c r="N158" s="1084">
        <f t="shared" si="67"/>
        <v>-687.92999999999984</v>
      </c>
      <c r="O158" s="1085">
        <f>SUM(H158:N158)</f>
        <v>-4056.8988999999997</v>
      </c>
      <c r="P158" s="860"/>
    </row>
    <row r="160" spans="1:16" x14ac:dyDescent="0.2">
      <c r="A160" s="860"/>
      <c r="B160" s="860"/>
      <c r="C160" s="860">
        <f>Summary!B42</f>
        <v>1019.7139999999999</v>
      </c>
      <c r="D160" s="860">
        <f>Summary!C42</f>
        <v>1022.067</v>
      </c>
      <c r="E160" s="860">
        <f>Summary!D42</f>
        <v>998.0139999999999</v>
      </c>
      <c r="F160" s="860">
        <f>Summary!E42</f>
        <v>910.34799999999996</v>
      </c>
      <c r="G160" s="860">
        <f>Summary!F42</f>
        <v>910.125</v>
      </c>
      <c r="H160" s="860">
        <f>Summary!G42-H152</f>
        <v>1017.107</v>
      </c>
      <c r="I160" s="860">
        <f>Summary!H42-I152</f>
        <v>1017.2380000000001</v>
      </c>
      <c r="J160" s="860">
        <f>Summary!I42-J152</f>
        <v>1036.549</v>
      </c>
      <c r="K160" s="860">
        <f>Summary!J42-K152</f>
        <v>1027.761</v>
      </c>
      <c r="L160" s="860">
        <f>Summary!K42-L152</f>
        <v>1033.9390000000001</v>
      </c>
      <c r="M160" s="860">
        <f>Summary!L42-M152</f>
        <v>984.24399999999991</v>
      </c>
      <c r="N160" s="860">
        <f>Summary!M42-N152</f>
        <v>987.64899999999989</v>
      </c>
      <c r="O160" s="860">
        <f>AVERAGE(C160:N160)</f>
        <v>997.06291666666675</v>
      </c>
    </row>
    <row r="161" spans="1:15" x14ac:dyDescent="0.2">
      <c r="A161" s="860"/>
      <c r="B161" s="860"/>
      <c r="C161" s="860"/>
      <c r="D161" s="860"/>
      <c r="E161" s="860"/>
      <c r="F161" s="860"/>
      <c r="G161" s="860"/>
      <c r="H161" s="860"/>
      <c r="I161" s="860"/>
      <c r="J161" s="860"/>
      <c r="K161" s="860"/>
      <c r="L161" s="860"/>
      <c r="M161" s="860"/>
      <c r="N161" s="860"/>
      <c r="O161" s="860"/>
    </row>
    <row r="162" spans="1:15" x14ac:dyDescent="0.2">
      <c r="A162" s="860"/>
      <c r="B162" s="860"/>
      <c r="C162" s="860"/>
      <c r="D162" s="860"/>
      <c r="E162" s="860"/>
      <c r="F162" s="860"/>
      <c r="G162" s="860"/>
      <c r="H162" s="860"/>
      <c r="I162" s="860"/>
      <c r="J162" s="860"/>
      <c r="K162" s="860"/>
      <c r="L162" s="860"/>
      <c r="M162" s="860"/>
      <c r="N162" s="860"/>
      <c r="O162" s="860"/>
    </row>
    <row r="163" spans="1:15" x14ac:dyDescent="0.2">
      <c r="A163" s="860"/>
      <c r="B163" s="860"/>
      <c r="C163" s="860"/>
      <c r="D163" s="860"/>
      <c r="E163" s="860"/>
      <c r="F163" s="860"/>
      <c r="G163" s="860"/>
      <c r="H163" s="860"/>
      <c r="I163" s="860"/>
      <c r="J163" s="860"/>
      <c r="K163" s="860"/>
      <c r="L163" s="860"/>
      <c r="M163" s="860"/>
      <c r="N163" s="860"/>
      <c r="O163" s="860"/>
    </row>
    <row r="164" spans="1:15" x14ac:dyDescent="0.2">
      <c r="A164" s="860"/>
      <c r="B164" s="860"/>
      <c r="C164" s="860"/>
      <c r="D164" s="860"/>
      <c r="E164" s="860"/>
      <c r="F164" s="860"/>
      <c r="G164" s="860"/>
      <c r="H164" s="860"/>
      <c r="I164" s="860"/>
      <c r="J164" s="860"/>
      <c r="K164" s="860"/>
      <c r="L164" s="860"/>
      <c r="M164" s="860"/>
      <c r="N164" s="860"/>
      <c r="O164" s="860"/>
    </row>
    <row r="165" spans="1:15" x14ac:dyDescent="0.2">
      <c r="A165" s="860"/>
      <c r="B165" s="860"/>
      <c r="C165" s="860"/>
      <c r="D165" s="860"/>
      <c r="E165" s="860"/>
      <c r="F165" s="860"/>
      <c r="G165" s="860"/>
      <c r="H165" s="860"/>
      <c r="I165" s="860"/>
      <c r="J165" s="860"/>
      <c r="K165" s="860"/>
      <c r="L165" s="860"/>
      <c r="M165" s="860"/>
      <c r="N165" s="860"/>
      <c r="O165" s="860"/>
    </row>
  </sheetData>
  <phoneticPr fontId="16" type="noConversion"/>
  <pageMargins left="0" right="0" top="0.25" bottom="0.25" header="0.25" footer="0.25"/>
  <pageSetup scale="64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topLeftCell="A110" zoomScale="75" workbookViewId="0">
      <selection activeCell="N139" sqref="N139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4" spans="1:19" x14ac:dyDescent="0.2">
      <c r="A4" s="781">
        <f ca="1">NOW()</f>
        <v>41885.92788761574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>SUM(C12:C18)</f>
        <v>2374.9679999999998</v>
      </c>
      <c r="D19" s="28">
        <f t="shared" ref="D19:N19" si="0">SUM(D12:D18)</f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>ROUND((C14+C21)/(1-C27),1)</f>
        <v>219.9</v>
      </c>
      <c r="D36" s="29">
        <f>ROUND((D14+D21)/(1-D27),1)</f>
        <v>222.5</v>
      </c>
      <c r="E36" s="29">
        <f t="shared" ref="E36:N36" si="4">ROUND((E14+E21)/(1-E27),1)</f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>SUM(C34:C40)</f>
        <v>2408.2999999999997</v>
      </c>
      <c r="D41" s="29">
        <f t="shared" ref="D41:N41" si="9">SUM(D34:D40)</f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>C16</f>
        <v>687.39</v>
      </c>
      <c r="D44" s="66">
        <f t="shared" ref="D44:N44" si="10">D16</f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>C41-C43-C44</f>
        <v>1720.9099999999999</v>
      </c>
      <c r="D45" s="28">
        <f t="shared" ref="D45:N45" si="11">D41-D43-D44</f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>C45*C1</f>
        <v>53348.209999999992</v>
      </c>
      <c r="D48" s="68">
        <f t="shared" ref="D48:N48" si="12">D45*D1</f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806"/>
    </row>
    <row r="52" spans="1:18" customFormat="1" x14ac:dyDescent="0.2">
      <c r="A52" s="29" t="s">
        <v>171</v>
      </c>
      <c r="B52" s="29"/>
      <c r="C52" s="29">
        <f>C34*C25*C$1</f>
        <v>583.88499999999999</v>
      </c>
      <c r="D52" s="29">
        <f t="shared" ref="D52:M52" si="13">D34*D25*D$1</f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ref="N52:N58" si="14">N34*N25*N$1</f>
        <v>741.21</v>
      </c>
      <c r="O52" s="29"/>
      <c r="P52" s="806"/>
    </row>
    <row r="53" spans="1:18" customFormat="1" x14ac:dyDescent="0.2">
      <c r="A53" s="29" t="s">
        <v>172</v>
      </c>
      <c r="B53" s="29"/>
      <c r="C53" s="29">
        <f t="shared" ref="C53:M58" si="15">C35*C26*C$1</f>
        <v>626.21549999999991</v>
      </c>
      <c r="D53" s="29">
        <f t="shared" si="15"/>
        <v>579.726</v>
      </c>
      <c r="E53" s="29">
        <f t="shared" si="15"/>
        <v>575.577</v>
      </c>
      <c r="F53" s="29">
        <f t="shared" si="15"/>
        <v>529.20000000000005</v>
      </c>
      <c r="G53" s="29">
        <f t="shared" si="15"/>
        <v>525.21749999999997</v>
      </c>
      <c r="H53" s="29">
        <f t="shared" si="15"/>
        <v>522.31499999999994</v>
      </c>
      <c r="I53" s="29">
        <f t="shared" si="15"/>
        <v>536.09850000000006</v>
      </c>
      <c r="J53" s="29">
        <f t="shared" si="15"/>
        <v>575.577</v>
      </c>
      <c r="K53" s="29">
        <f t="shared" si="15"/>
        <v>550.125</v>
      </c>
      <c r="L53" s="29">
        <f t="shared" si="15"/>
        <v>539.72550000000001</v>
      </c>
      <c r="M53" s="29">
        <f t="shared" si="15"/>
        <v>390.01499999999999</v>
      </c>
      <c r="N53" s="29">
        <f t="shared" si="14"/>
        <v>449.74799999999999</v>
      </c>
      <c r="O53" s="29"/>
      <c r="P53" s="806"/>
    </row>
    <row r="54" spans="1:18" customFormat="1" x14ac:dyDescent="0.2">
      <c r="A54" s="29" t="s">
        <v>173</v>
      </c>
      <c r="B54" s="29"/>
      <c r="C54" s="29">
        <f t="shared" si="15"/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4"/>
        <v>403.46500000000003</v>
      </c>
      <c r="O54" s="29"/>
      <c r="P54" s="806"/>
    </row>
    <row r="55" spans="1:18" customFormat="1" x14ac:dyDescent="0.2">
      <c r="A55" s="29" t="s">
        <v>165</v>
      </c>
      <c r="B55" s="29"/>
      <c r="C55" s="28">
        <f t="shared" si="15"/>
        <v>23.02525</v>
      </c>
      <c r="D55" s="28">
        <f t="shared" si="15"/>
        <v>22.904</v>
      </c>
      <c r="E55" s="28">
        <f t="shared" si="15"/>
        <v>25.869500000000002</v>
      </c>
      <c r="F55" s="28">
        <f t="shared" si="15"/>
        <v>20.5275</v>
      </c>
      <c r="G55" s="28">
        <f t="shared" si="15"/>
        <v>21.994500000000002</v>
      </c>
      <c r="H55" s="28">
        <f t="shared" si="15"/>
        <v>25.035</v>
      </c>
      <c r="I55" s="28">
        <f t="shared" si="15"/>
        <v>18.561250000000001</v>
      </c>
      <c r="J55" s="28">
        <f t="shared" si="15"/>
        <v>27.001000000000001</v>
      </c>
      <c r="K55" s="28">
        <f t="shared" si="15"/>
        <v>19.327500000000001</v>
      </c>
      <c r="L55" s="28">
        <f t="shared" si="15"/>
        <v>19.405999999999999</v>
      </c>
      <c r="M55" s="28">
        <f t="shared" si="15"/>
        <v>23.287500000000001</v>
      </c>
      <c r="N55" s="28">
        <f t="shared" si="14"/>
        <v>31.046500000000002</v>
      </c>
      <c r="O55" s="29"/>
      <c r="P55" s="806"/>
    </row>
    <row r="56" spans="1:18" customFormat="1" x14ac:dyDescent="0.2">
      <c r="A56" s="29" t="s">
        <v>183</v>
      </c>
      <c r="B56" s="29"/>
      <c r="C56" s="28">
        <f t="shared" si="15"/>
        <v>53.405250000000002</v>
      </c>
      <c r="D56" s="28">
        <f t="shared" si="15"/>
        <v>48.390999999999998</v>
      </c>
      <c r="E56" s="28">
        <f t="shared" si="15"/>
        <v>50.739250000000006</v>
      </c>
      <c r="F56" s="28">
        <f t="shared" si="15"/>
        <v>47.242499999999993</v>
      </c>
      <c r="G56" s="28">
        <f t="shared" si="15"/>
        <v>47.600500000000004</v>
      </c>
      <c r="H56" s="28">
        <f t="shared" si="15"/>
        <v>44.925000000000004</v>
      </c>
      <c r="I56" s="28">
        <f t="shared" si="15"/>
        <v>52.149749999999997</v>
      </c>
      <c r="J56" s="28">
        <f t="shared" si="15"/>
        <v>48.685500000000005</v>
      </c>
      <c r="K56" s="28">
        <f t="shared" si="15"/>
        <v>49.222499999999997</v>
      </c>
      <c r="L56" s="28">
        <f t="shared" si="15"/>
        <v>51.033749999999998</v>
      </c>
      <c r="M56" s="28">
        <f t="shared" si="15"/>
        <v>47.167499999999997</v>
      </c>
      <c r="N56" s="28">
        <f t="shared" si="14"/>
        <v>45.872249999999994</v>
      </c>
      <c r="O56" s="29"/>
      <c r="P56" s="806"/>
    </row>
    <row r="57" spans="1:18" customFormat="1" x14ac:dyDescent="0.2">
      <c r="A57" s="29" t="s">
        <v>176</v>
      </c>
      <c r="B57" s="29"/>
      <c r="C57" s="29">
        <f t="shared" si="15"/>
        <v>27.90372</v>
      </c>
      <c r="D57" s="29">
        <f t="shared" si="15"/>
        <v>26.994239999999998</v>
      </c>
      <c r="E57" s="29">
        <f t="shared" si="15"/>
        <v>27.90372</v>
      </c>
      <c r="F57" s="29">
        <f t="shared" si="15"/>
        <v>35.006399999999999</v>
      </c>
      <c r="G57" s="29">
        <f t="shared" si="15"/>
        <v>33.416759999999996</v>
      </c>
      <c r="H57" s="29">
        <f t="shared" si="15"/>
        <v>32.338799999999992</v>
      </c>
      <c r="I57" s="29">
        <f t="shared" si="15"/>
        <v>36.173279999999998</v>
      </c>
      <c r="J57" s="29">
        <f t="shared" si="15"/>
        <v>31.820879999999995</v>
      </c>
      <c r="K57" s="29">
        <f t="shared" si="15"/>
        <v>34.631999999999998</v>
      </c>
      <c r="L57" s="29">
        <f t="shared" si="15"/>
        <v>28.677479999999996</v>
      </c>
      <c r="M57" s="29">
        <f t="shared" si="15"/>
        <v>31.168799999999997</v>
      </c>
      <c r="N57" s="29">
        <f t="shared" si="14"/>
        <v>31.820879999999995</v>
      </c>
      <c r="O57" s="29"/>
      <c r="P57" s="806"/>
    </row>
    <row r="58" spans="1:18" customFormat="1" x14ac:dyDescent="0.2">
      <c r="A58" s="29" t="s">
        <v>177</v>
      </c>
      <c r="B58" s="29"/>
      <c r="C58" s="69">
        <f t="shared" si="15"/>
        <v>129.50528999999997</v>
      </c>
      <c r="D58" s="69">
        <f t="shared" si="15"/>
        <v>116.97251999999999</v>
      </c>
      <c r="E58" s="69">
        <f t="shared" si="15"/>
        <v>121.34268</v>
      </c>
      <c r="F58" s="69">
        <f t="shared" si="15"/>
        <v>149.4579</v>
      </c>
      <c r="G58" s="69">
        <f t="shared" si="15"/>
        <v>154.07434000000001</v>
      </c>
      <c r="H58" s="69">
        <f t="shared" si="15"/>
        <v>147.41430000000003</v>
      </c>
      <c r="I58" s="69">
        <f t="shared" si="15"/>
        <v>145.18075000000002</v>
      </c>
      <c r="J58" s="69">
        <f t="shared" si="15"/>
        <v>144.44977</v>
      </c>
      <c r="K58" s="69">
        <f t="shared" si="15"/>
        <v>128.0001</v>
      </c>
      <c r="L58" s="69">
        <f t="shared" si="15"/>
        <v>135.2313</v>
      </c>
      <c r="M58" s="69">
        <f t="shared" si="15"/>
        <v>142.8948</v>
      </c>
      <c r="N58" s="69">
        <f t="shared" si="14"/>
        <v>153.22153</v>
      </c>
      <c r="O58" s="29"/>
      <c r="P58" s="806"/>
    </row>
    <row r="59" spans="1:18" customFormat="1" x14ac:dyDescent="0.2">
      <c r="A59" s="29" t="s">
        <v>184</v>
      </c>
      <c r="B59" s="29"/>
      <c r="C59" s="70">
        <f t="shared" ref="C59:N59" si="16">SUM(C52:C58)</f>
        <v>1767.7427600000001</v>
      </c>
      <c r="D59" s="70">
        <f t="shared" si="16"/>
        <v>1602.05276</v>
      </c>
      <c r="E59" s="70">
        <f t="shared" si="16"/>
        <v>1723.3644000000002</v>
      </c>
      <c r="F59" s="70">
        <f t="shared" si="16"/>
        <v>1574.1167999999998</v>
      </c>
      <c r="G59" s="70">
        <f t="shared" si="16"/>
        <v>1621.8766000000001</v>
      </c>
      <c r="H59" s="70">
        <f t="shared" si="16"/>
        <v>1821.6831000000002</v>
      </c>
      <c r="I59" s="70">
        <f t="shared" si="16"/>
        <v>1924.79403</v>
      </c>
      <c r="J59" s="70">
        <f t="shared" si="16"/>
        <v>1943.5264</v>
      </c>
      <c r="K59" s="70">
        <f t="shared" si="16"/>
        <v>1865.5971000000004</v>
      </c>
      <c r="L59" s="70">
        <f t="shared" si="16"/>
        <v>1933.7762800000003</v>
      </c>
      <c r="M59" s="70">
        <f t="shared" si="16"/>
        <v>1799.7936</v>
      </c>
      <c r="N59" s="70">
        <f t="shared" si="16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806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806"/>
    </row>
    <row r="62" spans="1:18" customFormat="1" x14ac:dyDescent="0.2">
      <c r="A62" s="29" t="s">
        <v>185</v>
      </c>
      <c r="B62" s="29"/>
      <c r="C62" s="71">
        <f t="shared" ref="C62:N62" si="17">+ROUND(((C12+C13+C14+C15+C17+C18)*-C79*C$1),0)</f>
        <v>-942</v>
      </c>
      <c r="D62" s="71">
        <f t="shared" si="17"/>
        <v>-869</v>
      </c>
      <c r="E62" s="71">
        <f t="shared" si="17"/>
        <v>-939</v>
      </c>
      <c r="F62" s="71">
        <f t="shared" si="17"/>
        <v>-881</v>
      </c>
      <c r="G62" s="71">
        <f t="shared" si="17"/>
        <v>-913</v>
      </c>
      <c r="H62" s="71">
        <f t="shared" si="17"/>
        <v>-1217</v>
      </c>
      <c r="I62" s="71">
        <f t="shared" si="17"/>
        <v>-1205</v>
      </c>
      <c r="J62" s="71">
        <f t="shared" si="17"/>
        <v>-1282</v>
      </c>
      <c r="K62" s="71">
        <f t="shared" si="17"/>
        <v>-1164</v>
      </c>
      <c r="L62" s="71">
        <f t="shared" si="17"/>
        <v>-1198</v>
      </c>
      <c r="M62" s="71">
        <f t="shared" si="17"/>
        <v>-1194</v>
      </c>
      <c r="N62" s="71">
        <f t="shared" si="17"/>
        <v>-1302</v>
      </c>
      <c r="O62" s="71">
        <f>SUM(C62:N62)</f>
        <v>-13106</v>
      </c>
      <c r="P62" s="73">
        <f>O62/365</f>
        <v>-35.906849315068492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18">C48*-C76</f>
        <v>-21.339283999999999</v>
      </c>
      <c r="D63" s="73">
        <f t="shared" si="18"/>
        <v>-19.682096000000001</v>
      </c>
      <c r="E63" s="73">
        <f t="shared" si="18"/>
        <v>-21.233078000000003</v>
      </c>
      <c r="F63" s="73">
        <f t="shared" si="18"/>
        <v>-19.94556</v>
      </c>
      <c r="G63" s="73">
        <f t="shared" si="18"/>
        <v>-20.633971999999996</v>
      </c>
      <c r="H63" s="73">
        <f t="shared" si="18"/>
        <v>-22.546379999999999</v>
      </c>
      <c r="I63" s="73">
        <f t="shared" si="18"/>
        <v>-22.366066000000004</v>
      </c>
      <c r="J63" s="73">
        <f t="shared" si="18"/>
        <v>-23.772163999999997</v>
      </c>
      <c r="K63" s="73">
        <f t="shared" si="18"/>
        <v>-21.617100000000001</v>
      </c>
      <c r="L63" s="73">
        <f t="shared" si="18"/>
        <v>-22.226255999999999</v>
      </c>
      <c r="M63" s="73">
        <f t="shared" si="18"/>
        <v>-21.858719999999998</v>
      </c>
      <c r="N63" s="73">
        <f t="shared" si="18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19">C48*-C77</f>
        <v>-10.669642</v>
      </c>
      <c r="D64" s="73">
        <f t="shared" si="19"/>
        <v>-9.8410480000000007</v>
      </c>
      <c r="E64" s="73">
        <f t="shared" si="19"/>
        <v>-10.616539000000001</v>
      </c>
      <c r="F64" s="73">
        <f t="shared" si="19"/>
        <v>-9.9727800000000002</v>
      </c>
      <c r="G64" s="73">
        <f t="shared" si="19"/>
        <v>-10.316985999999998</v>
      </c>
      <c r="H64" s="73">
        <f t="shared" si="19"/>
        <v>-11.27319</v>
      </c>
      <c r="I64" s="73">
        <f t="shared" si="19"/>
        <v>-11.183033000000002</v>
      </c>
      <c r="J64" s="73">
        <f t="shared" si="19"/>
        <v>-11.886081999999998</v>
      </c>
      <c r="K64" s="73">
        <f t="shared" si="19"/>
        <v>-10.80855</v>
      </c>
      <c r="L64" s="73">
        <f t="shared" si="19"/>
        <v>-11.113128</v>
      </c>
      <c r="M64" s="73">
        <f t="shared" si="19"/>
        <v>-10.929359999999999</v>
      </c>
      <c r="N64" s="73">
        <f t="shared" si="19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806"/>
    </row>
    <row r="66" spans="1:18" customFormat="1" x14ac:dyDescent="0.2">
      <c r="A66" s="29" t="s">
        <v>188</v>
      </c>
      <c r="B66" s="29"/>
      <c r="C66" s="74">
        <f t="shared" ref="C66:N66" si="20">ROUND((C59*C75),0)</f>
        <v>4631</v>
      </c>
      <c r="D66" s="74">
        <f t="shared" si="20"/>
        <v>4197</v>
      </c>
      <c r="E66" s="74">
        <f t="shared" si="20"/>
        <v>4412</v>
      </c>
      <c r="F66" s="74">
        <f t="shared" si="20"/>
        <v>3857</v>
      </c>
      <c r="G66" s="74">
        <f t="shared" si="20"/>
        <v>4022</v>
      </c>
      <c r="H66" s="74">
        <f t="shared" si="20"/>
        <v>4609</v>
      </c>
      <c r="I66" s="74">
        <f t="shared" si="20"/>
        <v>4947</v>
      </c>
      <c r="J66" s="74">
        <f t="shared" si="20"/>
        <v>5073</v>
      </c>
      <c r="K66" s="74">
        <f t="shared" si="20"/>
        <v>4869</v>
      </c>
      <c r="L66" s="74">
        <f t="shared" si="20"/>
        <v>5066</v>
      </c>
      <c r="M66" s="74">
        <f t="shared" si="20"/>
        <v>5111</v>
      </c>
      <c r="N66" s="74">
        <f t="shared" si="20"/>
        <v>5569</v>
      </c>
      <c r="O66" s="74">
        <f t="shared" ref="O66:O73" si="21">SUM(C66:N66)</f>
        <v>56363</v>
      </c>
      <c r="P66" s="806"/>
      <c r="Q66" s="75">
        <v>0</v>
      </c>
      <c r="R66" s="75">
        <v>0</v>
      </c>
    </row>
    <row r="67" spans="1:18" customFormat="1" x14ac:dyDescent="0.2">
      <c r="A67" s="29" t="s">
        <v>624</v>
      </c>
      <c r="B67" s="29"/>
      <c r="C67" s="74">
        <f t="shared" ref="C67:N67" si="22">ROUND((ROUND(5*C$1*5.05,0))-(ROUND(5*C$1*C75,0)),0)+ROUND((ROUND(5*C$1*3.46,0))-(ROUND(5*C$1*C75,0)),0)</f>
        <v>507</v>
      </c>
      <c r="D67" s="74">
        <f t="shared" si="22"/>
        <v>457</v>
      </c>
      <c r="E67" s="74">
        <f t="shared" si="22"/>
        <v>525</v>
      </c>
      <c r="F67" s="74">
        <f t="shared" si="22"/>
        <v>541</v>
      </c>
      <c r="G67" s="74">
        <f t="shared" si="22"/>
        <v>551</v>
      </c>
      <c r="H67" s="74">
        <f t="shared" si="22"/>
        <v>517</v>
      </c>
      <c r="I67" s="74">
        <f t="shared" si="22"/>
        <v>523</v>
      </c>
      <c r="J67" s="74">
        <f t="shared" si="22"/>
        <v>509</v>
      </c>
      <c r="K67" s="74">
        <f t="shared" si="22"/>
        <v>493</v>
      </c>
      <c r="L67" s="74">
        <f t="shared" si="22"/>
        <v>507</v>
      </c>
      <c r="M67" s="74">
        <f t="shared" si="22"/>
        <v>425</v>
      </c>
      <c r="N67" s="74">
        <f t="shared" si="22"/>
        <v>389</v>
      </c>
      <c r="O67" s="74">
        <f>SUM(C67:N67)</f>
        <v>5944</v>
      </c>
      <c r="P67" s="806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>ROUND(((0*C$1*0.005)+(0*C$1*0.02)),0)</f>
        <v>0</v>
      </c>
      <c r="D68" s="74">
        <f t="shared" ref="D68:N68" si="23">ROUND(((0*D$1*0.005)+(0*D$1*0.02)),0)</f>
        <v>0</v>
      </c>
      <c r="E68" s="74">
        <f t="shared" si="23"/>
        <v>0</v>
      </c>
      <c r="F68" s="74">
        <f t="shared" si="23"/>
        <v>0</v>
      </c>
      <c r="G68" s="74">
        <f t="shared" si="23"/>
        <v>0</v>
      </c>
      <c r="H68" s="74">
        <f t="shared" si="23"/>
        <v>0</v>
      </c>
      <c r="I68" s="74">
        <f t="shared" si="23"/>
        <v>0</v>
      </c>
      <c r="J68" s="74">
        <f t="shared" si="23"/>
        <v>0</v>
      </c>
      <c r="K68" s="74">
        <f t="shared" si="23"/>
        <v>0</v>
      </c>
      <c r="L68" s="74">
        <f t="shared" si="23"/>
        <v>0</v>
      </c>
      <c r="M68" s="74">
        <f t="shared" si="23"/>
        <v>0</v>
      </c>
      <c r="N68" s="74">
        <f t="shared" si="23"/>
        <v>0</v>
      </c>
      <c r="O68" s="74">
        <f>SUM(C68:N68)</f>
        <v>0</v>
      </c>
      <c r="P68" s="806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4">ROUND((C62*C75),0)</f>
        <v>-2468</v>
      </c>
      <c r="D69" s="74">
        <f t="shared" si="24"/>
        <v>-2277</v>
      </c>
      <c r="E69" s="74">
        <f t="shared" si="24"/>
        <v>-2404</v>
      </c>
      <c r="F69" s="74">
        <f t="shared" si="24"/>
        <v>-2158</v>
      </c>
      <c r="G69" s="74">
        <f t="shared" si="24"/>
        <v>-2264</v>
      </c>
      <c r="H69" s="74">
        <f t="shared" si="24"/>
        <v>-3079</v>
      </c>
      <c r="I69" s="74">
        <f t="shared" si="24"/>
        <v>-3097</v>
      </c>
      <c r="J69" s="74">
        <f t="shared" si="24"/>
        <v>-3346</v>
      </c>
      <c r="K69" s="74">
        <f t="shared" si="24"/>
        <v>-3038</v>
      </c>
      <c r="L69" s="74">
        <f t="shared" si="24"/>
        <v>-3139</v>
      </c>
      <c r="M69" s="74">
        <f t="shared" si="24"/>
        <v>-3391</v>
      </c>
      <c r="N69" s="74">
        <f t="shared" si="24"/>
        <v>-3906</v>
      </c>
      <c r="O69" s="74">
        <f t="shared" si="21"/>
        <v>-34567</v>
      </c>
      <c r="P69" s="806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5">(C78-C75)*(C63+C64)</f>
        <v>0</v>
      </c>
      <c r="D70" s="77">
        <f t="shared" si="25"/>
        <v>0</v>
      </c>
      <c r="E70" s="77">
        <f t="shared" si="25"/>
        <v>0</v>
      </c>
      <c r="F70" s="77">
        <f t="shared" si="25"/>
        <v>0</v>
      </c>
      <c r="G70" s="77">
        <f t="shared" si="25"/>
        <v>0</v>
      </c>
      <c r="H70" s="77">
        <f t="shared" si="25"/>
        <v>0</v>
      </c>
      <c r="I70" s="77">
        <f t="shared" si="25"/>
        <v>0</v>
      </c>
      <c r="J70" s="77">
        <f t="shared" si="25"/>
        <v>0</v>
      </c>
      <c r="K70" s="77">
        <f t="shared" si="25"/>
        <v>0</v>
      </c>
      <c r="L70" s="77">
        <f t="shared" si="25"/>
        <v>0</v>
      </c>
      <c r="M70" s="77">
        <f t="shared" si="25"/>
        <v>0</v>
      </c>
      <c r="N70" s="77">
        <f t="shared" si="25"/>
        <v>0</v>
      </c>
      <c r="O70" s="77">
        <f t="shared" si="21"/>
        <v>0</v>
      </c>
      <c r="P70" s="806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26">C63*C75</f>
        <v>-55.908924079999998</v>
      </c>
      <c r="D71" s="77">
        <f t="shared" si="26"/>
        <v>-51.567091520000005</v>
      </c>
      <c r="E71" s="77">
        <f t="shared" si="26"/>
        <v>-54.356679680000006</v>
      </c>
      <c r="F71" s="77">
        <f t="shared" si="26"/>
        <v>-48.866622000000007</v>
      </c>
      <c r="G71" s="77">
        <f t="shared" si="26"/>
        <v>-51.172250559999988</v>
      </c>
      <c r="H71" s="77">
        <f t="shared" si="26"/>
        <v>-57.042341399999991</v>
      </c>
      <c r="I71" s="77">
        <f t="shared" si="26"/>
        <v>-57.480789620000003</v>
      </c>
      <c r="J71" s="77">
        <f t="shared" si="26"/>
        <v>-62.045348039999986</v>
      </c>
      <c r="K71" s="77">
        <f t="shared" si="26"/>
        <v>-56.420631</v>
      </c>
      <c r="L71" s="77">
        <f t="shared" si="26"/>
        <v>-58.232790720000004</v>
      </c>
      <c r="M71" s="77">
        <f t="shared" si="26"/>
        <v>-62.078764799999995</v>
      </c>
      <c r="N71" s="77">
        <f t="shared" si="26"/>
        <v>-71.414328000000012</v>
      </c>
      <c r="O71" s="77">
        <f t="shared" si="21"/>
        <v>-686.58656141999995</v>
      </c>
      <c r="P71" s="806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27">C64*C75</f>
        <v>-27.954462039999999</v>
      </c>
      <c r="D72" s="77">
        <f t="shared" si="27"/>
        <v>-25.783545760000003</v>
      </c>
      <c r="E72" s="77">
        <f t="shared" si="27"/>
        <v>-27.178339840000003</v>
      </c>
      <c r="F72" s="77">
        <f t="shared" si="27"/>
        <v>-24.433311000000003</v>
      </c>
      <c r="G72" s="77">
        <f t="shared" si="27"/>
        <v>-25.586125279999994</v>
      </c>
      <c r="H72" s="77">
        <f t="shared" si="27"/>
        <v>-28.521170699999995</v>
      </c>
      <c r="I72" s="77">
        <f t="shared" si="27"/>
        <v>-28.740394810000002</v>
      </c>
      <c r="J72" s="77">
        <f t="shared" si="27"/>
        <v>-31.022674019999993</v>
      </c>
      <c r="K72" s="77">
        <f t="shared" si="27"/>
        <v>-28.2103155</v>
      </c>
      <c r="L72" s="77">
        <f t="shared" si="27"/>
        <v>-29.116395360000002</v>
      </c>
      <c r="M72" s="77">
        <f t="shared" si="27"/>
        <v>-31.039382399999997</v>
      </c>
      <c r="N72" s="77">
        <f t="shared" si="27"/>
        <v>-35.707164000000006</v>
      </c>
      <c r="O72" s="77">
        <f t="shared" si="21"/>
        <v>-343.29328070999998</v>
      </c>
      <c r="P72" s="806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28">SUM(C66:C72)</f>
        <v>2586.1366138799999</v>
      </c>
      <c r="D73" s="78">
        <f t="shared" si="28"/>
        <v>2299.6493627200002</v>
      </c>
      <c r="E73" s="78">
        <f t="shared" si="28"/>
        <v>2451.4649804800001</v>
      </c>
      <c r="F73" s="78">
        <f t="shared" si="28"/>
        <v>2166.7000669999998</v>
      </c>
      <c r="G73" s="78">
        <f t="shared" si="28"/>
        <v>2232.2416241599999</v>
      </c>
      <c r="H73" s="78">
        <f t="shared" si="28"/>
        <v>1961.4364879</v>
      </c>
      <c r="I73" s="78">
        <f t="shared" si="28"/>
        <v>2286.77881557</v>
      </c>
      <c r="J73" s="78">
        <f t="shared" si="28"/>
        <v>2142.9319779399998</v>
      </c>
      <c r="K73" s="78">
        <f t="shared" si="28"/>
        <v>2239.3690535000001</v>
      </c>
      <c r="L73" s="78">
        <f t="shared" si="28"/>
        <v>2346.65081392</v>
      </c>
      <c r="M73" s="78">
        <f t="shared" si="28"/>
        <v>2051.8818528000002</v>
      </c>
      <c r="N73" s="78">
        <f t="shared" si="28"/>
        <v>1944.878508</v>
      </c>
      <c r="O73" s="78">
        <f t="shared" si="21"/>
        <v>26710.120157870006</v>
      </c>
      <c r="P73" s="806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806"/>
    </row>
    <row r="75" spans="1:18" customFormat="1" x14ac:dyDescent="0.2">
      <c r="A75" s="30" t="s">
        <v>194</v>
      </c>
      <c r="B75" s="29"/>
      <c r="C75" s="30">
        <f>Summary!B361</f>
        <v>2.62</v>
      </c>
      <c r="D75" s="30">
        <f>Summary!C361</f>
        <v>2.62</v>
      </c>
      <c r="E75" s="30">
        <f>Summary!D361</f>
        <v>2.56</v>
      </c>
      <c r="F75" s="30">
        <f>Summary!E361</f>
        <v>2.4500000000000002</v>
      </c>
      <c r="G75" s="30">
        <f>Summary!F361</f>
        <v>2.48</v>
      </c>
      <c r="H75" s="30">
        <f>Summary!G361</f>
        <v>2.5299999999999998</v>
      </c>
      <c r="I75" s="30">
        <f>Summary!H361</f>
        <v>2.57</v>
      </c>
      <c r="J75" s="30">
        <f>Summary!I361</f>
        <v>2.61</v>
      </c>
      <c r="K75" s="30">
        <f>Summary!J361</f>
        <v>2.61</v>
      </c>
      <c r="L75" s="30">
        <f>Summary!K361</f>
        <v>2.62</v>
      </c>
      <c r="M75" s="30">
        <f>Summary!L361</f>
        <v>2.84</v>
      </c>
      <c r="N75" s="30">
        <f>Summary!M361</f>
        <v>3</v>
      </c>
      <c r="O75" s="30">
        <f>AVERAGE(C75:N75)</f>
        <v>2.625833333333333</v>
      </c>
      <c r="P75" s="806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806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806"/>
      <c r="Q77" s="82"/>
      <c r="R77" s="82"/>
    </row>
    <row r="78" spans="1:18" customFormat="1" x14ac:dyDescent="0.2">
      <c r="A78" s="81" t="s">
        <v>197</v>
      </c>
      <c r="B78" s="29"/>
      <c r="C78" s="30">
        <f>C75</f>
        <v>2.62</v>
      </c>
      <c r="D78" s="30">
        <f>D75</f>
        <v>2.62</v>
      </c>
      <c r="E78" s="30">
        <f>E75</f>
        <v>2.56</v>
      </c>
      <c r="F78" s="30">
        <f>F75</f>
        <v>2.4500000000000002</v>
      </c>
      <c r="G78" s="30">
        <f t="shared" ref="G78:N78" si="29">G75</f>
        <v>2.48</v>
      </c>
      <c r="H78" s="30">
        <f t="shared" si="29"/>
        <v>2.5299999999999998</v>
      </c>
      <c r="I78" s="30">
        <f t="shared" si="29"/>
        <v>2.57</v>
      </c>
      <c r="J78" s="30">
        <f t="shared" si="29"/>
        <v>2.61</v>
      </c>
      <c r="K78" s="30">
        <f t="shared" si="29"/>
        <v>2.61</v>
      </c>
      <c r="L78" s="30">
        <f t="shared" si="29"/>
        <v>2.62</v>
      </c>
      <c r="M78" s="30">
        <f t="shared" si="29"/>
        <v>2.84</v>
      </c>
      <c r="N78" s="30">
        <f t="shared" si="29"/>
        <v>3</v>
      </c>
      <c r="O78" s="30">
        <f>AVERAGE(C78:N78)</f>
        <v>2.625833333333333</v>
      </c>
      <c r="P78" s="806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806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806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806"/>
    </row>
    <row r="82" spans="1:18" customFormat="1" x14ac:dyDescent="0.2">
      <c r="A82" s="29" t="s">
        <v>199</v>
      </c>
      <c r="B82" s="29"/>
      <c r="C82" s="74">
        <f>ROUND(((5*C$1*5.05)),0)</f>
        <v>783</v>
      </c>
      <c r="D82" s="74">
        <f t="shared" ref="D82:N82" si="30">ROUND(((5*D$1*5.05)),0)</f>
        <v>707</v>
      </c>
      <c r="E82" s="74">
        <f t="shared" si="30"/>
        <v>783</v>
      </c>
      <c r="F82" s="74">
        <f t="shared" si="30"/>
        <v>758</v>
      </c>
      <c r="G82" s="74">
        <f t="shared" si="30"/>
        <v>783</v>
      </c>
      <c r="H82" s="74">
        <f t="shared" si="30"/>
        <v>758</v>
      </c>
      <c r="I82" s="74">
        <f t="shared" si="30"/>
        <v>783</v>
      </c>
      <c r="J82" s="74">
        <f t="shared" si="30"/>
        <v>783</v>
      </c>
      <c r="K82" s="74">
        <f t="shared" si="30"/>
        <v>758</v>
      </c>
      <c r="L82" s="74">
        <f t="shared" si="30"/>
        <v>783</v>
      </c>
      <c r="M82" s="74">
        <f t="shared" si="30"/>
        <v>758</v>
      </c>
      <c r="N82" s="74">
        <f t="shared" si="30"/>
        <v>783</v>
      </c>
      <c r="O82" s="74">
        <f>SUM(C82:N82)</f>
        <v>9220</v>
      </c>
      <c r="P82" s="806"/>
    </row>
    <row r="83" spans="1:18" customFormat="1" x14ac:dyDescent="0.2">
      <c r="A83" s="29" t="s">
        <v>189</v>
      </c>
      <c r="B83" s="29"/>
      <c r="C83" s="74">
        <f>ROUND(((0*C$1*0.005)+(0*C$1*0.02)),0)</f>
        <v>0</v>
      </c>
      <c r="D83" s="74">
        <f t="shared" ref="D83:N83" si="31">ROUND(((0*D$1*0.005)+(0*D$1*0.02)),0)</f>
        <v>0</v>
      </c>
      <c r="E83" s="74">
        <f t="shared" si="31"/>
        <v>0</v>
      </c>
      <c r="F83" s="74">
        <f t="shared" si="31"/>
        <v>0</v>
      </c>
      <c r="G83" s="74">
        <f t="shared" si="31"/>
        <v>0</v>
      </c>
      <c r="H83" s="74">
        <f t="shared" si="31"/>
        <v>0</v>
      </c>
      <c r="I83" s="74">
        <f t="shared" si="31"/>
        <v>0</v>
      </c>
      <c r="J83" s="74">
        <f t="shared" si="31"/>
        <v>0</v>
      </c>
      <c r="K83" s="74">
        <f t="shared" si="31"/>
        <v>0</v>
      </c>
      <c r="L83" s="74">
        <f t="shared" si="31"/>
        <v>0</v>
      </c>
      <c r="M83" s="74">
        <f t="shared" si="31"/>
        <v>0</v>
      </c>
      <c r="N83" s="74">
        <f t="shared" si="31"/>
        <v>0</v>
      </c>
      <c r="O83" s="74">
        <f>SUM(C83:N83)</f>
        <v>0</v>
      </c>
      <c r="P83" s="806"/>
    </row>
    <row r="84" spans="1:18" s="85" customFormat="1" x14ac:dyDescent="0.2">
      <c r="A84" s="83" t="s">
        <v>200</v>
      </c>
      <c r="B84" s="83"/>
      <c r="C84" s="84">
        <f>C73-C82-C70-C71-C72-C83</f>
        <v>1886.9999999999998</v>
      </c>
      <c r="D84" s="84">
        <f t="shared" ref="D84:N84" si="32">D73-D82-D70-D71-D72-D83</f>
        <v>1670.0000000000002</v>
      </c>
      <c r="E84" s="84">
        <f t="shared" si="32"/>
        <v>1750.0000000000002</v>
      </c>
      <c r="F84" s="84">
        <f t="shared" si="32"/>
        <v>1481.9999999999998</v>
      </c>
      <c r="G84" s="84">
        <f t="shared" si="32"/>
        <v>1526</v>
      </c>
      <c r="H84" s="84">
        <f t="shared" si="32"/>
        <v>1289</v>
      </c>
      <c r="I84" s="84">
        <f t="shared" si="32"/>
        <v>1590</v>
      </c>
      <c r="J84" s="84">
        <f t="shared" si="32"/>
        <v>1452.9999999999998</v>
      </c>
      <c r="K84" s="84">
        <f t="shared" si="32"/>
        <v>1566</v>
      </c>
      <c r="L84" s="84">
        <f t="shared" si="32"/>
        <v>1651</v>
      </c>
      <c r="M84" s="84">
        <f t="shared" si="32"/>
        <v>1387.0000000000002</v>
      </c>
      <c r="N84" s="84">
        <f t="shared" si="32"/>
        <v>1269</v>
      </c>
      <c r="O84" s="84">
        <f>SUM(C84:N84)</f>
        <v>18520</v>
      </c>
      <c r="P84" s="807"/>
    </row>
    <row r="85" spans="1:18" s="76" customFormat="1" x14ac:dyDescent="0.2">
      <c r="A85" s="76" t="s">
        <v>201</v>
      </c>
      <c r="C85" s="86">
        <f>SUM(C70:C72)</f>
        <v>-83.863386120000001</v>
      </c>
      <c r="D85" s="86">
        <f t="shared" ref="D85:N85" si="33">SUM(D70:D72)</f>
        <v>-77.350637280000001</v>
      </c>
      <c r="E85" s="86">
        <f t="shared" si="33"/>
        <v>-81.535019520000006</v>
      </c>
      <c r="F85" s="86">
        <f t="shared" si="33"/>
        <v>-73.29993300000001</v>
      </c>
      <c r="G85" s="86">
        <f t="shared" si="33"/>
        <v>-76.758375839999985</v>
      </c>
      <c r="H85" s="86">
        <f t="shared" si="33"/>
        <v>-85.563512099999983</v>
      </c>
      <c r="I85" s="86">
        <f t="shared" si="33"/>
        <v>-86.221184430000008</v>
      </c>
      <c r="J85" s="86">
        <f t="shared" si="33"/>
        <v>-93.068022059999976</v>
      </c>
      <c r="K85" s="86">
        <f t="shared" si="33"/>
        <v>-84.630946499999993</v>
      </c>
      <c r="L85" s="86">
        <f t="shared" si="33"/>
        <v>-87.34918608000001</v>
      </c>
      <c r="M85" s="86">
        <f t="shared" si="33"/>
        <v>-93.118147199999996</v>
      </c>
      <c r="N85" s="86">
        <f t="shared" si="33"/>
        <v>-107.12149200000002</v>
      </c>
      <c r="O85" s="86">
        <f>SUM(C85:N85)</f>
        <v>-1029.87984213</v>
      </c>
    </row>
    <row r="86" spans="1:18" customFormat="1" x14ac:dyDescent="0.2">
      <c r="A86" s="29" t="s">
        <v>219</v>
      </c>
      <c r="B86" s="29"/>
      <c r="C86" s="74">
        <f>SUM(C82:C85)</f>
        <v>2586.1366138799999</v>
      </c>
      <c r="D86" s="74">
        <f t="shared" ref="D86:N86" si="34">SUM(D82:D85)</f>
        <v>2299.6493627199998</v>
      </c>
      <c r="E86" s="74">
        <f t="shared" si="34"/>
        <v>2451.4649804800001</v>
      </c>
      <c r="F86" s="74">
        <f t="shared" si="34"/>
        <v>2166.7000669999998</v>
      </c>
      <c r="G86" s="74">
        <f t="shared" si="34"/>
        <v>2232.2416241599999</v>
      </c>
      <c r="H86" s="74">
        <f t="shared" si="34"/>
        <v>1961.4364879</v>
      </c>
      <c r="I86" s="74">
        <f t="shared" si="34"/>
        <v>2286.77881557</v>
      </c>
      <c r="J86" s="74">
        <f t="shared" si="34"/>
        <v>2142.9319779400003</v>
      </c>
      <c r="K86" s="74">
        <f t="shared" si="34"/>
        <v>2239.3690535000001</v>
      </c>
      <c r="L86" s="74">
        <f t="shared" si="34"/>
        <v>2346.65081392</v>
      </c>
      <c r="M86" s="74">
        <f t="shared" si="34"/>
        <v>2051.8818528000002</v>
      </c>
      <c r="N86" s="74">
        <f t="shared" si="34"/>
        <v>1944.878508</v>
      </c>
      <c r="O86" s="74">
        <f>SUM(C86:N86)</f>
        <v>26710.120157870006</v>
      </c>
      <c r="P86" s="806"/>
    </row>
    <row r="87" spans="1:18" customFormat="1" x14ac:dyDescent="0.2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806"/>
    </row>
    <row r="88" spans="1:18" customFormat="1" x14ac:dyDescent="0.2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806"/>
    </row>
    <row r="89" spans="1:18" customFormat="1" x14ac:dyDescent="0.2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806"/>
    </row>
    <row r="90" spans="1:18" x14ac:dyDescent="0.2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5" x14ac:dyDescent="0.25">
      <c r="A91" s="34" t="s">
        <v>625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">
      <c r="A94" s="92" t="s">
        <v>203</v>
      </c>
      <c r="B94" s="10"/>
      <c r="C94" s="93">
        <f>C48*$C$93</f>
        <v>32.008925999999995</v>
      </c>
      <c r="D94" s="93">
        <f t="shared" ref="D94:N94" si="35">D48*$C$93</f>
        <v>29.523144000000002</v>
      </c>
      <c r="E94" s="93">
        <f t="shared" si="35"/>
        <v>31.849616999999999</v>
      </c>
      <c r="F94" s="93">
        <f t="shared" si="35"/>
        <v>29.918339999999997</v>
      </c>
      <c r="G94" s="93">
        <f t="shared" si="35"/>
        <v>30.950957999999993</v>
      </c>
      <c r="H94" s="93">
        <f t="shared" si="35"/>
        <v>33.819569999999999</v>
      </c>
      <c r="I94" s="93">
        <f t="shared" si="35"/>
        <v>33.549099000000005</v>
      </c>
      <c r="J94" s="93">
        <f t="shared" si="35"/>
        <v>35.658245999999991</v>
      </c>
      <c r="K94" s="93">
        <f t="shared" si="35"/>
        <v>32.425649999999997</v>
      </c>
      <c r="L94" s="93">
        <f t="shared" si="35"/>
        <v>33.339383999999995</v>
      </c>
      <c r="M94" s="93">
        <f t="shared" si="35"/>
        <v>32.788079999999994</v>
      </c>
      <c r="N94" s="93">
        <f t="shared" si="35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">
      <c r="A95" s="92" t="s">
        <v>25</v>
      </c>
      <c r="B95" s="10"/>
      <c r="C95" s="783">
        <f>C78</f>
        <v>2.62</v>
      </c>
      <c r="D95" s="783">
        <f t="shared" ref="D95:N95" si="36">D78</f>
        <v>2.62</v>
      </c>
      <c r="E95" s="783">
        <f t="shared" si="36"/>
        <v>2.56</v>
      </c>
      <c r="F95" s="783">
        <f t="shared" si="36"/>
        <v>2.4500000000000002</v>
      </c>
      <c r="G95" s="783">
        <f t="shared" si="36"/>
        <v>2.48</v>
      </c>
      <c r="H95" s="783">
        <f t="shared" si="36"/>
        <v>2.5299999999999998</v>
      </c>
      <c r="I95" s="783">
        <f t="shared" si="36"/>
        <v>2.57</v>
      </c>
      <c r="J95" s="783">
        <f t="shared" si="36"/>
        <v>2.61</v>
      </c>
      <c r="K95" s="783">
        <f t="shared" si="36"/>
        <v>2.61</v>
      </c>
      <c r="L95" s="783">
        <f t="shared" si="36"/>
        <v>2.62</v>
      </c>
      <c r="M95" s="783">
        <f t="shared" si="36"/>
        <v>2.84</v>
      </c>
      <c r="N95" s="783">
        <f t="shared" si="36"/>
        <v>3</v>
      </c>
      <c r="O95" s="97"/>
      <c r="Q95" s="29">
        <v>2.37</v>
      </c>
      <c r="R95" s="29">
        <v>2.37</v>
      </c>
    </row>
    <row r="96" spans="1:18" x14ac:dyDescent="0.2">
      <c r="A96" s="92" t="s">
        <v>204</v>
      </c>
      <c r="B96" s="10"/>
      <c r="C96" s="98">
        <f>C94*C95</f>
        <v>83.863386119999987</v>
      </c>
      <c r="D96" s="98">
        <f>D94*D95</f>
        <v>77.350637280000015</v>
      </c>
      <c r="E96" s="98">
        <f t="shared" ref="E96:N96" si="37">E94*E95</f>
        <v>81.535019519999992</v>
      </c>
      <c r="F96" s="98">
        <f t="shared" si="37"/>
        <v>73.299932999999996</v>
      </c>
      <c r="G96" s="98">
        <f t="shared" si="37"/>
        <v>76.758375839999985</v>
      </c>
      <c r="H96" s="98">
        <f t="shared" si="37"/>
        <v>85.563512099999997</v>
      </c>
      <c r="I96" s="98">
        <f t="shared" si="37"/>
        <v>86.221184430000008</v>
      </c>
      <c r="J96" s="98">
        <f t="shared" si="37"/>
        <v>93.068022059999976</v>
      </c>
      <c r="K96" s="98">
        <f t="shared" si="37"/>
        <v>84.630946499999993</v>
      </c>
      <c r="L96" s="98">
        <f t="shared" si="37"/>
        <v>87.349186079999996</v>
      </c>
      <c r="M96" s="98">
        <f t="shared" si="37"/>
        <v>93.118147199999981</v>
      </c>
      <c r="N96" s="98">
        <f t="shared" si="37"/>
        <v>107.12149200000002</v>
      </c>
      <c r="O96" s="99">
        <f>SUM(C96:N96)</f>
        <v>1029.87984213</v>
      </c>
      <c r="Q96" s="95">
        <f>Q94*Q95</f>
        <v>996.44244449999997</v>
      </c>
      <c r="R96" s="95">
        <f>R94*R95</f>
        <v>1191.4420154999998</v>
      </c>
    </row>
    <row r="97" spans="1:16" x14ac:dyDescent="0.2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">
      <c r="A104" s="92" t="s">
        <v>204</v>
      </c>
      <c r="B104" s="10"/>
      <c r="C104" s="98">
        <f t="shared" ref="C104:N104" si="38">C102*C103</f>
        <v>154.86174000000005</v>
      </c>
      <c r="D104" s="98">
        <f t="shared" si="38"/>
        <v>137.90195999999995</v>
      </c>
      <c r="E104" s="98">
        <f t="shared" si="38"/>
        <v>150.85251</v>
      </c>
      <c r="F104" s="98">
        <f t="shared" si="38"/>
        <v>139.0446</v>
      </c>
      <c r="G104" s="98">
        <f t="shared" si="38"/>
        <v>147.73049999999998</v>
      </c>
      <c r="H104" s="98">
        <f t="shared" si="38"/>
        <v>146.14830000000001</v>
      </c>
      <c r="I104" s="98">
        <f t="shared" si="38"/>
        <v>133.12484999999998</v>
      </c>
      <c r="J104" s="98">
        <f t="shared" si="38"/>
        <v>140.18075999999999</v>
      </c>
      <c r="K104" s="98">
        <f t="shared" si="38"/>
        <v>130.51530000000002</v>
      </c>
      <c r="L104" s="98">
        <f t="shared" si="38"/>
        <v>142.61642999999998</v>
      </c>
      <c r="M104" s="98">
        <f t="shared" si="38"/>
        <v>141.24780000000001</v>
      </c>
      <c r="N104" s="98">
        <f t="shared" si="38"/>
        <v>154.68597</v>
      </c>
      <c r="O104" s="99">
        <f>SUM(C104:N104)</f>
        <v>1718.9107200000001</v>
      </c>
    </row>
    <row r="105" spans="1:16" x14ac:dyDescent="0.2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">
      <c r="A109" s="92" t="s">
        <v>206</v>
      </c>
      <c r="B109" s="10"/>
      <c r="C109" s="93">
        <f>(C59+C62+C63+C64)/C1</f>
        <v>25.604317225806454</v>
      </c>
      <c r="D109" s="93">
        <f t="shared" ref="D109:N109" si="39">(D59+D62+D63+D64)/D1</f>
        <v>25.126057714285714</v>
      </c>
      <c r="E109" s="93">
        <f t="shared" si="39"/>
        <v>24.274670419354845</v>
      </c>
      <c r="F109" s="93">
        <f t="shared" si="39"/>
        <v>22.106615333333327</v>
      </c>
      <c r="G109" s="93">
        <f t="shared" si="39"/>
        <v>21.868569096774195</v>
      </c>
      <c r="H109" s="93">
        <f t="shared" si="39"/>
        <v>19.028784333333341</v>
      </c>
      <c r="I109" s="93">
        <f t="shared" si="39"/>
        <v>22.136933258064513</v>
      </c>
      <c r="J109" s="93">
        <f t="shared" si="39"/>
        <v>20.18929529032258</v>
      </c>
      <c r="K109" s="93">
        <f t="shared" si="39"/>
        <v>22.305715000000014</v>
      </c>
      <c r="L109" s="93">
        <f t="shared" si="39"/>
        <v>22.659254709677427</v>
      </c>
      <c r="M109" s="93">
        <f t="shared" si="39"/>
        <v>19.100184000000002</v>
      </c>
      <c r="N109" s="93">
        <f t="shared" si="39"/>
        <v>16.731516000000006</v>
      </c>
      <c r="O109" s="94">
        <f>SUM(C109:N109)</f>
        <v>261.13191238095243</v>
      </c>
      <c r="P109" s="808">
        <f>O109/12</f>
        <v>21.760992698412704</v>
      </c>
    </row>
    <row r="110" spans="1:16" x14ac:dyDescent="0.2">
      <c r="A110" s="92" t="s">
        <v>207</v>
      </c>
      <c r="B110" s="10"/>
      <c r="C110" s="104">
        <v>5</v>
      </c>
      <c r="D110" s="104">
        <v>5</v>
      </c>
      <c r="E110" s="104">
        <v>5</v>
      </c>
      <c r="F110" s="104">
        <v>5</v>
      </c>
      <c r="G110" s="104">
        <v>5</v>
      </c>
      <c r="H110" s="104">
        <v>5</v>
      </c>
      <c r="I110" s="104">
        <v>5</v>
      </c>
      <c r="J110" s="104">
        <v>5</v>
      </c>
      <c r="K110" s="104">
        <v>5</v>
      </c>
      <c r="L110" s="104">
        <v>5</v>
      </c>
      <c r="M110" s="104">
        <v>5</v>
      </c>
      <c r="N110" s="104">
        <v>5</v>
      </c>
      <c r="O110" s="94">
        <f>SUM(C110:N110)</f>
        <v>60</v>
      </c>
      <c r="P110" s="808">
        <f>O110/12</f>
        <v>5</v>
      </c>
    </row>
    <row r="111" spans="1:16" x14ac:dyDescent="0.2">
      <c r="A111" s="92" t="s">
        <v>208</v>
      </c>
      <c r="B111" s="10"/>
      <c r="C111" s="105">
        <f>C109-C110</f>
        <v>20.604317225806454</v>
      </c>
      <c r="D111" s="105">
        <f t="shared" ref="D111:N111" si="40">D109-D110</f>
        <v>20.126057714285714</v>
      </c>
      <c r="E111" s="105">
        <f t="shared" si="40"/>
        <v>19.274670419354845</v>
      </c>
      <c r="F111" s="105">
        <f t="shared" si="40"/>
        <v>17.106615333333327</v>
      </c>
      <c r="G111" s="105">
        <f t="shared" si="40"/>
        <v>16.868569096774195</v>
      </c>
      <c r="H111" s="105">
        <f t="shared" si="40"/>
        <v>14.028784333333341</v>
      </c>
      <c r="I111" s="105">
        <f t="shared" si="40"/>
        <v>17.136933258064513</v>
      </c>
      <c r="J111" s="105">
        <f t="shared" si="40"/>
        <v>15.18929529032258</v>
      </c>
      <c r="K111" s="105">
        <f t="shared" si="40"/>
        <v>17.305715000000014</v>
      </c>
      <c r="L111" s="105">
        <f t="shared" si="40"/>
        <v>17.659254709677427</v>
      </c>
      <c r="M111" s="105">
        <f t="shared" si="40"/>
        <v>14.100184000000002</v>
      </c>
      <c r="N111" s="105">
        <f t="shared" si="40"/>
        <v>11.731516000000006</v>
      </c>
      <c r="O111" s="94">
        <f>SUM(C111:N111)</f>
        <v>201.13191238095243</v>
      </c>
      <c r="P111" s="808">
        <f>O111/12</f>
        <v>16.760992698412704</v>
      </c>
    </row>
    <row r="112" spans="1:16" x14ac:dyDescent="0.2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">
      <c r="F114" s="106">
        <f ca="1">(NOW())</f>
        <v>41885.92788761574</v>
      </c>
    </row>
    <row r="118" spans="1:19" x14ac:dyDescent="0.2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663</v>
      </c>
      <c r="Q118" s="43">
        <v>2003</v>
      </c>
      <c r="R118" s="43">
        <v>2004</v>
      </c>
      <c r="S118" s="43"/>
    </row>
    <row r="120" spans="1:19" x14ac:dyDescent="0.2">
      <c r="A120" s="860" t="s">
        <v>697</v>
      </c>
    </row>
    <row r="121" spans="1:19" x14ac:dyDescent="0.2">
      <c r="A121" s="860" t="s">
        <v>703</v>
      </c>
    </row>
    <row r="122" spans="1:19" x14ac:dyDescent="0.2">
      <c r="A122" s="860" t="s">
        <v>698</v>
      </c>
      <c r="C122" s="70">
        <f>C57+C58</f>
        <v>157.40900999999997</v>
      </c>
      <c r="D122" s="70">
        <f t="shared" ref="D122:N122" si="41">D57+D58</f>
        <v>143.96675999999999</v>
      </c>
      <c r="E122" s="70">
        <f t="shared" si="41"/>
        <v>149.24639999999999</v>
      </c>
      <c r="F122" s="70">
        <f t="shared" si="41"/>
        <v>184.46429999999998</v>
      </c>
      <c r="G122" s="70">
        <f t="shared" si="41"/>
        <v>187.49110000000002</v>
      </c>
      <c r="H122" s="70">
        <f t="shared" si="41"/>
        <v>179.75310000000002</v>
      </c>
      <c r="I122" s="70">
        <f t="shared" si="41"/>
        <v>181.35403000000002</v>
      </c>
      <c r="J122" s="70">
        <f t="shared" si="41"/>
        <v>176.27064999999999</v>
      </c>
      <c r="K122" s="70">
        <f t="shared" si="41"/>
        <v>162.63210000000001</v>
      </c>
      <c r="L122" s="70">
        <f t="shared" si="41"/>
        <v>163.90878000000001</v>
      </c>
      <c r="M122" s="70">
        <f t="shared" si="41"/>
        <v>174.06360000000001</v>
      </c>
      <c r="N122" s="70">
        <f t="shared" si="41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">
      <c r="A123" s="860" t="s">
        <v>700</v>
      </c>
      <c r="C123" s="70">
        <f>SUM(C52:C56)</f>
        <v>1610.33375</v>
      </c>
      <c r="D123" s="70">
        <f t="shared" ref="D123:N123" si="42">SUM(D52:D56)</f>
        <v>1458.086</v>
      </c>
      <c r="E123" s="70">
        <f t="shared" si="42"/>
        <v>1574.1180000000002</v>
      </c>
      <c r="F123" s="70">
        <f t="shared" si="42"/>
        <v>1389.6524999999999</v>
      </c>
      <c r="G123" s="70">
        <f t="shared" si="42"/>
        <v>1434.3855000000001</v>
      </c>
      <c r="H123" s="70">
        <f t="shared" si="42"/>
        <v>1641.93</v>
      </c>
      <c r="I123" s="70">
        <f t="shared" si="42"/>
        <v>1743.44</v>
      </c>
      <c r="J123" s="70">
        <f t="shared" si="42"/>
        <v>1767.25575</v>
      </c>
      <c r="K123" s="70">
        <f t="shared" si="42"/>
        <v>1702.9650000000004</v>
      </c>
      <c r="L123" s="70">
        <f t="shared" si="42"/>
        <v>1769.8675000000003</v>
      </c>
      <c r="M123" s="70">
        <f t="shared" si="42"/>
        <v>1625.73</v>
      </c>
      <c r="N123" s="70">
        <f t="shared" si="42"/>
        <v>1671.34175</v>
      </c>
      <c r="O123" s="70">
        <f>SUM(C123:N123)</f>
        <v>19389.105750000002</v>
      </c>
      <c r="P123" s="29">
        <f>ROUND(O123/12,1)</f>
        <v>1615.8</v>
      </c>
    </row>
    <row r="124" spans="1:19" x14ac:dyDescent="0.2">
      <c r="A124" s="860" t="s">
        <v>705</v>
      </c>
      <c r="C124" s="70">
        <f>SUM(C122:C123)</f>
        <v>1767.7427600000001</v>
      </c>
      <c r="D124" s="70">
        <f t="shared" ref="D124:P124" si="43">SUM(D122:D123)</f>
        <v>1602.05276</v>
      </c>
      <c r="E124" s="70">
        <f t="shared" si="43"/>
        <v>1723.3644000000002</v>
      </c>
      <c r="F124" s="70">
        <f t="shared" si="43"/>
        <v>1574.1167999999998</v>
      </c>
      <c r="G124" s="70">
        <f t="shared" si="43"/>
        <v>1621.8766000000001</v>
      </c>
      <c r="H124" s="70">
        <f t="shared" si="43"/>
        <v>1821.6831000000002</v>
      </c>
      <c r="I124" s="70">
        <f t="shared" si="43"/>
        <v>1924.79403</v>
      </c>
      <c r="J124" s="70">
        <f t="shared" si="43"/>
        <v>1943.5264</v>
      </c>
      <c r="K124" s="70">
        <f t="shared" si="43"/>
        <v>1865.5971000000004</v>
      </c>
      <c r="L124" s="70">
        <f t="shared" si="43"/>
        <v>1933.7762800000003</v>
      </c>
      <c r="M124" s="70">
        <f t="shared" si="43"/>
        <v>1799.7936</v>
      </c>
      <c r="N124" s="70">
        <f t="shared" si="43"/>
        <v>1856.3841600000001</v>
      </c>
      <c r="O124" s="70">
        <f t="shared" si="43"/>
        <v>21434.707990000003</v>
      </c>
      <c r="P124" s="70">
        <f t="shared" si="43"/>
        <v>1786.3</v>
      </c>
    </row>
    <row r="125" spans="1:19" x14ac:dyDescent="0.2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">
      <c r="A126" s="860" t="s">
        <v>702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701</v>
      </c>
      <c r="C127" s="70">
        <f>SUM(C17:C18)</f>
        <v>371.49400000000003</v>
      </c>
      <c r="D127" s="70">
        <f t="shared" ref="D127:N127" si="44">SUM(D17:D18)</f>
        <v>375.49399999999997</v>
      </c>
      <c r="E127" s="70">
        <f t="shared" si="44"/>
        <v>351.69400000000002</v>
      </c>
      <c r="F127" s="70">
        <f t="shared" si="44"/>
        <v>448.91999999999996</v>
      </c>
      <c r="G127" s="70">
        <f t="shared" si="44"/>
        <v>442.39100000000002</v>
      </c>
      <c r="H127" s="70">
        <f t="shared" si="44"/>
        <v>438.18599999999998</v>
      </c>
      <c r="I127" s="70">
        <f t="shared" si="44"/>
        <v>426.37700000000001</v>
      </c>
      <c r="J127" s="70">
        <f t="shared" si="44"/>
        <v>415.86699999999996</v>
      </c>
      <c r="K127" s="70">
        <f t="shared" si="44"/>
        <v>394.26299999999998</v>
      </c>
      <c r="L127" s="70">
        <f t="shared" si="44"/>
        <v>387.04</v>
      </c>
      <c r="M127" s="70">
        <f t="shared" si="44"/>
        <v>424.40999999999997</v>
      </c>
      <c r="N127" s="70">
        <f t="shared" si="44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">
      <c r="A128" s="860" t="s">
        <v>699</v>
      </c>
      <c r="C128" s="28">
        <f>SUM(C12:C16)</f>
        <v>2003.4739999999997</v>
      </c>
      <c r="D128" s="28">
        <f t="shared" ref="D128:N128" si="45">SUM(D12:D16)</f>
        <v>2037.9769999999999</v>
      </c>
      <c r="E128" s="28">
        <f t="shared" si="45"/>
        <v>1984.0690000000002</v>
      </c>
      <c r="F128" s="28">
        <f t="shared" si="45"/>
        <v>1811.7779999999998</v>
      </c>
      <c r="G128" s="28">
        <f t="shared" si="45"/>
        <v>1805.8449999999998</v>
      </c>
      <c r="H128" s="28">
        <f t="shared" si="45"/>
        <v>2002.8420000000001</v>
      </c>
      <c r="I128" s="28">
        <f t="shared" si="45"/>
        <v>2011.3430000000001</v>
      </c>
      <c r="J128" s="28">
        <f t="shared" si="45"/>
        <v>2091.0590000000002</v>
      </c>
      <c r="K128" s="28">
        <f t="shared" si="45"/>
        <v>2023.4559999999999</v>
      </c>
      <c r="L128" s="28">
        <f t="shared" si="45"/>
        <v>2025.7490000000003</v>
      </c>
      <c r="M128" s="28">
        <f t="shared" si="45"/>
        <v>2012.4739999999999</v>
      </c>
      <c r="N128" s="28">
        <f t="shared" si="45"/>
        <v>2061.7089999999998</v>
      </c>
      <c r="O128" s="70">
        <f>SUM(C128:N128)</f>
        <v>23871.774999999994</v>
      </c>
      <c r="P128" s="29">
        <f>ROUND(O128/12,1)</f>
        <v>1989.3</v>
      </c>
    </row>
    <row r="129" spans="1:16" x14ac:dyDescent="0.2">
      <c r="A129" s="860"/>
      <c r="C129" s="70">
        <f>SUM(C127:C128)</f>
        <v>2374.9679999999998</v>
      </c>
      <c r="D129" s="70">
        <f t="shared" ref="D129:N129" si="46">SUM(D127:D128)</f>
        <v>2413.471</v>
      </c>
      <c r="E129" s="70">
        <f t="shared" si="46"/>
        <v>2335.7630000000004</v>
      </c>
      <c r="F129" s="70">
        <f t="shared" si="46"/>
        <v>2260.6979999999999</v>
      </c>
      <c r="G129" s="70">
        <f t="shared" si="46"/>
        <v>2248.2359999999999</v>
      </c>
      <c r="H129" s="70">
        <f t="shared" si="46"/>
        <v>2441.0280000000002</v>
      </c>
      <c r="I129" s="70">
        <f t="shared" si="46"/>
        <v>2437.7200000000003</v>
      </c>
      <c r="J129" s="70">
        <f t="shared" si="46"/>
        <v>2506.9260000000004</v>
      </c>
      <c r="K129" s="70">
        <f t="shared" si="46"/>
        <v>2417.7190000000001</v>
      </c>
      <c r="L129" s="70">
        <f t="shared" si="46"/>
        <v>2412.7890000000002</v>
      </c>
      <c r="M129" s="70">
        <f t="shared" si="46"/>
        <v>2436.884</v>
      </c>
      <c r="N129" s="70">
        <f t="shared" si="46"/>
        <v>2498.8589999999999</v>
      </c>
      <c r="O129" s="70">
        <f>SUM(O127:O128)</f>
        <v>28785.060999999994</v>
      </c>
      <c r="P129" s="70">
        <f>SUM(P127:P128)</f>
        <v>2398.6999999999998</v>
      </c>
    </row>
    <row r="130" spans="1:16" x14ac:dyDescent="0.2">
      <c r="A130" s="860" t="s">
        <v>706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">
      <c r="A131" s="860" t="s">
        <v>711</v>
      </c>
      <c r="C131" s="70">
        <f>C122*1.1</f>
        <v>173.14991099999997</v>
      </c>
      <c r="D131" s="70">
        <f t="shared" ref="D131:N131" si="47">D122*1.1</f>
        <v>158.36343600000001</v>
      </c>
      <c r="E131" s="70">
        <f t="shared" si="47"/>
        <v>164.17104</v>
      </c>
      <c r="F131" s="70">
        <f t="shared" si="47"/>
        <v>202.91073</v>
      </c>
      <c r="G131" s="70">
        <f t="shared" si="47"/>
        <v>206.24021000000005</v>
      </c>
      <c r="H131" s="70">
        <f t="shared" si="47"/>
        <v>197.72841000000003</v>
      </c>
      <c r="I131" s="70">
        <f t="shared" si="47"/>
        <v>199.48943300000005</v>
      </c>
      <c r="J131" s="70">
        <f t="shared" si="47"/>
        <v>193.89771500000001</v>
      </c>
      <c r="K131" s="70">
        <f t="shared" si="47"/>
        <v>178.89531000000002</v>
      </c>
      <c r="L131" s="70">
        <f t="shared" si="47"/>
        <v>180.29965800000002</v>
      </c>
      <c r="M131" s="70">
        <f t="shared" si="47"/>
        <v>191.46996000000001</v>
      </c>
      <c r="N131" s="70">
        <f t="shared" si="47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">
      <c r="A132" s="860" t="s">
        <v>704</v>
      </c>
      <c r="C132" s="29">
        <f>ROUND((C128-C16)*C79*C1,2)</f>
        <v>734.37</v>
      </c>
      <c r="D132" s="29">
        <f t="shared" ref="D132:N132" si="48">ROUND((D128-D16)*D79*D1,2)</f>
        <v>679.6</v>
      </c>
      <c r="E132" s="29">
        <f t="shared" si="48"/>
        <v>742.71</v>
      </c>
      <c r="F132" s="29">
        <f t="shared" si="48"/>
        <v>639.04</v>
      </c>
      <c r="G132" s="29">
        <f t="shared" si="48"/>
        <v>665.79</v>
      </c>
      <c r="H132" s="29">
        <f t="shared" si="48"/>
        <v>927.5</v>
      </c>
      <c r="I132" s="29">
        <f t="shared" si="48"/>
        <v>913.99</v>
      </c>
      <c r="J132" s="29">
        <f t="shared" si="48"/>
        <v>998.77</v>
      </c>
      <c r="K132" s="29">
        <f t="shared" si="48"/>
        <v>903.4</v>
      </c>
      <c r="L132" s="29">
        <f t="shared" si="48"/>
        <v>933.58</v>
      </c>
      <c r="M132" s="29">
        <f t="shared" si="48"/>
        <v>914.19</v>
      </c>
      <c r="N132" s="29">
        <f t="shared" si="48"/>
        <v>1003.39</v>
      </c>
      <c r="O132" s="70">
        <f>SUM(C132:N132)</f>
        <v>10056.33</v>
      </c>
      <c r="P132" s="29">
        <f>ROUND(O132/12,1)</f>
        <v>838</v>
      </c>
    </row>
    <row r="133" spans="1:16" x14ac:dyDescent="0.2">
      <c r="A133" s="860"/>
      <c r="C133" s="70">
        <f>SUM(C131:C132)</f>
        <v>907.51991099999998</v>
      </c>
      <c r="D133" s="70">
        <f t="shared" ref="D133:N133" si="49">SUM(D131:D132)</f>
        <v>837.963436</v>
      </c>
      <c r="E133" s="70">
        <f t="shared" si="49"/>
        <v>906.88103999999998</v>
      </c>
      <c r="F133" s="70">
        <f t="shared" si="49"/>
        <v>841.95073000000002</v>
      </c>
      <c r="G133" s="70">
        <f t="shared" si="49"/>
        <v>872.03021000000001</v>
      </c>
      <c r="H133" s="70">
        <f t="shared" si="49"/>
        <v>1125.2284099999999</v>
      </c>
      <c r="I133" s="70">
        <f t="shared" si="49"/>
        <v>1113.479433</v>
      </c>
      <c r="J133" s="70">
        <f t="shared" si="49"/>
        <v>1192.667715</v>
      </c>
      <c r="K133" s="70">
        <f t="shared" si="49"/>
        <v>1082.29531</v>
      </c>
      <c r="L133" s="70">
        <f t="shared" si="49"/>
        <v>1113.8796580000001</v>
      </c>
      <c r="M133" s="70">
        <f t="shared" si="49"/>
        <v>1105.65996</v>
      </c>
      <c r="N133" s="70">
        <f t="shared" si="49"/>
        <v>1206.936651</v>
      </c>
      <c r="O133" s="70">
        <f>SUM(O131:O132)</f>
        <v>12306.492463999999</v>
      </c>
      <c r="P133" s="70">
        <f>SUM(P131:P132)</f>
        <v>1025.5</v>
      </c>
    </row>
    <row r="134" spans="1:16" x14ac:dyDescent="0.2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">
      <c r="A135" s="860" t="s">
        <v>707</v>
      </c>
      <c r="C135" s="71">
        <f>-C62</f>
        <v>942</v>
      </c>
      <c r="D135" s="71">
        <f t="shared" ref="D135:P135" si="50">-D62</f>
        <v>869</v>
      </c>
      <c r="E135" s="71">
        <f t="shared" si="50"/>
        <v>939</v>
      </c>
      <c r="F135" s="71">
        <f t="shared" si="50"/>
        <v>881</v>
      </c>
      <c r="G135" s="71">
        <f t="shared" si="50"/>
        <v>913</v>
      </c>
      <c r="H135" s="71">
        <f t="shared" si="50"/>
        <v>1217</v>
      </c>
      <c r="I135" s="71">
        <f t="shared" si="50"/>
        <v>1205</v>
      </c>
      <c r="J135" s="71">
        <f t="shared" si="50"/>
        <v>1282</v>
      </c>
      <c r="K135" s="71">
        <f t="shared" si="50"/>
        <v>1164</v>
      </c>
      <c r="L135" s="71">
        <f t="shared" si="50"/>
        <v>1198</v>
      </c>
      <c r="M135" s="71">
        <f t="shared" si="50"/>
        <v>1194</v>
      </c>
      <c r="N135" s="71">
        <f t="shared" si="50"/>
        <v>1302</v>
      </c>
      <c r="O135" s="71">
        <f t="shared" si="50"/>
        <v>13106</v>
      </c>
      <c r="P135" s="71">
        <f t="shared" si="50"/>
        <v>35.906849315068492</v>
      </c>
    </row>
    <row r="136" spans="1:16" x14ac:dyDescent="0.2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">
      <c r="A137" s="65" t="s">
        <v>710</v>
      </c>
      <c r="C137" s="70">
        <f>C133-C135</f>
        <v>-34.480089000000021</v>
      </c>
      <c r="D137" s="70">
        <f t="shared" ref="D137:P137" si="51">D133-D135</f>
        <v>-31.036563999999998</v>
      </c>
      <c r="E137" s="70">
        <f t="shared" si="51"/>
        <v>-32.118960000000015</v>
      </c>
      <c r="F137" s="70">
        <f t="shared" si="51"/>
        <v>-39.049269999999979</v>
      </c>
      <c r="G137" s="70">
        <f t="shared" si="51"/>
        <v>-40.969789999999989</v>
      </c>
      <c r="H137" s="70">
        <f t="shared" si="51"/>
        <v>-91.77159000000006</v>
      </c>
      <c r="I137" s="70">
        <f t="shared" si="51"/>
        <v>-91.520567000000028</v>
      </c>
      <c r="J137" s="70">
        <f t="shared" si="51"/>
        <v>-89.332284999999956</v>
      </c>
      <c r="K137" s="70">
        <f t="shared" si="51"/>
        <v>-81.704690000000028</v>
      </c>
      <c r="L137" s="70">
        <f t="shared" si="51"/>
        <v>-84.120341999999937</v>
      </c>
      <c r="M137" s="70">
        <f t="shared" si="51"/>
        <v>-88.340040000000045</v>
      </c>
      <c r="N137" s="70">
        <f t="shared" si="51"/>
        <v>-95.063349000000017</v>
      </c>
      <c r="O137" s="70">
        <f t="shared" si="51"/>
        <v>-799.50753600000098</v>
      </c>
      <c r="P137" s="70">
        <f t="shared" si="51"/>
        <v>989.59315068493152</v>
      </c>
    </row>
    <row r="139" spans="1:16" x14ac:dyDescent="0.2">
      <c r="A139" s="65" t="s">
        <v>708</v>
      </c>
      <c r="C139" s="968">
        <f>C75</f>
        <v>2.62</v>
      </c>
      <c r="D139" s="968">
        <f t="shared" ref="D139:P139" si="52">D75</f>
        <v>2.62</v>
      </c>
      <c r="E139" s="968">
        <f t="shared" si="52"/>
        <v>2.56</v>
      </c>
      <c r="F139" s="968">
        <f t="shared" si="52"/>
        <v>2.4500000000000002</v>
      </c>
      <c r="G139" s="968">
        <f t="shared" si="52"/>
        <v>2.48</v>
      </c>
      <c r="H139" s="968">
        <f t="shared" si="52"/>
        <v>2.5299999999999998</v>
      </c>
      <c r="I139" s="968">
        <f t="shared" si="52"/>
        <v>2.57</v>
      </c>
      <c r="J139" s="968">
        <f t="shared" si="52"/>
        <v>2.61</v>
      </c>
      <c r="K139" s="968">
        <f t="shared" si="52"/>
        <v>2.61</v>
      </c>
      <c r="L139" s="968">
        <f t="shared" si="52"/>
        <v>2.62</v>
      </c>
      <c r="M139" s="968">
        <f t="shared" si="52"/>
        <v>2.84</v>
      </c>
      <c r="N139" s="968">
        <f t="shared" si="52"/>
        <v>3</v>
      </c>
      <c r="O139" s="968">
        <f t="shared" si="52"/>
        <v>2.625833333333333</v>
      </c>
      <c r="P139" s="70">
        <f t="shared" si="52"/>
        <v>0</v>
      </c>
    </row>
    <row r="140" spans="1:16" x14ac:dyDescent="0.2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">
      <c r="A141" s="65" t="s">
        <v>709</v>
      </c>
      <c r="C141" s="70">
        <f>C137*C139</f>
        <v>-90.337833180000061</v>
      </c>
      <c r="D141" s="70">
        <f t="shared" ref="D141:P141" si="53">D137*D139</f>
        <v>-81.315797680000003</v>
      </c>
      <c r="E141" s="70">
        <f t="shared" si="53"/>
        <v>-82.224537600000048</v>
      </c>
      <c r="F141" s="70">
        <f t="shared" si="53"/>
        <v>-95.670711499999953</v>
      </c>
      <c r="G141" s="70">
        <f t="shared" si="53"/>
        <v>-101.60507919999998</v>
      </c>
      <c r="H141" s="70">
        <f t="shared" si="53"/>
        <v>-232.18212270000012</v>
      </c>
      <c r="I141" s="70">
        <f t="shared" si="53"/>
        <v>-235.20785719000006</v>
      </c>
      <c r="J141" s="70">
        <f t="shared" si="53"/>
        <v>-233.15726384999988</v>
      </c>
      <c r="K141" s="70">
        <f t="shared" si="53"/>
        <v>-213.24924090000007</v>
      </c>
      <c r="L141" s="70">
        <f t="shared" si="53"/>
        <v>-220.39529603999983</v>
      </c>
      <c r="M141" s="70">
        <f t="shared" si="53"/>
        <v>-250.88571360000012</v>
      </c>
      <c r="N141" s="70">
        <f t="shared" si="53"/>
        <v>-285.19004700000005</v>
      </c>
      <c r="O141" s="70">
        <f t="shared" si="53"/>
        <v>-2099.3735382800023</v>
      </c>
      <c r="P141" s="70">
        <f t="shared" si="53"/>
        <v>0</v>
      </c>
    </row>
  </sheetData>
  <phoneticPr fontId="10" type="noConversion"/>
  <pageMargins left="0" right="0" top="0.25" bottom="0.25" header="0.25" footer="0.25"/>
  <pageSetup scale="71" fitToHeight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H43" zoomScale="75" workbookViewId="0">
      <selection activeCell="N68" sqref="N68"/>
    </sheetView>
  </sheetViews>
  <sheetFormatPr defaultRowHeight="12.75" x14ac:dyDescent="0.2"/>
  <cols>
    <col min="1" max="1" width="24.42578125" customWidth="1"/>
    <col min="2" max="2" width="1.7109375" customWidth="1"/>
    <col min="3" max="3" width="11.7109375" customWidth="1"/>
    <col min="4" max="4" width="11.140625" customWidth="1"/>
    <col min="5" max="5" width="12.85546875" customWidth="1"/>
    <col min="6" max="6" width="10.85546875" customWidth="1"/>
    <col min="7" max="9" width="12" customWidth="1"/>
    <col min="10" max="11" width="11.85546875" customWidth="1"/>
    <col min="12" max="12" width="11.42578125" customWidth="1"/>
    <col min="13" max="13" width="11.5703125" customWidth="1"/>
    <col min="14" max="14" width="12.140625" customWidth="1"/>
    <col min="15" max="15" width="13.140625" customWidth="1"/>
    <col min="16" max="16" width="4.7109375" customWidth="1"/>
    <col min="17" max="17" width="16" customWidth="1"/>
    <col min="18" max="18" width="16.7109375" customWidth="1"/>
    <col min="19" max="19" width="15.140625" customWidth="1"/>
    <col min="20" max="20" width="16.85546875" customWidth="1"/>
    <col min="21" max="21" width="16" customWidth="1"/>
  </cols>
  <sheetData>
    <row r="1" spans="1:20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Q1" s="14">
        <f>SUM(C1:E1)</f>
        <v>90</v>
      </c>
      <c r="R1" s="14">
        <f>SUM(F1:H1)</f>
        <v>91</v>
      </c>
      <c r="S1" s="14">
        <f>SUM(I1:K1)</f>
        <v>92</v>
      </c>
      <c r="T1" s="14">
        <f>SUM(L1:N1)</f>
        <v>92</v>
      </c>
    </row>
    <row r="2" spans="1:20" ht="15.75" x14ac:dyDescent="0.25">
      <c r="A2" s="1115" t="s">
        <v>0</v>
      </c>
      <c r="B2" s="1115"/>
      <c r="C2" s="1115"/>
      <c r="D2" s="1115"/>
      <c r="E2" s="1115"/>
      <c r="F2" s="1115"/>
      <c r="G2" s="1115"/>
      <c r="H2" s="1115"/>
      <c r="I2" s="1115"/>
      <c r="J2" s="1115"/>
      <c r="K2" s="1115"/>
      <c r="L2" s="1115"/>
      <c r="M2" s="1115"/>
      <c r="N2" s="1115"/>
      <c r="O2" s="1115"/>
      <c r="Q2" s="1106" t="s">
        <v>0</v>
      </c>
      <c r="R2" s="1106"/>
      <c r="S2" s="1106"/>
      <c r="T2" s="1106"/>
    </row>
    <row r="3" spans="1:20" ht="15.75" x14ac:dyDescent="0.25">
      <c r="A3" s="1116" t="s">
        <v>595</v>
      </c>
      <c r="B3" s="1115"/>
      <c r="C3" s="1115"/>
      <c r="D3" s="1115"/>
      <c r="E3" s="1115"/>
      <c r="F3" s="1115"/>
      <c r="G3" s="1115"/>
      <c r="H3" s="1115"/>
      <c r="I3" s="1115"/>
      <c r="J3" s="1115"/>
      <c r="K3" s="1115"/>
      <c r="L3" s="1115"/>
      <c r="M3" s="1115"/>
      <c r="N3" s="1115"/>
      <c r="O3" s="1115"/>
      <c r="Q3" s="1106" t="s">
        <v>595</v>
      </c>
      <c r="R3" s="1106"/>
      <c r="S3" s="1106"/>
      <c r="T3" s="1106"/>
    </row>
    <row r="4" spans="1:20" x14ac:dyDescent="0.2">
      <c r="C4" s="46"/>
      <c r="D4" s="46"/>
      <c r="E4" s="46"/>
      <c r="F4" s="46"/>
      <c r="G4" s="41"/>
      <c r="H4" s="41"/>
      <c r="I4" s="41"/>
      <c r="J4" s="41"/>
      <c r="K4" s="41"/>
      <c r="L4" s="41"/>
      <c r="M4" s="41"/>
      <c r="N4" s="41"/>
      <c r="O4" s="2">
        <f ca="1">NOW()</f>
        <v>41885.92788761574</v>
      </c>
    </row>
    <row r="5" spans="1:20" x14ac:dyDescent="0.2">
      <c r="A5" s="48"/>
      <c r="C5" s="5"/>
      <c r="D5" s="5"/>
      <c r="E5" s="5"/>
      <c r="F5" s="5"/>
      <c r="G5" s="5"/>
      <c r="H5" s="46"/>
      <c r="I5" s="46"/>
      <c r="J5" s="46"/>
      <c r="K5" s="46"/>
      <c r="L5" s="46"/>
      <c r="M5" s="46"/>
      <c r="N5" s="46"/>
    </row>
    <row r="6" spans="1:20" x14ac:dyDescent="0.2">
      <c r="C6" s="3" t="s">
        <v>57</v>
      </c>
      <c r="D6" s="3" t="s">
        <v>58</v>
      </c>
      <c r="E6" s="3" t="s">
        <v>59</v>
      </c>
      <c r="F6" s="3" t="s">
        <v>60</v>
      </c>
      <c r="G6" s="3" t="s">
        <v>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2</v>
      </c>
      <c r="Q6" s="3" t="s">
        <v>12</v>
      </c>
      <c r="R6" s="3" t="s">
        <v>13</v>
      </c>
      <c r="S6" s="3" t="s">
        <v>14</v>
      </c>
      <c r="T6" s="3" t="s">
        <v>15</v>
      </c>
    </row>
    <row r="7" spans="1:20" ht="18" x14ac:dyDescent="0.25">
      <c r="A7" s="4" t="s">
        <v>3</v>
      </c>
      <c r="F7" s="5"/>
      <c r="G7" s="5"/>
      <c r="H7" s="5"/>
      <c r="I7" s="5"/>
      <c r="J7" s="5"/>
      <c r="K7" s="5"/>
      <c r="L7" s="5"/>
      <c r="M7" s="5"/>
      <c r="N7" s="5"/>
      <c r="O7" s="3"/>
    </row>
    <row r="8" spans="1:20" x14ac:dyDescent="0.2">
      <c r="A8" s="6" t="s">
        <v>4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9"/>
      <c r="Q8" s="26"/>
      <c r="R8" s="7"/>
      <c r="S8" s="7"/>
      <c r="T8" s="27"/>
    </row>
    <row r="9" spans="1:20" x14ac:dyDescent="0.2">
      <c r="A9" s="10" t="s">
        <v>5</v>
      </c>
      <c r="B9" s="11"/>
      <c r="C9" s="12">
        <f>Summary!B43</f>
        <v>1087.8999999999999</v>
      </c>
      <c r="D9" s="12">
        <f>Summary!C43</f>
        <v>1087.8999999999999</v>
      </c>
      <c r="E9" s="12">
        <f>Summary!D43</f>
        <v>1087.8999999999999</v>
      </c>
      <c r="F9" s="12">
        <f>Summary!E43</f>
        <v>1087.8999999999999</v>
      </c>
      <c r="G9" s="12">
        <f>Summary!F43</f>
        <v>1087.8999999999999</v>
      </c>
      <c r="H9" s="12">
        <f>Summary!G43</f>
        <v>1167.8999999999999</v>
      </c>
      <c r="I9" s="12">
        <f>Summary!H43</f>
        <v>1207.8999999999999</v>
      </c>
      <c r="J9" s="12">
        <f>Summary!I43</f>
        <v>1207.8999999999999</v>
      </c>
      <c r="K9" s="12">
        <f>Summary!J43</f>
        <v>1207.8999999999999</v>
      </c>
      <c r="L9" s="12">
        <f>Summary!K43</f>
        <v>1207.8999999999999</v>
      </c>
      <c r="M9" s="12">
        <f>Summary!L43</f>
        <v>1207.8999999999999</v>
      </c>
      <c r="N9" s="12">
        <f>Summary!M43</f>
        <v>1207.8999999999999</v>
      </c>
      <c r="O9" s="13">
        <f>AVERAGE(C9:N9)</f>
        <v>1154.5666666666664</v>
      </c>
      <c r="Q9" s="25">
        <f>AVERAGE(C9:E9)</f>
        <v>1087.8999999999999</v>
      </c>
      <c r="R9" s="25">
        <f>AVERAGE(F9:H9)</f>
        <v>1114.5666666666666</v>
      </c>
      <c r="S9" s="25">
        <f>AVERAGE(I9:K9)</f>
        <v>1207.8999999999999</v>
      </c>
      <c r="T9" s="25">
        <f>AVERAGE(L9:N9)</f>
        <v>1207.8999999999999</v>
      </c>
    </row>
    <row r="10" spans="1:20" x14ac:dyDescent="0.2">
      <c r="A10" t="s">
        <v>6</v>
      </c>
      <c r="C10" s="12">
        <f>Summary!B75</f>
        <v>795.21400000000006</v>
      </c>
      <c r="D10" s="12">
        <f>Summary!C75</f>
        <v>795.21400000000006</v>
      </c>
      <c r="E10" s="12">
        <f>Summary!D75</f>
        <v>750.21400000000006</v>
      </c>
      <c r="F10" s="12">
        <f>Summary!E75</f>
        <v>750.21400000000006</v>
      </c>
      <c r="G10" s="12">
        <f>Summary!F75</f>
        <v>736.827</v>
      </c>
      <c r="H10" s="12">
        <f>Summary!G75</f>
        <v>741.04700000000003</v>
      </c>
      <c r="I10" s="12">
        <f>Summary!H75</f>
        <v>745.61699999999996</v>
      </c>
      <c r="J10" s="12">
        <f>Summary!I75</f>
        <v>742.39099999999996</v>
      </c>
      <c r="K10" s="12">
        <f>Summary!J75</f>
        <v>736.04700000000003</v>
      </c>
      <c r="L10" s="12">
        <f>Summary!K75</f>
        <v>712</v>
      </c>
      <c r="M10" s="12">
        <f>Summary!L75</f>
        <v>757</v>
      </c>
      <c r="N10" s="12">
        <f>Summary!M75</f>
        <v>757</v>
      </c>
      <c r="O10" s="13">
        <f>AVERAGE(C10:N10)</f>
        <v>751.56541666666669</v>
      </c>
      <c r="Q10" s="25">
        <f>AVERAGE(C10:E10)</f>
        <v>780.21400000000006</v>
      </c>
      <c r="R10" s="25">
        <f>AVERAGE(F10:H10)</f>
        <v>742.69600000000003</v>
      </c>
      <c r="S10" s="25">
        <f>AVERAGE(I10:K10)</f>
        <v>741.35166666666657</v>
      </c>
      <c r="T10" s="25">
        <f>AVERAGE(L10:N10)</f>
        <v>742</v>
      </c>
    </row>
    <row r="11" spans="1:20" x14ac:dyDescent="0.2">
      <c r="A11" t="s">
        <v>7</v>
      </c>
      <c r="C11" s="12">
        <f>Summary!B92</f>
        <v>592</v>
      </c>
      <c r="D11" s="12">
        <f>Summary!C92</f>
        <v>592</v>
      </c>
      <c r="E11" s="12">
        <f>Summary!D92</f>
        <v>592</v>
      </c>
      <c r="F11" s="12">
        <f>Summary!E92</f>
        <v>592</v>
      </c>
      <c r="G11" s="12">
        <f>Summary!F92</f>
        <v>592</v>
      </c>
      <c r="H11" s="12">
        <f>Summary!G92</f>
        <v>592</v>
      </c>
      <c r="I11" s="12">
        <f>Summary!H92</f>
        <v>621</v>
      </c>
      <c r="J11" s="12">
        <f>Summary!I92</f>
        <v>621</v>
      </c>
      <c r="K11" s="12">
        <f>Summary!J92</f>
        <v>621</v>
      </c>
      <c r="L11" s="12">
        <f>Summary!K92</f>
        <v>592</v>
      </c>
      <c r="M11" s="12">
        <f>Summary!L92</f>
        <v>592</v>
      </c>
      <c r="N11" s="12">
        <f>Summary!M92</f>
        <v>592</v>
      </c>
      <c r="O11" s="13">
        <f>AVERAGE(C11:N11)</f>
        <v>599.25</v>
      </c>
      <c r="Q11" s="25">
        <f>AVERAGE(C11:E11)</f>
        <v>592</v>
      </c>
      <c r="R11" s="25">
        <f>AVERAGE(F11:H11)</f>
        <v>592</v>
      </c>
      <c r="S11" s="25">
        <f>AVERAGE(I11:K11)</f>
        <v>621</v>
      </c>
      <c r="T11" s="25">
        <f>AVERAGE(L11:N11)</f>
        <v>592</v>
      </c>
    </row>
    <row r="12" spans="1:20" x14ac:dyDescent="0.2">
      <c r="A12" t="s">
        <v>8</v>
      </c>
      <c r="C12" s="12">
        <f>Summary!B101</f>
        <v>497.5</v>
      </c>
      <c r="D12" s="12">
        <f>Summary!C101</f>
        <v>497.5</v>
      </c>
      <c r="E12" s="12">
        <f>Summary!D101</f>
        <v>477.5</v>
      </c>
      <c r="F12" s="12">
        <f>Summary!E101</f>
        <v>477.5</v>
      </c>
      <c r="G12" s="12">
        <f>Summary!F101</f>
        <v>477.5</v>
      </c>
      <c r="H12" s="12">
        <f>Summary!G101</f>
        <v>477.5</v>
      </c>
      <c r="I12" s="12">
        <f>Summary!H101</f>
        <v>477.5</v>
      </c>
      <c r="J12" s="12">
        <f>Summary!I101</f>
        <v>477.5</v>
      </c>
      <c r="K12" s="12">
        <f>Summary!J101</f>
        <v>477.5</v>
      </c>
      <c r="L12" s="12">
        <f>Summary!K101</f>
        <v>477.5</v>
      </c>
      <c r="M12" s="12">
        <f>Summary!L101</f>
        <v>456</v>
      </c>
      <c r="N12" s="12">
        <f>Summary!M101</f>
        <v>456</v>
      </c>
      <c r="O12" s="13">
        <f>AVERAGE(C12:N12)</f>
        <v>477.25</v>
      </c>
      <c r="Q12" s="25">
        <f>AVERAGE(C12:E12)</f>
        <v>490.83333333333331</v>
      </c>
      <c r="R12" s="25">
        <f>AVERAGE(F12:H12)</f>
        <v>477.5</v>
      </c>
      <c r="S12" s="25">
        <f>AVERAGE(I12:K12)</f>
        <v>477.5</v>
      </c>
      <c r="T12" s="25">
        <f>AVERAGE(L12:N12)</f>
        <v>463.16666666666669</v>
      </c>
    </row>
    <row r="13" spans="1:20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0" x14ac:dyDescent="0.2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0" x14ac:dyDescent="0.2">
      <c r="A15" s="6" t="s">
        <v>9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9"/>
      <c r="Q15" s="26"/>
      <c r="R15" s="7"/>
      <c r="S15" s="7"/>
      <c r="T15" s="27"/>
    </row>
    <row r="16" spans="1:20" x14ac:dyDescent="0.2">
      <c r="A16" s="10" t="s">
        <v>5</v>
      </c>
      <c r="B16" s="11"/>
      <c r="C16" s="15">
        <f>ROUND(C23/C9/C$1,4)</f>
        <v>0.2631</v>
      </c>
      <c r="D16" s="15">
        <f t="shared" ref="D16:N16" si="0">ROUND(D23/D9/D$1,4)</f>
        <v>0.25890000000000002</v>
      </c>
      <c r="E16" s="15">
        <f t="shared" si="0"/>
        <v>0.26050000000000001</v>
      </c>
      <c r="F16" s="15">
        <f t="shared" si="0"/>
        <v>0.26390000000000002</v>
      </c>
      <c r="G16" s="15">
        <f t="shared" si="0"/>
        <v>0.26369999999999999</v>
      </c>
      <c r="H16" s="15">
        <f t="shared" si="0"/>
        <v>0.27529999999999999</v>
      </c>
      <c r="I16" s="15">
        <f t="shared" si="0"/>
        <v>0.27810000000000001</v>
      </c>
      <c r="J16" s="15">
        <f t="shared" si="0"/>
        <v>0.2782</v>
      </c>
      <c r="K16" s="15">
        <f t="shared" si="0"/>
        <v>0.27829999999999999</v>
      </c>
      <c r="L16" s="15">
        <f t="shared" si="0"/>
        <v>0.27789999999999998</v>
      </c>
      <c r="M16" s="15">
        <f t="shared" si="0"/>
        <v>0.29509999999999997</v>
      </c>
      <c r="N16" s="15">
        <f t="shared" si="0"/>
        <v>0.29559999999999997</v>
      </c>
      <c r="O16" s="16">
        <f>AVERAGE(C16:N16)</f>
        <v>0.27404999999999996</v>
      </c>
      <c r="Q16" s="15">
        <f t="shared" ref="Q16:T19" si="1">ROUND(Q23/Q9/Q$1,4)</f>
        <v>0.26090000000000002</v>
      </c>
      <c r="R16" s="15">
        <f t="shared" si="1"/>
        <v>0.26769999999999999</v>
      </c>
      <c r="S16" s="15">
        <f t="shared" si="1"/>
        <v>0.2782</v>
      </c>
      <c r="T16" s="15">
        <f t="shared" si="1"/>
        <v>0.28949999999999998</v>
      </c>
    </row>
    <row r="17" spans="1:20" x14ac:dyDescent="0.2">
      <c r="A17" t="s">
        <v>6</v>
      </c>
      <c r="C17" s="15">
        <f t="shared" ref="C17:N19" si="2">ROUND(C24/C10/C$1,4)</f>
        <v>4.9799999999999997E-2</v>
      </c>
      <c r="D17" s="15">
        <f t="shared" si="2"/>
        <v>4.9700000000000001E-2</v>
      </c>
      <c r="E17" s="15">
        <f t="shared" si="2"/>
        <v>4.7800000000000002E-2</v>
      </c>
      <c r="F17" s="15">
        <f t="shared" si="2"/>
        <v>4.7399999999999998E-2</v>
      </c>
      <c r="G17" s="15">
        <f t="shared" si="2"/>
        <v>4.6800000000000001E-2</v>
      </c>
      <c r="H17" s="15">
        <f t="shared" si="2"/>
        <v>4.3200000000000002E-2</v>
      </c>
      <c r="I17" s="15">
        <f t="shared" si="2"/>
        <v>4.2999999999999997E-2</v>
      </c>
      <c r="J17" s="15">
        <f t="shared" si="2"/>
        <v>4.2999999999999997E-2</v>
      </c>
      <c r="K17" s="15">
        <f t="shared" si="2"/>
        <v>4.2900000000000001E-2</v>
      </c>
      <c r="L17" s="15">
        <f t="shared" si="2"/>
        <v>4.3700000000000003E-2</v>
      </c>
      <c r="M17" s="15">
        <f t="shared" si="2"/>
        <v>4.5400000000000003E-2</v>
      </c>
      <c r="N17" s="15">
        <f t="shared" si="2"/>
        <v>4.6100000000000002E-2</v>
      </c>
      <c r="O17" s="16">
        <f>AVERAGE(C17:N17)</f>
        <v>4.5733333333333341E-2</v>
      </c>
      <c r="Q17" s="15">
        <f t="shared" si="1"/>
        <v>4.9099999999999998E-2</v>
      </c>
      <c r="R17" s="15">
        <f t="shared" si="1"/>
        <v>4.58E-2</v>
      </c>
      <c r="S17" s="15">
        <f t="shared" si="1"/>
        <v>4.2999999999999997E-2</v>
      </c>
      <c r="T17" s="15">
        <f t="shared" si="1"/>
        <v>4.5100000000000001E-2</v>
      </c>
    </row>
    <row r="18" spans="1:20" x14ac:dyDescent="0.2">
      <c r="A18" t="s">
        <v>7</v>
      </c>
      <c r="C18" s="15">
        <f t="shared" si="2"/>
        <v>5.0799999999999998E-2</v>
      </c>
      <c r="D18" s="15">
        <f t="shared" si="2"/>
        <v>5.0299999999999997E-2</v>
      </c>
      <c r="E18" s="15">
        <f t="shared" si="2"/>
        <v>5.0299999999999997E-2</v>
      </c>
      <c r="F18" s="15">
        <f t="shared" si="2"/>
        <v>5.0700000000000002E-2</v>
      </c>
      <c r="G18" s="15">
        <f t="shared" si="2"/>
        <v>5.0900000000000001E-2</v>
      </c>
      <c r="H18" s="15">
        <f t="shared" si="2"/>
        <v>5.0799999999999998E-2</v>
      </c>
      <c r="I18" s="15">
        <f t="shared" si="2"/>
        <v>5.2299999999999999E-2</v>
      </c>
      <c r="J18" s="15">
        <f t="shared" si="2"/>
        <v>5.1900000000000002E-2</v>
      </c>
      <c r="K18" s="15">
        <f t="shared" si="2"/>
        <v>5.21E-2</v>
      </c>
      <c r="L18" s="15">
        <f t="shared" si="2"/>
        <v>5.0500000000000003E-2</v>
      </c>
      <c r="M18" s="15">
        <f t="shared" si="2"/>
        <v>5.0299999999999997E-2</v>
      </c>
      <c r="N18" s="15">
        <f t="shared" si="2"/>
        <v>5.0299999999999997E-2</v>
      </c>
      <c r="O18" s="16">
        <f>AVERAGE(C18:N18)</f>
        <v>5.0933333333333337E-2</v>
      </c>
      <c r="Q18" s="15">
        <f t="shared" si="1"/>
        <v>5.0500000000000003E-2</v>
      </c>
      <c r="R18" s="15">
        <f t="shared" si="1"/>
        <v>5.0799999999999998E-2</v>
      </c>
      <c r="S18" s="15">
        <f t="shared" si="1"/>
        <v>5.21E-2</v>
      </c>
      <c r="T18" s="15">
        <f t="shared" si="1"/>
        <v>5.04E-2</v>
      </c>
    </row>
    <row r="19" spans="1:20" x14ac:dyDescent="0.2">
      <c r="A19" t="s">
        <v>8</v>
      </c>
      <c r="C19" s="15">
        <f t="shared" si="2"/>
        <v>0.1037</v>
      </c>
      <c r="D19" s="15">
        <f t="shared" si="2"/>
        <v>0.1037</v>
      </c>
      <c r="E19" s="15">
        <f t="shared" si="2"/>
        <v>0.10349999999999999</v>
      </c>
      <c r="F19" s="15">
        <f t="shared" si="2"/>
        <v>0.10349999999999999</v>
      </c>
      <c r="G19" s="15">
        <f t="shared" si="2"/>
        <v>0.10349999999999999</v>
      </c>
      <c r="H19" s="15">
        <f t="shared" si="2"/>
        <v>0.10349999999999999</v>
      </c>
      <c r="I19" s="15">
        <f t="shared" si="2"/>
        <v>0.10349999999999999</v>
      </c>
      <c r="J19" s="15">
        <f t="shared" si="2"/>
        <v>0.10349999999999999</v>
      </c>
      <c r="K19" s="15">
        <f t="shared" si="2"/>
        <v>0.10349999999999999</v>
      </c>
      <c r="L19" s="15">
        <f t="shared" si="2"/>
        <v>0.10349999999999999</v>
      </c>
      <c r="M19" s="15">
        <f t="shared" si="2"/>
        <v>0.1082</v>
      </c>
      <c r="N19" s="15">
        <f t="shared" si="2"/>
        <v>0.1082</v>
      </c>
      <c r="O19" s="16">
        <f>AVERAGE(C19:N19)</f>
        <v>0.10431666666666668</v>
      </c>
      <c r="Q19" s="15">
        <f t="shared" si="1"/>
        <v>0.1036</v>
      </c>
      <c r="R19" s="15">
        <f t="shared" si="1"/>
        <v>0.10349999999999999</v>
      </c>
      <c r="S19" s="15">
        <f t="shared" si="1"/>
        <v>0.10349999999999999</v>
      </c>
      <c r="T19" s="15">
        <f t="shared" si="1"/>
        <v>0.1066</v>
      </c>
    </row>
    <row r="22" spans="1:20" x14ac:dyDescent="0.2">
      <c r="A22" s="6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9"/>
      <c r="Q22" s="26"/>
      <c r="R22" s="7"/>
      <c r="S22" s="7"/>
      <c r="T22" s="27"/>
    </row>
    <row r="23" spans="1:20" x14ac:dyDescent="0.2">
      <c r="A23" s="10" t="s">
        <v>5</v>
      </c>
      <c r="B23" s="11"/>
      <c r="C23" s="17">
        <f>Summary!B219</f>
        <v>8874.2296865000008</v>
      </c>
      <c r="D23" s="17">
        <f>Summary!C219</f>
        <v>7885.685934000001</v>
      </c>
      <c r="E23" s="17">
        <f>Summary!D219</f>
        <v>8784.0712860000003</v>
      </c>
      <c r="F23" s="17">
        <f>Summary!E219</f>
        <v>8614.3275900000008</v>
      </c>
      <c r="G23" s="17">
        <f>Summary!F219</f>
        <v>8893.3960129999996</v>
      </c>
      <c r="H23" s="17">
        <f>Summary!G219</f>
        <v>9646.1341649999995</v>
      </c>
      <c r="I23" s="17">
        <f>Summary!H219</f>
        <v>10413.084781199999</v>
      </c>
      <c r="J23" s="17">
        <f>Summary!I219</f>
        <v>10417.239751499999</v>
      </c>
      <c r="K23" s="17">
        <f>Summary!J219</f>
        <v>10083.369402</v>
      </c>
      <c r="L23" s="17">
        <f>Summary!K219</f>
        <v>10405.2059235</v>
      </c>
      <c r="M23" s="17">
        <f>Summary!L219</f>
        <v>10695.244068</v>
      </c>
      <c r="N23" s="17">
        <f>Summary!M219</f>
        <v>11067.631884999999</v>
      </c>
      <c r="O23" s="18">
        <f>SUM(C23:N23)</f>
        <v>115779.6204857</v>
      </c>
      <c r="Q23" s="18">
        <f>SUM(C23:E23)</f>
        <v>25543.986906500002</v>
      </c>
      <c r="R23" s="18">
        <f>SUM(F23:H23)</f>
        <v>27153.857767999998</v>
      </c>
      <c r="S23" s="18">
        <f>SUM(I23:K23)</f>
        <v>30913.693934699997</v>
      </c>
      <c r="T23" s="18">
        <f>SUM(L23:N23)</f>
        <v>32168.081876499997</v>
      </c>
    </row>
    <row r="24" spans="1:20" x14ac:dyDescent="0.2">
      <c r="A24" t="s">
        <v>6</v>
      </c>
      <c r="C24" s="12">
        <f>Summary!B252</f>
        <v>1227.4586315679999</v>
      </c>
      <c r="D24" s="12">
        <f>Summary!C252</f>
        <v>1107.4898723840001</v>
      </c>
      <c r="E24" s="12">
        <f>Summary!D252</f>
        <v>1112.397171568</v>
      </c>
      <c r="F24" s="12">
        <f>Summary!E252</f>
        <v>1065.8938041599999</v>
      </c>
      <c r="G24" s="12">
        <f>Summary!F252</f>
        <v>1069.7549815719999</v>
      </c>
      <c r="H24" s="12">
        <f>Summary!G252</f>
        <v>960.82695568000008</v>
      </c>
      <c r="I24" s="12">
        <f>Summary!H252</f>
        <v>993.25175274800006</v>
      </c>
      <c r="J24" s="12">
        <f>Summary!I252</f>
        <v>988.47899200399979</v>
      </c>
      <c r="K24" s="12">
        <f>Summary!J252</f>
        <v>947.96788371999992</v>
      </c>
      <c r="L24" s="12">
        <f>Summary!K252</f>
        <v>964.44440800000007</v>
      </c>
      <c r="M24" s="12">
        <f>Summary!L252</f>
        <v>1031.72812</v>
      </c>
      <c r="N24" s="12">
        <f>Summary!M252</f>
        <v>1081.8510200000001</v>
      </c>
      <c r="O24" s="19">
        <f>SUM(C24:N24)</f>
        <v>12551.543593403998</v>
      </c>
      <c r="Q24" s="14">
        <f>SUM(C24:E24)</f>
        <v>3447.34567552</v>
      </c>
      <c r="R24" s="14">
        <f>SUM(F24:H24)</f>
        <v>3096.4757414119999</v>
      </c>
      <c r="S24" s="14">
        <f>SUM(I24:K24)</f>
        <v>2929.6986284719997</v>
      </c>
      <c r="T24" s="14">
        <f>SUM(L24:N24)</f>
        <v>3078.0235480000001</v>
      </c>
    </row>
    <row r="25" spans="1:20" x14ac:dyDescent="0.2">
      <c r="A25" t="s">
        <v>7</v>
      </c>
      <c r="C25" s="12">
        <f>Summary!B270</f>
        <v>932.73336300000005</v>
      </c>
      <c r="D25" s="12">
        <f>Summary!C270</f>
        <v>833.819616</v>
      </c>
      <c r="E25" s="12">
        <f>Summary!D270</f>
        <v>923.25306699999987</v>
      </c>
      <c r="F25" s="12">
        <f>Summary!E270</f>
        <v>900.79977000000008</v>
      </c>
      <c r="G25" s="12">
        <f>Summary!F270</f>
        <v>933.34111799999994</v>
      </c>
      <c r="H25" s="12">
        <f>Summary!G270</f>
        <v>902.88131999999996</v>
      </c>
      <c r="I25" s="12">
        <f>Summary!H270</f>
        <v>1006.351884</v>
      </c>
      <c r="J25" s="12">
        <f>Summary!I270</f>
        <v>998.42245600000012</v>
      </c>
      <c r="K25" s="12">
        <f>Summary!J270</f>
        <v>969.8800500000001</v>
      </c>
      <c r="L25" s="12">
        <f>Summary!K270</f>
        <v>926.72280400000011</v>
      </c>
      <c r="M25" s="12">
        <f>Summary!L270</f>
        <v>892.79178000000002</v>
      </c>
      <c r="N25" s="12">
        <f>Summary!M270</f>
        <v>923.92449599999986</v>
      </c>
      <c r="O25" s="19">
        <f>SUM(C25:N25)</f>
        <v>11144.921724</v>
      </c>
      <c r="Q25" s="12">
        <f>SUM(C25:E25)</f>
        <v>2689.8060459999997</v>
      </c>
      <c r="R25" s="12">
        <f>SUM(F25:H25)</f>
        <v>2737.0222079999999</v>
      </c>
      <c r="S25" s="12">
        <f>SUM(I25:K25)</f>
        <v>2974.6543900000001</v>
      </c>
      <c r="T25" s="12">
        <f>SUM(L25:N25)</f>
        <v>2743.4390800000001</v>
      </c>
    </row>
    <row r="26" spans="1:20" ht="15" x14ac:dyDescent="0.35">
      <c r="A26" t="s">
        <v>8</v>
      </c>
      <c r="C26" s="20">
        <f>Summary!B280</f>
        <v>1598.546</v>
      </c>
      <c r="D26" s="20">
        <f>Summary!C280</f>
        <v>1443.848</v>
      </c>
      <c r="E26" s="20">
        <f>Summary!D280</f>
        <v>1531.9580000000001</v>
      </c>
      <c r="F26" s="20">
        <f>Summary!E280</f>
        <v>1482.54</v>
      </c>
      <c r="G26" s="20">
        <f>Summary!F280</f>
        <v>1531.9580000000001</v>
      </c>
      <c r="H26" s="20">
        <f>Summary!G280</f>
        <v>1482.54</v>
      </c>
      <c r="I26" s="20">
        <f>Summary!H280</f>
        <v>1531.9580000000001</v>
      </c>
      <c r="J26" s="20">
        <f>Summary!I280</f>
        <v>1531.9580000000001</v>
      </c>
      <c r="K26" s="20">
        <f>Summary!J280</f>
        <v>1482.54</v>
      </c>
      <c r="L26" s="20">
        <f>Summary!K280</f>
        <v>1531.9580000000001</v>
      </c>
      <c r="M26" s="20">
        <f>Summary!L280</f>
        <v>1479.66</v>
      </c>
      <c r="N26" s="20">
        <f>Summary!M280</f>
        <v>1528.982</v>
      </c>
      <c r="O26" s="21">
        <f>SUM(C26:N26)</f>
        <v>18158.446000000004</v>
      </c>
      <c r="Q26" s="23">
        <f>SUM(C26:E26)</f>
        <v>4574.3520000000008</v>
      </c>
      <c r="R26" s="23">
        <f>SUM(F26:H26)</f>
        <v>4497.0380000000005</v>
      </c>
      <c r="S26" s="23">
        <f>SUM(I26:K26)</f>
        <v>4546.4560000000001</v>
      </c>
      <c r="T26" s="23">
        <f>SUM(L26:N26)</f>
        <v>4540.6000000000004</v>
      </c>
    </row>
    <row r="27" spans="1:20" x14ac:dyDescent="0.2">
      <c r="C27" s="19">
        <f t="shared" ref="C27:H27" si="3">SUM(C23:C26)</f>
        <v>12632.967681068001</v>
      </c>
      <c r="D27" s="19">
        <f t="shared" si="3"/>
        <v>11270.843422384001</v>
      </c>
      <c r="E27" s="19">
        <f t="shared" si="3"/>
        <v>12351.679524568</v>
      </c>
      <c r="F27" s="19">
        <f t="shared" si="3"/>
        <v>12063.561164160001</v>
      </c>
      <c r="G27" s="19">
        <f t="shared" si="3"/>
        <v>12428.450112572</v>
      </c>
      <c r="H27" s="19">
        <f t="shared" si="3"/>
        <v>12992.382440680001</v>
      </c>
      <c r="I27" s="19">
        <f t="shared" ref="I27:O27" si="4">SUM(I23:I26)</f>
        <v>13944.646417947999</v>
      </c>
      <c r="J27" s="19">
        <f t="shared" si="4"/>
        <v>13936.099199504</v>
      </c>
      <c r="K27" s="19">
        <f t="shared" si="4"/>
        <v>13483.757335720002</v>
      </c>
      <c r="L27" s="19">
        <f t="shared" si="4"/>
        <v>13828.331135500001</v>
      </c>
      <c r="M27" s="19">
        <f t="shared" si="4"/>
        <v>14099.423967999999</v>
      </c>
      <c r="N27" s="19">
        <f t="shared" si="4"/>
        <v>14602.389400999999</v>
      </c>
      <c r="O27" s="19">
        <f t="shared" si="4"/>
        <v>157634.53180310398</v>
      </c>
      <c r="Q27" s="19">
        <f>SUM(Q23:Q26)</f>
        <v>36255.490628020001</v>
      </c>
      <c r="R27" s="19">
        <f>SUM(R23:R26)</f>
        <v>37484.393717412</v>
      </c>
      <c r="S27" s="19">
        <f>SUM(S23:S26)</f>
        <v>41364.502953171999</v>
      </c>
      <c r="T27" s="19">
        <f>SUM(T23:T26)</f>
        <v>42530.144504499993</v>
      </c>
    </row>
    <row r="28" spans="1:20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31" spans="1:20" x14ac:dyDescent="0.2">
      <c r="Q31" s="3" t="s">
        <v>12</v>
      </c>
      <c r="R31" s="3" t="s">
        <v>13</v>
      </c>
      <c r="S31" s="3" t="s">
        <v>14</v>
      </c>
      <c r="T31" s="3" t="s">
        <v>15</v>
      </c>
    </row>
    <row r="32" spans="1:20" ht="18" x14ac:dyDescent="0.25">
      <c r="A32" s="4" t="s">
        <v>11</v>
      </c>
      <c r="F32" s="5"/>
      <c r="G32" s="5"/>
      <c r="H32" s="5"/>
      <c r="I32" s="5"/>
      <c r="J32" s="5"/>
      <c r="K32" s="5"/>
      <c r="L32" s="5"/>
      <c r="M32" s="5"/>
      <c r="N32" s="5"/>
      <c r="O32" s="3"/>
    </row>
    <row r="33" spans="1:20" x14ac:dyDescent="0.2">
      <c r="A33" s="6" t="s">
        <v>4</v>
      </c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9"/>
      <c r="Q33" s="26"/>
      <c r="R33" s="7"/>
      <c r="S33" s="7"/>
      <c r="T33" s="27"/>
    </row>
    <row r="34" spans="1:20" x14ac:dyDescent="0.2">
      <c r="A34" s="10" t="s">
        <v>5</v>
      </c>
      <c r="B34" s="11"/>
      <c r="C34" s="12">
        <f>Summary!B42</f>
        <v>1019.7139999999999</v>
      </c>
      <c r="D34" s="12">
        <f>Summary!C42</f>
        <v>1022.067</v>
      </c>
      <c r="E34" s="12">
        <f>Summary!D42</f>
        <v>998.0139999999999</v>
      </c>
      <c r="F34" s="12">
        <f>Summary!E42</f>
        <v>910.34799999999996</v>
      </c>
      <c r="G34" s="12">
        <f>Summary!F42</f>
        <v>910.125</v>
      </c>
      <c r="H34" s="12">
        <f>Summary!G42</f>
        <v>1072.307</v>
      </c>
      <c r="I34" s="12">
        <f>Summary!H42</f>
        <v>1101.2380000000001</v>
      </c>
      <c r="J34" s="12">
        <f>Summary!I42</f>
        <v>1116.9490000000001</v>
      </c>
      <c r="K34" s="12">
        <f>Summary!J42</f>
        <v>1111.761</v>
      </c>
      <c r="L34" s="12">
        <f>Summary!K42</f>
        <v>1119.1390000000001</v>
      </c>
      <c r="M34" s="12">
        <f>Summary!L42</f>
        <v>1075.444</v>
      </c>
      <c r="N34" s="12">
        <f>Summary!M42</f>
        <v>1071.6489999999999</v>
      </c>
      <c r="O34" s="13">
        <f>AVERAGE(C34:N34)</f>
        <v>1044.0629166666665</v>
      </c>
      <c r="Q34" s="25">
        <f>AVERAGE(C34:E34)</f>
        <v>1013.265</v>
      </c>
      <c r="R34" s="25">
        <f>AVERAGE(F34:H34)</f>
        <v>964.25999999999988</v>
      </c>
      <c r="S34" s="25">
        <f>AVERAGE(I34:K34)</f>
        <v>1109.9826666666665</v>
      </c>
      <c r="T34" s="25">
        <f>AVERAGE(L34:N34)</f>
        <v>1088.7439999999999</v>
      </c>
    </row>
    <row r="35" spans="1:20" x14ac:dyDescent="0.2">
      <c r="A35" t="s">
        <v>6</v>
      </c>
      <c r="C35" s="12">
        <f>Summary!B74</f>
        <v>371.49400000000003</v>
      </c>
      <c r="D35" s="12">
        <f>Summary!C74</f>
        <v>375.49399999999997</v>
      </c>
      <c r="E35" s="12">
        <f>Summary!D74</f>
        <v>351.69400000000002</v>
      </c>
      <c r="F35" s="12">
        <f>Summary!E74</f>
        <v>448.91999999999996</v>
      </c>
      <c r="G35" s="12">
        <f>Summary!F74</f>
        <v>442.39100000000002</v>
      </c>
      <c r="H35" s="12">
        <f>Summary!G74</f>
        <v>438.18599999999998</v>
      </c>
      <c r="I35" s="12">
        <f>Summary!H74</f>
        <v>426.37700000000001</v>
      </c>
      <c r="J35" s="12">
        <f>Summary!I74</f>
        <v>415.86699999999996</v>
      </c>
      <c r="K35" s="12">
        <f>Summary!J74</f>
        <v>394.26299999999998</v>
      </c>
      <c r="L35" s="12">
        <f>Summary!K74</f>
        <v>387.04</v>
      </c>
      <c r="M35" s="12">
        <f>Summary!L74</f>
        <v>424.40999999999997</v>
      </c>
      <c r="N35" s="12">
        <f>Summary!M74</f>
        <v>437.15000000000003</v>
      </c>
      <c r="O35" s="13">
        <f>AVERAGE(C35:N35)</f>
        <v>409.44049999999993</v>
      </c>
      <c r="Q35" s="25">
        <f>AVERAGE(C35:E35)</f>
        <v>366.22733333333332</v>
      </c>
      <c r="R35" s="25">
        <f>AVERAGE(F35:H35)</f>
        <v>443.1656666666666</v>
      </c>
      <c r="S35" s="25">
        <f>AVERAGE(I35:K35)</f>
        <v>412.16899999999993</v>
      </c>
      <c r="T35" s="25">
        <f>AVERAGE(L35:N35)</f>
        <v>416.20000000000005</v>
      </c>
    </row>
    <row r="36" spans="1:20" x14ac:dyDescent="0.2">
      <c r="A36" t="s">
        <v>7</v>
      </c>
      <c r="C36" s="12">
        <f>Summary!B91</f>
        <v>506.15999999999997</v>
      </c>
      <c r="D36" s="12">
        <f>Summary!C91</f>
        <v>528.3599999999999</v>
      </c>
      <c r="E36" s="12">
        <f>Summary!D91</f>
        <v>532.43000000000006</v>
      </c>
      <c r="F36" s="12">
        <f>Summary!E91</f>
        <v>462.13</v>
      </c>
      <c r="G36" s="12">
        <f>Summary!F91</f>
        <v>485.07000000000005</v>
      </c>
      <c r="H36" s="12">
        <f>Summary!G91</f>
        <v>524.66</v>
      </c>
      <c r="I36" s="12">
        <f>Summary!H91</f>
        <v>456.48</v>
      </c>
      <c r="J36" s="12">
        <f>Summary!I91</f>
        <v>544.36</v>
      </c>
      <c r="K36" s="12">
        <f>Summary!J91</f>
        <v>477.16999999999996</v>
      </c>
      <c r="L36" s="12">
        <f>Summary!K91</f>
        <v>467.31</v>
      </c>
      <c r="M36" s="12">
        <f>Summary!L91</f>
        <v>522.06999999999994</v>
      </c>
      <c r="N36" s="12">
        <f>Summary!M91</f>
        <v>570.54</v>
      </c>
      <c r="O36" s="13">
        <f>AVERAGE(C36:N36)</f>
        <v>506.39499999999998</v>
      </c>
      <c r="Q36" s="25">
        <f>AVERAGE(C36:E36)</f>
        <v>522.31666666666672</v>
      </c>
      <c r="R36" s="25">
        <f>AVERAGE(F36:H36)</f>
        <v>490.62000000000006</v>
      </c>
      <c r="S36" s="25">
        <f>AVERAGE(I36:K36)</f>
        <v>492.67</v>
      </c>
      <c r="T36" s="25">
        <f>AVERAGE(L36:N36)</f>
        <v>519.97333333333324</v>
      </c>
    </row>
    <row r="37" spans="1:20" x14ac:dyDescent="0.2">
      <c r="A37" t="s">
        <v>8</v>
      </c>
      <c r="C37" s="12">
        <f>Summary!B100</f>
        <v>477.6</v>
      </c>
      <c r="D37" s="12">
        <f>Summary!C100</f>
        <v>487.55</v>
      </c>
      <c r="E37" s="12">
        <f>Summary!D100</f>
        <v>453.625</v>
      </c>
      <c r="F37" s="12">
        <f>Summary!E100</f>
        <v>439.3</v>
      </c>
      <c r="G37" s="12">
        <f>Summary!F100</f>
        <v>410.65</v>
      </c>
      <c r="H37" s="12">
        <f>Summary!G100</f>
        <v>405.875</v>
      </c>
      <c r="I37" s="12">
        <f>Summary!H100</f>
        <v>453.625</v>
      </c>
      <c r="J37" s="12">
        <f>Summary!I100</f>
        <v>429.75</v>
      </c>
      <c r="K37" s="12">
        <f>Summary!J100</f>
        <v>434.52499999999998</v>
      </c>
      <c r="L37" s="12">
        <f>Summary!K100</f>
        <v>439.3</v>
      </c>
      <c r="M37" s="12">
        <f>Summary!L100</f>
        <v>414.96</v>
      </c>
      <c r="N37" s="12">
        <f>Summary!M100</f>
        <v>419.52</v>
      </c>
      <c r="O37" s="13">
        <f>AVERAGE(C37:N37)</f>
        <v>438.85666666666674</v>
      </c>
      <c r="Q37" s="25">
        <f>AVERAGE(C37:E37)</f>
        <v>472.92500000000001</v>
      </c>
      <c r="R37" s="25">
        <f>AVERAGE(F37:H37)</f>
        <v>418.60833333333335</v>
      </c>
      <c r="S37" s="25">
        <f>AVERAGE(I37:K37)</f>
        <v>439.3</v>
      </c>
      <c r="T37" s="25">
        <f>AVERAGE(L37:N37)</f>
        <v>424.59333333333331</v>
      </c>
    </row>
    <row r="38" spans="1:20" x14ac:dyDescent="0.2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20" x14ac:dyDescent="0.2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20" x14ac:dyDescent="0.2">
      <c r="A40" s="6" t="s">
        <v>9</v>
      </c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9"/>
      <c r="Q40" s="26"/>
      <c r="R40" s="7"/>
      <c r="S40" s="7"/>
      <c r="T40" s="27"/>
    </row>
    <row r="41" spans="1:20" x14ac:dyDescent="0.2">
      <c r="A41" s="10" t="s">
        <v>5</v>
      </c>
      <c r="B41" s="11"/>
      <c r="C41" s="15">
        <f>ROUND(C48/C34/C$1,4)</f>
        <v>2.53E-2</v>
      </c>
      <c r="D41" s="15">
        <f t="shared" ref="D41:N41" si="5">ROUND(D48/D34/D$1,4)</f>
        <v>2.5499999999999998E-2</v>
      </c>
      <c r="E41" s="15">
        <f t="shared" si="5"/>
        <v>2.4299999999999999E-2</v>
      </c>
      <c r="F41" s="15">
        <f t="shared" si="5"/>
        <v>2.64E-2</v>
      </c>
      <c r="G41" s="15">
        <f t="shared" si="5"/>
        <v>2.6200000000000001E-2</v>
      </c>
      <c r="H41" s="15">
        <f t="shared" si="5"/>
        <v>2.6499999999999999E-2</v>
      </c>
      <c r="I41" s="15">
        <f t="shared" si="5"/>
        <v>2.6499999999999999E-2</v>
      </c>
      <c r="J41" s="15">
        <f t="shared" si="5"/>
        <v>2.6200000000000001E-2</v>
      </c>
      <c r="K41" s="15">
        <f t="shared" si="5"/>
        <v>2.58E-2</v>
      </c>
      <c r="L41" s="15">
        <f t="shared" si="5"/>
        <v>2.5700000000000001E-2</v>
      </c>
      <c r="M41" s="15">
        <f t="shared" si="5"/>
        <v>2.5999999999999999E-2</v>
      </c>
      <c r="N41" s="15">
        <f t="shared" si="5"/>
        <v>2.5700000000000001E-2</v>
      </c>
      <c r="O41" s="16">
        <f>AVERAGE(C41:N41)</f>
        <v>2.5841666666666666E-2</v>
      </c>
      <c r="Q41" s="15">
        <f t="shared" ref="Q41:T44" si="6">ROUND(Q48/Q34/Q$1,4)</f>
        <v>2.5000000000000001E-2</v>
      </c>
      <c r="R41" s="15">
        <f t="shared" si="6"/>
        <v>2.63E-2</v>
      </c>
      <c r="S41" s="15">
        <f t="shared" si="6"/>
        <v>2.6100000000000002E-2</v>
      </c>
      <c r="T41" s="15">
        <f t="shared" si="6"/>
        <v>2.58E-2</v>
      </c>
    </row>
    <row r="42" spans="1:20" x14ac:dyDescent="0.2">
      <c r="A42" t="s">
        <v>6</v>
      </c>
      <c r="C42" s="15">
        <f t="shared" ref="C42:N44" si="7">ROUND(C49/C35/C$1,4)</f>
        <v>1.14E-2</v>
      </c>
      <c r="D42" s="15">
        <f t="shared" si="7"/>
        <v>1.0699999999999999E-2</v>
      </c>
      <c r="E42" s="15">
        <f t="shared" si="7"/>
        <v>1.0999999999999999E-2</v>
      </c>
      <c r="F42" s="15">
        <f t="shared" si="7"/>
        <v>1.0699999999999999E-2</v>
      </c>
      <c r="G42" s="15">
        <f t="shared" si="7"/>
        <v>1.0500000000000001E-2</v>
      </c>
      <c r="H42" s="15">
        <f t="shared" si="7"/>
        <v>1.0999999999999999E-2</v>
      </c>
      <c r="I42" s="15">
        <f t="shared" si="7"/>
        <v>1.9400000000000001E-2</v>
      </c>
      <c r="J42" s="15">
        <f t="shared" si="7"/>
        <v>1.9099999999999999E-2</v>
      </c>
      <c r="K42" s="15">
        <f t="shared" si="7"/>
        <v>2.0400000000000001E-2</v>
      </c>
      <c r="L42" s="15">
        <f t="shared" si="7"/>
        <v>1.9900000000000001E-2</v>
      </c>
      <c r="M42" s="15">
        <f t="shared" si="7"/>
        <v>1.9400000000000001E-2</v>
      </c>
      <c r="N42" s="15">
        <f t="shared" si="7"/>
        <v>1.9699999999999999E-2</v>
      </c>
      <c r="O42" s="16">
        <f>AVERAGE(C42:N42)</f>
        <v>1.5266666666666666E-2</v>
      </c>
      <c r="Q42" s="15">
        <f t="shared" si="6"/>
        <v>1.0999999999999999E-2</v>
      </c>
      <c r="R42" s="15">
        <f t="shared" si="6"/>
        <v>1.0699999999999999E-2</v>
      </c>
      <c r="S42" s="15">
        <f t="shared" si="6"/>
        <v>1.9599999999999999E-2</v>
      </c>
      <c r="T42" s="15">
        <f t="shared" si="6"/>
        <v>1.9599999999999999E-2</v>
      </c>
    </row>
    <row r="43" spans="1:20" x14ac:dyDescent="0.2">
      <c r="A43" t="s">
        <v>7</v>
      </c>
      <c r="C43" s="15">
        <f t="shared" si="7"/>
        <v>5.5999999999999999E-3</v>
      </c>
      <c r="D43" s="15">
        <f t="shared" si="7"/>
        <v>3.8E-3</v>
      </c>
      <c r="E43" s="15">
        <f t="shared" si="7"/>
        <v>4.0000000000000001E-3</v>
      </c>
      <c r="F43" s="15">
        <f t="shared" si="7"/>
        <v>1.23E-2</v>
      </c>
      <c r="G43" s="15">
        <f t="shared" si="7"/>
        <v>1.6500000000000001E-2</v>
      </c>
      <c r="H43" s="15">
        <f t="shared" si="7"/>
        <v>1.78E-2</v>
      </c>
      <c r="I43" s="15">
        <f t="shared" si="7"/>
        <v>1.44E-2</v>
      </c>
      <c r="J43" s="15">
        <f t="shared" si="7"/>
        <v>1.24E-2</v>
      </c>
      <c r="K43" s="15">
        <f t="shared" si="7"/>
        <v>1.14E-2</v>
      </c>
      <c r="L43" s="15">
        <f t="shared" si="7"/>
        <v>9.2999999999999992E-3</v>
      </c>
      <c r="M43" s="15">
        <f t="shared" si="7"/>
        <v>4.1000000000000003E-3</v>
      </c>
      <c r="N43" s="15">
        <f t="shared" si="7"/>
        <v>5.0000000000000001E-3</v>
      </c>
      <c r="O43" s="16">
        <f>AVERAGE(C43:N43)</f>
        <v>9.7166666666666669E-3</v>
      </c>
      <c r="Q43" s="15">
        <f t="shared" si="6"/>
        <v>4.4999999999999997E-3</v>
      </c>
      <c r="R43" s="15">
        <f t="shared" si="6"/>
        <v>1.5599999999999999E-2</v>
      </c>
      <c r="S43" s="15">
        <f t="shared" si="6"/>
        <v>1.2699999999999999E-2</v>
      </c>
      <c r="T43" s="15">
        <f t="shared" si="6"/>
        <v>6.0000000000000001E-3</v>
      </c>
    </row>
    <row r="44" spans="1:20" x14ac:dyDescent="0.2">
      <c r="A44" t="s">
        <v>8</v>
      </c>
      <c r="C44" s="15">
        <f t="shared" si="7"/>
        <v>1.1000000000000001E-3</v>
      </c>
      <c r="D44" s="15">
        <f t="shared" si="7"/>
        <v>1.1000000000000001E-3</v>
      </c>
      <c r="E44" s="15">
        <f t="shared" si="7"/>
        <v>1.1000000000000001E-3</v>
      </c>
      <c r="F44" s="15">
        <f t="shared" si="7"/>
        <v>1.1000000000000001E-3</v>
      </c>
      <c r="G44" s="15">
        <f t="shared" si="7"/>
        <v>1.1000000000000001E-3</v>
      </c>
      <c r="H44" s="15">
        <f t="shared" si="7"/>
        <v>1.1000000000000001E-3</v>
      </c>
      <c r="I44" s="15">
        <f t="shared" si="7"/>
        <v>1.1000000000000001E-3</v>
      </c>
      <c r="J44" s="15">
        <f t="shared" si="7"/>
        <v>1.1000000000000001E-3</v>
      </c>
      <c r="K44" s="15">
        <f t="shared" si="7"/>
        <v>1.1000000000000001E-3</v>
      </c>
      <c r="L44" s="15">
        <f t="shared" si="7"/>
        <v>1.1000000000000001E-3</v>
      </c>
      <c r="M44" s="15">
        <f t="shared" si="7"/>
        <v>1.1000000000000001E-3</v>
      </c>
      <c r="N44" s="15">
        <f t="shared" si="7"/>
        <v>1.1000000000000001E-3</v>
      </c>
      <c r="O44" s="16">
        <f>AVERAGE(C44:N44)</f>
        <v>1.1000000000000001E-3</v>
      </c>
      <c r="Q44" s="15">
        <f t="shared" si="6"/>
        <v>1.1000000000000001E-3</v>
      </c>
      <c r="R44" s="15">
        <f t="shared" si="6"/>
        <v>1.1000000000000001E-3</v>
      </c>
      <c r="S44" s="15">
        <f t="shared" si="6"/>
        <v>1.1000000000000001E-3</v>
      </c>
      <c r="T44" s="15">
        <f t="shared" si="6"/>
        <v>1.1000000000000001E-3</v>
      </c>
    </row>
    <row r="47" spans="1:20" x14ac:dyDescent="0.2">
      <c r="A47" s="6" t="s">
        <v>10</v>
      </c>
      <c r="B47" s="7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9"/>
      <c r="Q47" s="26"/>
      <c r="R47" s="7"/>
      <c r="S47" s="7"/>
      <c r="T47" s="27"/>
    </row>
    <row r="48" spans="1:20" x14ac:dyDescent="0.2">
      <c r="A48" s="10" t="s">
        <v>5</v>
      </c>
      <c r="B48" s="11"/>
      <c r="C48" s="17">
        <f>Summary!B220</f>
        <v>801.0809999999999</v>
      </c>
      <c r="D48" s="17">
        <f>Summary!C220</f>
        <v>729.63099999999986</v>
      </c>
      <c r="E48" s="17">
        <f>Summary!D220</f>
        <v>752.63300000000004</v>
      </c>
      <c r="F48" s="17">
        <f>Summary!E220</f>
        <v>720.05500000000006</v>
      </c>
      <c r="G48" s="17">
        <f>Summary!F220</f>
        <v>739.55000000000007</v>
      </c>
      <c r="H48" s="17">
        <f>Summary!G220</f>
        <v>850.9369999999999</v>
      </c>
      <c r="I48" s="17">
        <f>Summary!H220</f>
        <v>903.02099999999996</v>
      </c>
      <c r="J48" s="17">
        <f>Summary!I220</f>
        <v>907.71199999999999</v>
      </c>
      <c r="K48" s="17">
        <f>Summary!J220</f>
        <v>859.47399999999993</v>
      </c>
      <c r="L48" s="17">
        <f>Summary!K220</f>
        <v>890.54</v>
      </c>
      <c r="M48" s="17">
        <f>Summary!L220</f>
        <v>838.72900000000004</v>
      </c>
      <c r="N48" s="17">
        <f>Summary!M220</f>
        <v>852.20400000000006</v>
      </c>
      <c r="O48" s="18">
        <f>SUM(C48:N48)</f>
        <v>9845.5669999999991</v>
      </c>
      <c r="Q48" s="18">
        <f>SUM(C48:E48)</f>
        <v>2283.3449999999998</v>
      </c>
      <c r="R48" s="18">
        <f>SUM(F48:H48)</f>
        <v>2310.5419999999999</v>
      </c>
      <c r="S48" s="18">
        <f>SUM(I48:K48)</f>
        <v>2670.2069999999999</v>
      </c>
      <c r="T48" s="18">
        <f>SUM(L48:N48)</f>
        <v>2581.473</v>
      </c>
    </row>
    <row r="49" spans="1:21" x14ac:dyDescent="0.2">
      <c r="A49" t="s">
        <v>6</v>
      </c>
      <c r="C49" s="12">
        <f>Summary!B253</f>
        <v>131.15600000000001</v>
      </c>
      <c r="D49" s="12">
        <f>Summary!C253</f>
        <v>113.00899999999997</v>
      </c>
      <c r="E49" s="12">
        <f>Summary!D253</f>
        <v>120.014</v>
      </c>
      <c r="F49" s="12">
        <f>Summary!E253</f>
        <v>143.572</v>
      </c>
      <c r="G49" s="12">
        <f>Summary!F253</f>
        <v>143.489</v>
      </c>
      <c r="H49" s="12">
        <f>Summary!G253</f>
        <v>144.09199999999998</v>
      </c>
      <c r="I49" s="12">
        <f>Summary!H253</f>
        <v>256.05099999999999</v>
      </c>
      <c r="J49" s="12">
        <f>Summary!I253</f>
        <v>245.88800000000001</v>
      </c>
      <c r="K49" s="12">
        <f>Summary!J253</f>
        <v>241.21699999999998</v>
      </c>
      <c r="L49" s="12">
        <f>Summary!K253</f>
        <v>238.28199999999998</v>
      </c>
      <c r="M49" s="12">
        <f>Summary!L253</f>
        <v>246.61499999999998</v>
      </c>
      <c r="N49" s="12">
        <f>Summary!M253</f>
        <v>267.35199999999998</v>
      </c>
      <c r="O49" s="19">
        <f>SUM(C49:N49)</f>
        <v>2290.7369999999996</v>
      </c>
      <c r="Q49" s="14">
        <f>SUM(C49:E49)</f>
        <v>364.17899999999997</v>
      </c>
      <c r="R49" s="14">
        <f>SUM(F49:H49)</f>
        <v>431.15300000000002</v>
      </c>
      <c r="S49" s="14">
        <f>SUM(I49:K49)</f>
        <v>743.15599999999995</v>
      </c>
      <c r="T49" s="14">
        <f>SUM(L49:N49)</f>
        <v>752.24899999999991</v>
      </c>
    </row>
    <row r="50" spans="1:21" x14ac:dyDescent="0.2">
      <c r="A50" t="s">
        <v>7</v>
      </c>
      <c r="C50" s="12">
        <f>Summary!B271</f>
        <v>87.783500000000004</v>
      </c>
      <c r="D50" s="12">
        <f>Summary!C271</f>
        <v>55.646999999999998</v>
      </c>
      <c r="E50" s="12">
        <f>Summary!D271</f>
        <v>66.248500000000007</v>
      </c>
      <c r="F50" s="12">
        <f>Summary!E271</f>
        <v>170.571</v>
      </c>
      <c r="G50" s="12">
        <f>Summary!F271</f>
        <v>248.40799999999999</v>
      </c>
      <c r="H50" s="12">
        <f>Summary!G271</f>
        <v>279.38599999999997</v>
      </c>
      <c r="I50" s="12">
        <f>Summary!H271</f>
        <v>204.08999999999997</v>
      </c>
      <c r="J50" s="12">
        <f>Summary!I271</f>
        <v>209.10300000000001</v>
      </c>
      <c r="K50" s="12">
        <f>Summary!J271</f>
        <v>163.245</v>
      </c>
      <c r="L50" s="12">
        <f>Summary!K271</f>
        <v>135.09800000000001</v>
      </c>
      <c r="M50" s="12">
        <f>Summary!L271</f>
        <v>63.874000000000002</v>
      </c>
      <c r="N50" s="12">
        <f>Summary!M271</f>
        <v>87.858999999999995</v>
      </c>
      <c r="O50" s="19">
        <f>SUM(C50:N50)</f>
        <v>1771.3129999999999</v>
      </c>
      <c r="Q50" s="12">
        <f>SUM(C50:E50)</f>
        <v>209.679</v>
      </c>
      <c r="R50" s="12">
        <f>SUM(F50:H50)</f>
        <v>698.36500000000001</v>
      </c>
      <c r="S50" s="12">
        <f>SUM(I50:K50)</f>
        <v>576.43799999999999</v>
      </c>
      <c r="T50" s="12">
        <f>SUM(L50:N50)</f>
        <v>286.83100000000002</v>
      </c>
    </row>
    <row r="51" spans="1:21" ht="15" x14ac:dyDescent="0.35">
      <c r="A51" t="s">
        <v>8</v>
      </c>
      <c r="C51" s="20">
        <f>Summary!B281</f>
        <v>16.286000000000001</v>
      </c>
      <c r="D51" s="20">
        <f>Summary!C281</f>
        <v>15.016999999999999</v>
      </c>
      <c r="E51" s="20">
        <f>Summary!D281</f>
        <v>15.468999999999999</v>
      </c>
      <c r="F51" s="20">
        <f>Summary!E281</f>
        <v>14.497</v>
      </c>
      <c r="G51" s="20">
        <f>Summary!F281</f>
        <v>14.003</v>
      </c>
      <c r="H51" s="20">
        <f>Summary!G281</f>
        <v>13.394</v>
      </c>
      <c r="I51" s="20">
        <f>Summary!H281</f>
        <v>15.468999999999999</v>
      </c>
      <c r="J51" s="20">
        <f>Summary!I281</f>
        <v>14.654</v>
      </c>
      <c r="K51" s="20">
        <f>Summary!J281</f>
        <v>14.339</v>
      </c>
      <c r="L51" s="20">
        <f>Summary!K281</f>
        <v>14.98</v>
      </c>
      <c r="M51" s="20">
        <f>Summary!L281</f>
        <v>13.694000000000001</v>
      </c>
      <c r="N51" s="20">
        <f>Summary!M281</f>
        <v>14.305999999999999</v>
      </c>
      <c r="O51" s="21">
        <f>SUM(C51:N51)</f>
        <v>176.10799999999998</v>
      </c>
      <c r="Q51" s="23">
        <f>SUM(C51:E51)</f>
        <v>46.771999999999998</v>
      </c>
      <c r="R51" s="23">
        <f>SUM(F51:H51)</f>
        <v>41.893999999999998</v>
      </c>
      <c r="S51" s="23">
        <f>SUM(I51:K51)</f>
        <v>44.461999999999996</v>
      </c>
      <c r="T51" s="23">
        <f>SUM(L51:N51)</f>
        <v>42.98</v>
      </c>
    </row>
    <row r="52" spans="1:21" x14ac:dyDescent="0.2">
      <c r="C52" s="19">
        <f t="shared" ref="C52:O52" si="8">SUM(C48:C51)</f>
        <v>1036.3064999999999</v>
      </c>
      <c r="D52" s="19">
        <f t="shared" si="8"/>
        <v>913.30399999999997</v>
      </c>
      <c r="E52" s="19">
        <f t="shared" si="8"/>
        <v>954.36450000000013</v>
      </c>
      <c r="F52" s="19">
        <f t="shared" si="8"/>
        <v>1048.6950000000002</v>
      </c>
      <c r="G52" s="19">
        <f t="shared" si="8"/>
        <v>1145.45</v>
      </c>
      <c r="H52" s="19">
        <f t="shared" si="8"/>
        <v>1287.809</v>
      </c>
      <c r="I52" s="19">
        <f t="shared" si="8"/>
        <v>1378.6309999999999</v>
      </c>
      <c r="J52" s="19">
        <f t="shared" si="8"/>
        <v>1377.357</v>
      </c>
      <c r="K52" s="19">
        <f t="shared" si="8"/>
        <v>1278.2749999999996</v>
      </c>
      <c r="L52" s="19">
        <f t="shared" si="8"/>
        <v>1278.8999999999999</v>
      </c>
      <c r="M52" s="19">
        <f t="shared" si="8"/>
        <v>1162.912</v>
      </c>
      <c r="N52" s="19">
        <f t="shared" si="8"/>
        <v>1221.721</v>
      </c>
      <c r="O52" s="19">
        <f t="shared" si="8"/>
        <v>14083.724999999999</v>
      </c>
      <c r="Q52" s="19">
        <f>SUM(Q48:Q51)</f>
        <v>2903.9749999999999</v>
      </c>
      <c r="R52" s="19">
        <f>SUM(R48:R51)</f>
        <v>3481.9539999999993</v>
      </c>
      <c r="S52" s="19">
        <f>SUM(S48:S51)</f>
        <v>4034.2629999999999</v>
      </c>
      <c r="T52" s="19">
        <f>SUM(T48:T51)</f>
        <v>3663.5329999999999</v>
      </c>
    </row>
    <row r="53" spans="1:21" x14ac:dyDescent="0.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5" spans="1:21" x14ac:dyDescent="0.2">
      <c r="A55" s="24" t="s">
        <v>623</v>
      </c>
      <c r="C55" s="22">
        <f>C52+C27</f>
        <v>13669.274181068002</v>
      </c>
      <c r="D55" s="22">
        <f t="shared" ref="D55:T55" si="9">D52+D27</f>
        <v>12184.147422384001</v>
      </c>
      <c r="E55" s="22">
        <f t="shared" si="9"/>
        <v>13306.044024568</v>
      </c>
      <c r="F55" s="22">
        <f t="shared" si="9"/>
        <v>13112.25616416</v>
      </c>
      <c r="G55" s="22">
        <f t="shared" si="9"/>
        <v>13573.900112572001</v>
      </c>
      <c r="H55" s="22">
        <f t="shared" si="9"/>
        <v>14280.191440680001</v>
      </c>
      <c r="I55" s="22">
        <f t="shared" si="9"/>
        <v>15323.277417947998</v>
      </c>
      <c r="J55" s="22">
        <f t="shared" si="9"/>
        <v>15313.456199504</v>
      </c>
      <c r="K55" s="22">
        <f t="shared" si="9"/>
        <v>14762.032335720001</v>
      </c>
      <c r="L55" s="22">
        <f t="shared" si="9"/>
        <v>15107.2311355</v>
      </c>
      <c r="M55" s="22">
        <f t="shared" si="9"/>
        <v>15262.335967999999</v>
      </c>
      <c r="N55" s="22">
        <f t="shared" si="9"/>
        <v>15824.110400999998</v>
      </c>
      <c r="O55" s="22">
        <f t="shared" si="9"/>
        <v>171718.25680310398</v>
      </c>
      <c r="Q55" s="22">
        <f t="shared" si="9"/>
        <v>39159.46562802</v>
      </c>
      <c r="R55" s="22">
        <f t="shared" si="9"/>
        <v>40966.347717411998</v>
      </c>
      <c r="S55" s="22">
        <f t="shared" si="9"/>
        <v>45398.765953171998</v>
      </c>
      <c r="T55" s="22">
        <f t="shared" si="9"/>
        <v>46193.677504499996</v>
      </c>
      <c r="U55" s="22">
        <f>SUM(Q55:T55)</f>
        <v>171718.25680310398</v>
      </c>
    </row>
    <row r="56" spans="1:21" x14ac:dyDescent="0.2">
      <c r="A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2"/>
      <c r="R56" s="22"/>
      <c r="S56" s="22"/>
      <c r="T56" s="22"/>
      <c r="U56" s="22"/>
    </row>
    <row r="58" spans="1:21" x14ac:dyDescent="0.2">
      <c r="A58" t="s">
        <v>222</v>
      </c>
      <c r="C58" s="17">
        <f>'Not Used -Annual Fuel Calc'!C82</f>
        <v>783</v>
      </c>
      <c r="D58" s="17">
        <f>'Not Used -Annual Fuel Calc'!D82</f>
        <v>707</v>
      </c>
      <c r="E58" s="17">
        <f>'Not Used -Annual Fuel Calc'!E82</f>
        <v>783</v>
      </c>
      <c r="F58" s="17">
        <f>'Not Used -Annual Fuel Calc'!F82</f>
        <v>758</v>
      </c>
      <c r="G58" s="17">
        <f>'Not Used -Annual Fuel Calc'!G82</f>
        <v>783</v>
      </c>
      <c r="H58" s="17">
        <f>'Not Used -Annual Fuel Calc'!H82</f>
        <v>758</v>
      </c>
      <c r="I58" s="17">
        <f>'Not Used -Annual Fuel Calc'!I82</f>
        <v>783</v>
      </c>
      <c r="J58" s="17">
        <f>'Not Used -Annual Fuel Calc'!J82</f>
        <v>783</v>
      </c>
      <c r="K58" s="17">
        <f>'Not Used -Annual Fuel Calc'!K82</f>
        <v>758</v>
      </c>
      <c r="L58" s="17">
        <f>'Not Used -Annual Fuel Calc'!L82</f>
        <v>783</v>
      </c>
      <c r="M58" s="17">
        <f>'Not Used -Annual Fuel Calc'!M82</f>
        <v>758</v>
      </c>
      <c r="N58" s="17">
        <f>'Not Used -Annual Fuel Calc'!N82</f>
        <v>783</v>
      </c>
      <c r="O58" s="22">
        <f>SUM(C58:N58)</f>
        <v>9220</v>
      </c>
      <c r="Q58" s="18">
        <f>SUM(C58:E58)</f>
        <v>2273</v>
      </c>
      <c r="R58" s="18">
        <f>SUM(F58:H58)</f>
        <v>2299</v>
      </c>
      <c r="S58" s="18">
        <f>SUM(I58:K58)</f>
        <v>2324</v>
      </c>
      <c r="T58" s="18">
        <f>SUM(L58:N58)</f>
        <v>2324</v>
      </c>
    </row>
    <row r="59" spans="1:21" x14ac:dyDescent="0.2">
      <c r="A59" t="s">
        <v>223</v>
      </c>
      <c r="C59" s="17">
        <f>'Not Used -Annual Fuel Calc'!C83</f>
        <v>0</v>
      </c>
      <c r="D59" s="17">
        <f>'Not Used -Annual Fuel Calc'!D83</f>
        <v>0</v>
      </c>
      <c r="E59" s="17">
        <f>'Not Used -Annual Fuel Calc'!E83</f>
        <v>0</v>
      </c>
      <c r="F59" s="17">
        <f>'Not Used -Annual Fuel Calc'!F83</f>
        <v>0</v>
      </c>
      <c r="G59" s="17">
        <f>'Not Used -Annual Fuel Calc'!G83</f>
        <v>0</v>
      </c>
      <c r="H59" s="17">
        <f>'Not Used -Annual Fuel Calc'!H83</f>
        <v>0</v>
      </c>
      <c r="I59" s="17">
        <f>'Not Used -Annual Fuel Calc'!I83</f>
        <v>0</v>
      </c>
      <c r="J59" s="17">
        <f>'Not Used -Annual Fuel Calc'!J83</f>
        <v>0</v>
      </c>
      <c r="K59" s="17">
        <f>'Not Used -Annual Fuel Calc'!K83</f>
        <v>0</v>
      </c>
      <c r="L59" s="17">
        <f>'Not Used -Annual Fuel Calc'!L83</f>
        <v>0</v>
      </c>
      <c r="M59" s="17">
        <f>'Not Used -Annual Fuel Calc'!M83</f>
        <v>0</v>
      </c>
      <c r="N59" s="17">
        <f>'Not Used -Annual Fuel Calc'!N83</f>
        <v>0</v>
      </c>
      <c r="O59" s="22">
        <f>SUM(C59:N59)</f>
        <v>0</v>
      </c>
      <c r="Q59" s="14">
        <f>SUM(C59:E59)</f>
        <v>0</v>
      </c>
      <c r="R59" s="14">
        <f>SUM(F59:H59)</f>
        <v>0</v>
      </c>
      <c r="S59" s="14">
        <f>SUM(I59:K59)</f>
        <v>0</v>
      </c>
      <c r="T59" s="14">
        <f>SUM(L59:N59)</f>
        <v>0</v>
      </c>
    </row>
    <row r="60" spans="1:21" x14ac:dyDescent="0.2">
      <c r="A60" t="s">
        <v>221</v>
      </c>
      <c r="C60" s="17">
        <f>'Not Used -Annual Fuel Calc'!C84</f>
        <v>1886.9999999999998</v>
      </c>
      <c r="D60" s="17">
        <f>'Not Used -Annual Fuel Calc'!D84</f>
        <v>1670.0000000000002</v>
      </c>
      <c r="E60" s="17">
        <f>'Not Used -Annual Fuel Calc'!E84</f>
        <v>1750.0000000000002</v>
      </c>
      <c r="F60" s="17">
        <f>'Not Used -Annual Fuel Calc'!F84</f>
        <v>1481.9999999999998</v>
      </c>
      <c r="G60" s="17">
        <f>'Not Used -Annual Fuel Calc'!G84</f>
        <v>1526</v>
      </c>
      <c r="H60" s="17">
        <f>'Not Used -Annual Fuel Calc'!H84</f>
        <v>1289</v>
      </c>
      <c r="I60" s="17">
        <f>'Not Used -Annual Fuel Calc'!I84</f>
        <v>1590</v>
      </c>
      <c r="J60" s="17">
        <f>'Not Used -Annual Fuel Calc'!J84</f>
        <v>1452.9999999999998</v>
      </c>
      <c r="K60" s="17">
        <f>'Not Used -Annual Fuel Calc'!K84</f>
        <v>1566</v>
      </c>
      <c r="L60" s="17">
        <f>'Not Used -Annual Fuel Calc'!L84</f>
        <v>1651</v>
      </c>
      <c r="M60" s="17">
        <f>'Not Used -Annual Fuel Calc'!M84</f>
        <v>1387.0000000000002</v>
      </c>
      <c r="N60" s="17">
        <f>'Not Used -Annual Fuel Calc'!N84</f>
        <v>1269</v>
      </c>
      <c r="O60" s="22">
        <f>SUM(C60:N60)</f>
        <v>18520</v>
      </c>
      <c r="Q60" s="12">
        <f>SUM(C60:E60)</f>
        <v>5307</v>
      </c>
      <c r="R60" s="12">
        <f>SUM(F60:H60)</f>
        <v>4297</v>
      </c>
      <c r="S60" s="12">
        <f>SUM(I60:K60)</f>
        <v>4609</v>
      </c>
      <c r="T60" s="12">
        <f>SUM(L60:N60)</f>
        <v>4307</v>
      </c>
    </row>
    <row r="61" spans="1:21" ht="15" x14ac:dyDescent="0.35">
      <c r="A61" t="s">
        <v>55</v>
      </c>
      <c r="C61" s="110">
        <f>'Not Used -Annual Fuel Calc'!C85</f>
        <v>-83.863386120000001</v>
      </c>
      <c r="D61" s="110">
        <f>'Not Used -Annual Fuel Calc'!D85</f>
        <v>-77.350637280000001</v>
      </c>
      <c r="E61" s="110">
        <f>'Not Used -Annual Fuel Calc'!E85</f>
        <v>-81.535019520000006</v>
      </c>
      <c r="F61" s="110">
        <f>'Not Used -Annual Fuel Calc'!F85</f>
        <v>-73.29993300000001</v>
      </c>
      <c r="G61" s="110">
        <f>'Not Used -Annual Fuel Calc'!G85</f>
        <v>-76.758375839999985</v>
      </c>
      <c r="H61" s="110">
        <f>'Not Used -Annual Fuel Calc'!H85</f>
        <v>-85.563512099999983</v>
      </c>
      <c r="I61" s="110">
        <f>'Not Used -Annual Fuel Calc'!I85</f>
        <v>-86.221184430000008</v>
      </c>
      <c r="J61" s="110">
        <f>'Not Used -Annual Fuel Calc'!J85</f>
        <v>-93.068022059999976</v>
      </c>
      <c r="K61" s="110">
        <f>'Not Used -Annual Fuel Calc'!K85</f>
        <v>-84.630946499999993</v>
      </c>
      <c r="L61" s="110">
        <f>'Not Used -Annual Fuel Calc'!L85</f>
        <v>-87.34918608000001</v>
      </c>
      <c r="M61" s="110">
        <f>'Not Used -Annual Fuel Calc'!M85</f>
        <v>-93.118147199999996</v>
      </c>
      <c r="N61" s="110">
        <f>'Not Used -Annual Fuel Calc'!N85</f>
        <v>-107.12149200000002</v>
      </c>
      <c r="O61" s="111">
        <f>SUM(C61:N61)</f>
        <v>-1029.87984213</v>
      </c>
      <c r="Q61" s="23">
        <f>SUM(C61:E61)</f>
        <v>-242.74904292000002</v>
      </c>
      <c r="R61" s="23">
        <f>SUM(F61:H61)</f>
        <v>-235.62182093999996</v>
      </c>
      <c r="S61" s="23">
        <f>SUM(I61:K61)</f>
        <v>-263.92015298999996</v>
      </c>
      <c r="T61" s="23">
        <f>SUM(L61:N61)</f>
        <v>-287.58882528000004</v>
      </c>
    </row>
    <row r="62" spans="1:21" x14ac:dyDescent="0.2">
      <c r="A62" t="s">
        <v>142</v>
      </c>
      <c r="C62" s="22">
        <f>SUM(C58:C61)</f>
        <v>2586.1366138799999</v>
      </c>
      <c r="D62" s="22">
        <f t="shared" ref="D62:N62" si="10">SUM(D58:D61)</f>
        <v>2299.6493627199998</v>
      </c>
      <c r="E62" s="22">
        <f t="shared" si="10"/>
        <v>2451.4649804800001</v>
      </c>
      <c r="F62" s="22">
        <f t="shared" si="10"/>
        <v>2166.7000669999998</v>
      </c>
      <c r="G62" s="22">
        <f t="shared" si="10"/>
        <v>2232.2416241599999</v>
      </c>
      <c r="H62" s="22">
        <f t="shared" si="10"/>
        <v>1961.4364879</v>
      </c>
      <c r="I62" s="22">
        <f t="shared" si="10"/>
        <v>2286.77881557</v>
      </c>
      <c r="J62" s="22">
        <f t="shared" si="10"/>
        <v>2142.9319779400003</v>
      </c>
      <c r="K62" s="22">
        <f t="shared" si="10"/>
        <v>2239.3690535000001</v>
      </c>
      <c r="L62" s="22">
        <f t="shared" si="10"/>
        <v>2346.65081392</v>
      </c>
      <c r="M62" s="22">
        <f t="shared" si="10"/>
        <v>2051.8818528000002</v>
      </c>
      <c r="N62" s="22">
        <f t="shared" si="10"/>
        <v>1944.878508</v>
      </c>
      <c r="O62" s="22">
        <f>SUM(C62:N62)</f>
        <v>26710.120157870006</v>
      </c>
      <c r="Q62" s="19">
        <f>SUM(Q58:Q61)</f>
        <v>7337.2509570800003</v>
      </c>
      <c r="R62" s="19">
        <f>SUM(R58:R61)</f>
        <v>6360.3781790599996</v>
      </c>
      <c r="S62" s="19">
        <f>SUM(S58:S61)</f>
        <v>6669.0798470099999</v>
      </c>
      <c r="T62" s="19">
        <f>SUM(T58:T61)</f>
        <v>6343.4111747200004</v>
      </c>
      <c r="U62" s="22">
        <f>SUM(Q62:T62)</f>
        <v>26710.120157869998</v>
      </c>
    </row>
  </sheetData>
  <mergeCells count="4">
    <mergeCell ref="A2:O2"/>
    <mergeCell ref="Q2:T2"/>
    <mergeCell ref="A3:O3"/>
    <mergeCell ref="Q3:T3"/>
  </mergeCells>
  <phoneticPr fontId="10" type="noConversion"/>
  <pageMargins left="0.25" right="0.25" top="0.5" bottom="0.25" header="0.25" footer="0.2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30"/>
  <sheetViews>
    <sheetView zoomScale="75" workbookViewId="0">
      <pane ySplit="4" topLeftCell="A68" activePane="bottomLeft" state="frozen"/>
      <selection pane="bottomLeft" activeCell="E100" sqref="E100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1032" customWidth="1"/>
    <col min="13" max="13" width="14.7109375" style="1018" customWidth="1"/>
    <col min="14" max="15" width="13.140625" style="458" customWidth="1"/>
    <col min="16" max="16" width="19.5703125" style="458" customWidth="1"/>
    <col min="17" max="17" width="27.85546875" style="561" customWidth="1"/>
    <col min="18" max="18" width="6" style="35" customWidth="1"/>
    <col min="19" max="19" width="6.42578125" style="35" customWidth="1"/>
    <col min="20" max="20" width="2.7109375" style="561" customWidth="1"/>
    <col min="21" max="21" width="13.140625" style="35" customWidth="1"/>
  </cols>
  <sheetData>
    <row r="1" spans="1:113" ht="8.25" customHeight="1" x14ac:dyDescent="0.25">
      <c r="A1" s="457"/>
      <c r="Q1" s="459"/>
      <c r="R1" s="460"/>
      <c r="S1" s="460"/>
      <c r="T1" s="459"/>
      <c r="U1" s="460"/>
    </row>
    <row r="2" spans="1:113" ht="20.25" x14ac:dyDescent="0.3">
      <c r="A2" s="461" t="s">
        <v>782</v>
      </c>
      <c r="Q2" s="462">
        <f ca="1">NOW()</f>
        <v>41885.92788761574</v>
      </c>
      <c r="R2" s="463"/>
      <c r="S2" s="463"/>
      <c r="T2" s="459"/>
      <c r="U2" s="460"/>
    </row>
    <row r="3" spans="1:113" x14ac:dyDescent="0.2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8" si="0">SUM(E6*F6)</f>
        <v>5392814</v>
      </c>
      <c r="H6" s="483">
        <f t="shared" ref="H6:H24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007" customFormat="1" ht="12.75" customHeight="1" x14ac:dyDescent="0.2">
      <c r="A7" s="996" t="s">
        <v>310</v>
      </c>
      <c r="B7" s="996" t="s">
        <v>311</v>
      </c>
      <c r="C7" s="997" t="s">
        <v>743</v>
      </c>
      <c r="D7" s="997"/>
      <c r="E7" s="998">
        <f>30+31+31+30</f>
        <v>122</v>
      </c>
      <c r="F7" s="999">
        <v>35715</v>
      </c>
      <c r="G7" s="999">
        <f>SUM(E7*F7)</f>
        <v>4357230</v>
      </c>
      <c r="H7" s="1000">
        <f>SUM(I7*30.4)</f>
        <v>1.2403200000000001</v>
      </c>
      <c r="I7" s="173">
        <f t="shared" ref="I7:I25" si="2">K7-J7</f>
        <v>4.0800000000000003E-2</v>
      </c>
      <c r="J7" s="1002">
        <v>9.1999999999999998E-3</v>
      </c>
      <c r="K7" s="1001">
        <v>0.05</v>
      </c>
      <c r="L7" s="1003">
        <f t="shared" ref="L7:L25" si="3">(SUM(K7*G7))-N7</f>
        <v>197417.5</v>
      </c>
      <c r="M7" s="1022">
        <v>0.51</v>
      </c>
      <c r="N7" s="484">
        <f t="shared" ref="N7:N25" si="4">ROUND(J7*G7*M7,0)</f>
        <v>20444</v>
      </c>
      <c r="O7" s="484">
        <f t="shared" ref="O7:O25" si="5">L7+N7</f>
        <v>217861.5</v>
      </c>
      <c r="P7" s="1003" t="s">
        <v>478</v>
      </c>
      <c r="Q7" s="1004"/>
      <c r="R7" s="1005"/>
      <c r="S7" s="1005"/>
      <c r="T7" s="1004"/>
      <c r="U7" s="1004"/>
      <c r="V7" s="1006"/>
      <c r="W7" s="1006"/>
      <c r="X7" s="1006"/>
      <c r="Y7" s="1006"/>
      <c r="Z7" s="1006"/>
      <c r="AA7" s="1006"/>
      <c r="AB7" s="1006"/>
      <c r="AC7" s="1006"/>
      <c r="AD7" s="1006"/>
      <c r="AE7" s="1006"/>
    </row>
    <row r="8" spans="1:113" s="193" customFormat="1" x14ac:dyDescent="0.2">
      <c r="A8" s="488">
        <v>24754</v>
      </c>
      <c r="B8" s="488" t="s">
        <v>313</v>
      </c>
      <c r="C8" s="489" t="s">
        <v>481</v>
      </c>
      <c r="D8" s="185">
        <v>38472</v>
      </c>
      <c r="E8" s="180">
        <v>365</v>
      </c>
      <c r="F8" s="490">
        <v>1000</v>
      </c>
      <c r="G8" s="491">
        <f t="shared" si="0"/>
        <v>365000</v>
      </c>
      <c r="H8" s="492">
        <f t="shared" si="1"/>
        <v>2.7603200000000001</v>
      </c>
      <c r="I8" s="173">
        <f t="shared" si="2"/>
        <v>9.0800000000000006E-2</v>
      </c>
      <c r="J8" s="493">
        <v>9.1999999999999998E-3</v>
      </c>
      <c r="K8" s="494">
        <v>0.1</v>
      </c>
      <c r="L8" s="484">
        <f t="shared" si="3"/>
        <v>34787</v>
      </c>
      <c r="M8" s="1022">
        <v>0.51</v>
      </c>
      <c r="N8" s="484">
        <f t="shared" si="4"/>
        <v>1713</v>
      </c>
      <c r="O8" s="484">
        <f t="shared" si="5"/>
        <v>36500</v>
      </c>
      <c r="P8" s="495" t="s">
        <v>482</v>
      </c>
      <c r="Q8" s="496" t="s">
        <v>483</v>
      </c>
      <c r="R8" s="497" t="s">
        <v>477</v>
      </c>
      <c r="S8" s="497" t="s">
        <v>477</v>
      </c>
      <c r="T8" s="498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506" customFormat="1" ht="12.75" customHeight="1" x14ac:dyDescent="0.2">
      <c r="A9" s="488">
        <v>25031</v>
      </c>
      <c r="B9" s="488" t="s">
        <v>314</v>
      </c>
      <c r="C9" s="181" t="s">
        <v>587</v>
      </c>
      <c r="D9" s="489">
        <v>39051</v>
      </c>
      <c r="E9" s="180"/>
      <c r="F9" s="490"/>
      <c r="G9" s="490"/>
      <c r="H9" s="502">
        <f t="shared" si="1"/>
        <v>0</v>
      </c>
      <c r="I9" s="173">
        <f t="shared" si="2"/>
        <v>0</v>
      </c>
      <c r="J9" s="493">
        <v>0</v>
      </c>
      <c r="K9" s="493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503" t="s">
        <v>478</v>
      </c>
      <c r="Q9" s="504" t="s">
        <v>484</v>
      </c>
      <c r="R9" s="505" t="s">
        <v>477</v>
      </c>
      <c r="S9" s="505" t="s">
        <v>477</v>
      </c>
      <c r="T9" s="504"/>
      <c r="U9" s="499"/>
      <c r="V9" s="498"/>
      <c r="W9" s="498"/>
      <c r="X9" s="498"/>
      <c r="Y9" s="498"/>
      <c r="Z9" s="498"/>
      <c r="AA9" s="498"/>
      <c r="AB9" s="498"/>
      <c r="AC9" s="500"/>
      <c r="AD9" s="500"/>
      <c r="AE9" s="500"/>
      <c r="AF9" s="501"/>
      <c r="AG9" s="501"/>
      <c r="AH9" s="501"/>
      <c r="AI9" s="501"/>
      <c r="AJ9" s="501"/>
    </row>
    <row r="10" spans="1:113" s="1017" customFormat="1" x14ac:dyDescent="0.2">
      <c r="A10" s="998">
        <v>25374</v>
      </c>
      <c r="B10" s="998" t="s">
        <v>485</v>
      </c>
      <c r="C10" s="1008">
        <v>35947</v>
      </c>
      <c r="D10" s="1008">
        <v>37225</v>
      </c>
      <c r="E10" s="998">
        <v>365</v>
      </c>
      <c r="F10" s="1009">
        <v>23000</v>
      </c>
      <c r="G10" s="1009">
        <f t="shared" si="0"/>
        <v>8395000</v>
      </c>
      <c r="H10" s="1010">
        <f t="shared" si="1"/>
        <v>1.2403200000000001</v>
      </c>
      <c r="I10" s="173">
        <f t="shared" si="2"/>
        <v>4.0800000000000003E-2</v>
      </c>
      <c r="J10" s="1011">
        <v>9.1999999999999998E-3</v>
      </c>
      <c r="K10" s="1011">
        <v>0.05</v>
      </c>
      <c r="L10" s="1003">
        <f t="shared" si="3"/>
        <v>380361</v>
      </c>
      <c r="M10" s="1022">
        <v>0.51</v>
      </c>
      <c r="N10" s="484">
        <f t="shared" si="4"/>
        <v>39389</v>
      </c>
      <c r="O10" s="484">
        <f t="shared" si="5"/>
        <v>419750</v>
      </c>
      <c r="P10" s="1012" t="s">
        <v>482</v>
      </c>
      <c r="Q10" s="1013" t="s">
        <v>486</v>
      </c>
      <c r="R10" s="1014" t="s">
        <v>477</v>
      </c>
      <c r="S10" s="1014" t="s">
        <v>477</v>
      </c>
      <c r="T10" s="1013"/>
      <c r="U10" s="1015"/>
      <c r="V10" s="1016"/>
      <c r="W10" s="1016"/>
      <c r="X10" s="1016"/>
      <c r="Y10" s="1016"/>
      <c r="Z10" s="1016"/>
      <c r="AA10" s="1016"/>
      <c r="AB10" s="1016"/>
      <c r="AC10" s="1016"/>
      <c r="AD10" s="1016"/>
      <c r="AE10" s="1016"/>
      <c r="AF10" s="1016"/>
      <c r="AG10" s="1016"/>
      <c r="AH10" s="1016"/>
      <c r="AI10" s="1016"/>
      <c r="AJ10" s="1016"/>
    </row>
    <row r="11" spans="1:113" s="739" customFormat="1" x14ac:dyDescent="0.2">
      <c r="A11" s="180">
        <v>25394</v>
      </c>
      <c r="B11" s="180" t="s">
        <v>621</v>
      </c>
      <c r="C11" s="181" t="s">
        <v>587</v>
      </c>
      <c r="D11" s="181"/>
      <c r="E11" s="180"/>
      <c r="F11" s="182">
        <v>5000</v>
      </c>
      <c r="G11" s="182">
        <f t="shared" si="0"/>
        <v>0</v>
      </c>
      <c r="H11" s="508">
        <f t="shared" si="1"/>
        <v>0</v>
      </c>
      <c r="I11" s="173">
        <f t="shared" si="2"/>
        <v>0</v>
      </c>
      <c r="J11" s="170">
        <v>0</v>
      </c>
      <c r="K11" s="170">
        <v>0</v>
      </c>
      <c r="L11" s="484">
        <f t="shared" si="3"/>
        <v>0</v>
      </c>
      <c r="M11" s="1022">
        <v>0.51</v>
      </c>
      <c r="N11" s="484">
        <f t="shared" si="4"/>
        <v>0</v>
      </c>
      <c r="O11" s="484">
        <f t="shared" si="5"/>
        <v>0</v>
      </c>
      <c r="P11" s="183" t="s">
        <v>622</v>
      </c>
      <c r="Q11" s="175"/>
      <c r="R11" s="509"/>
      <c r="S11" s="509"/>
      <c r="T11" s="175"/>
      <c r="U11" s="766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  <c r="AJ11" s="738"/>
    </row>
    <row r="12" spans="1:113" s="501" customFormat="1" x14ac:dyDescent="0.2">
      <c r="A12" s="180" t="s">
        <v>765</v>
      </c>
      <c r="B12" s="180" t="s">
        <v>284</v>
      </c>
      <c r="C12" s="181">
        <v>36100</v>
      </c>
      <c r="D12" s="181">
        <v>37925</v>
      </c>
      <c r="E12" s="180">
        <v>365</v>
      </c>
      <c r="F12" s="182">
        <v>40000</v>
      </c>
      <c r="G12" s="182">
        <f t="shared" si="0"/>
        <v>14600000</v>
      </c>
      <c r="H12" s="508">
        <f t="shared" si="1"/>
        <v>1.8483200000000002</v>
      </c>
      <c r="I12" s="173">
        <f t="shared" si="2"/>
        <v>6.0800000000000007E-2</v>
      </c>
      <c r="J12" s="170">
        <v>9.1999999999999998E-3</v>
      </c>
      <c r="K12" s="170">
        <v>7.0000000000000007E-2</v>
      </c>
      <c r="L12" s="484">
        <f t="shared" si="3"/>
        <v>953497.00000000012</v>
      </c>
      <c r="M12" s="1022">
        <v>0.51</v>
      </c>
      <c r="N12" s="484">
        <f t="shared" si="4"/>
        <v>68503</v>
      </c>
      <c r="O12" s="484">
        <f t="shared" si="5"/>
        <v>1022000.0000000001</v>
      </c>
      <c r="P12" s="183" t="s">
        <v>488</v>
      </c>
      <c r="Q12" s="510" t="s">
        <v>489</v>
      </c>
      <c r="R12" s="511" t="s">
        <v>477</v>
      </c>
      <c r="S12" s="511" t="s">
        <v>490</v>
      </c>
      <c r="T12" s="175"/>
      <c r="U12" s="175" t="s">
        <v>491</v>
      </c>
      <c r="V12" s="168"/>
      <c r="W12" s="168"/>
      <c r="X12" s="168"/>
      <c r="Y12" s="168"/>
      <c r="Z12" s="168"/>
      <c r="AA12" s="168"/>
      <c r="AB12" s="168"/>
      <c r="AC12" s="498"/>
      <c r="AD12" s="498"/>
      <c r="AE12" s="498"/>
      <c r="AF12" s="193"/>
      <c r="AG12" s="193"/>
      <c r="AH12" s="193"/>
      <c r="AI12" s="193"/>
      <c r="AJ12" s="193"/>
    </row>
    <row r="13" spans="1:113" s="501" customFormat="1" ht="12.75" customHeight="1" x14ac:dyDescent="0.2">
      <c r="A13" s="488">
        <v>26740</v>
      </c>
      <c r="B13" s="488" t="s">
        <v>766</v>
      </c>
      <c r="C13" s="489">
        <v>36312</v>
      </c>
      <c r="D13" s="489">
        <v>39113</v>
      </c>
      <c r="E13" s="180">
        <v>365</v>
      </c>
      <c r="F13" s="490">
        <v>8000</v>
      </c>
      <c r="G13" s="490">
        <f t="shared" si="0"/>
        <v>2920000</v>
      </c>
      <c r="H13" s="502">
        <f t="shared" si="1"/>
        <v>1.2403200000000001</v>
      </c>
      <c r="I13" s="173">
        <f t="shared" si="2"/>
        <v>4.0800000000000003E-2</v>
      </c>
      <c r="J13" s="170">
        <v>9.1999999999999998E-3</v>
      </c>
      <c r="K13" s="493">
        <v>0.05</v>
      </c>
      <c r="L13" s="484">
        <f t="shared" si="3"/>
        <v>132299</v>
      </c>
      <c r="M13" s="1022">
        <v>0.51</v>
      </c>
      <c r="N13" s="484">
        <f t="shared" si="4"/>
        <v>13701</v>
      </c>
      <c r="O13" s="484">
        <f t="shared" si="5"/>
        <v>146000</v>
      </c>
      <c r="P13" s="503" t="s">
        <v>492</v>
      </c>
      <c r="Q13" s="175" t="s">
        <v>493</v>
      </c>
      <c r="R13" s="505" t="s">
        <v>477</v>
      </c>
      <c r="S13" s="505" t="s">
        <v>494</v>
      </c>
      <c r="T13" s="498"/>
      <c r="U13" s="498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06"/>
      <c r="AG13" s="506"/>
      <c r="AH13" s="506"/>
      <c r="AI13" s="506"/>
      <c r="AJ13" s="506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  <c r="DI13" s="513"/>
    </row>
    <row r="14" spans="1:113" s="501" customFormat="1" x14ac:dyDescent="0.2">
      <c r="A14" s="488">
        <v>27104</v>
      </c>
      <c r="B14" s="488" t="s">
        <v>495</v>
      </c>
      <c r="C14" s="489">
        <v>36557</v>
      </c>
      <c r="D14" s="181">
        <v>38383</v>
      </c>
      <c r="E14" s="180">
        <f>31+30+31+31+30</f>
        <v>153</v>
      </c>
      <c r="F14" s="490">
        <f>((1613+8333+12903+9677+3333)/5)+17</f>
        <v>7188.8</v>
      </c>
      <c r="G14" s="490">
        <f t="shared" si="0"/>
        <v>1099886.4000000001</v>
      </c>
      <c r="H14" s="502">
        <f t="shared" si="1"/>
        <v>1.2403200000000001</v>
      </c>
      <c r="I14" s="173">
        <f t="shared" si="2"/>
        <v>4.0800000000000003E-2</v>
      </c>
      <c r="J14" s="170">
        <v>9.1999999999999998E-3</v>
      </c>
      <c r="K14" s="493">
        <v>0.05</v>
      </c>
      <c r="L14" s="484">
        <f t="shared" si="3"/>
        <v>49833.320000000007</v>
      </c>
      <c r="M14" s="1022">
        <v>0.51</v>
      </c>
      <c r="N14" s="484">
        <f t="shared" si="4"/>
        <v>5161</v>
      </c>
      <c r="O14" s="484">
        <f t="shared" si="5"/>
        <v>54994.320000000007</v>
      </c>
      <c r="P14" s="503" t="s">
        <v>488</v>
      </c>
      <c r="Q14" s="175" t="s">
        <v>496</v>
      </c>
      <c r="R14" s="514" t="s">
        <v>477</v>
      </c>
      <c r="S14" s="514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5"/>
      <c r="AD14" s="515"/>
      <c r="AE14" s="515"/>
      <c r="AF14" s="513"/>
      <c r="AG14" s="513"/>
      <c r="AH14" s="513"/>
      <c r="AI14" s="513"/>
      <c r="AJ14" s="513"/>
    </row>
    <row r="15" spans="1:113" s="501" customFormat="1" x14ac:dyDescent="0.2">
      <c r="A15" s="488">
        <v>27161</v>
      </c>
      <c r="B15" s="488" t="s">
        <v>316</v>
      </c>
      <c r="C15" s="489">
        <v>36617</v>
      </c>
      <c r="D15" s="181">
        <v>37711</v>
      </c>
      <c r="E15" s="180">
        <v>365</v>
      </c>
      <c r="F15" s="733">
        <v>400000</v>
      </c>
      <c r="G15" s="490">
        <f t="shared" si="0"/>
        <v>146000000</v>
      </c>
      <c r="H15" s="502">
        <f t="shared" si="1"/>
        <v>0.76</v>
      </c>
      <c r="I15" s="173">
        <f t="shared" si="2"/>
        <v>2.5000000000000001E-2</v>
      </c>
      <c r="J15" s="170">
        <v>0</v>
      </c>
      <c r="K15" s="493">
        <v>2.5000000000000001E-2</v>
      </c>
      <c r="L15" s="484">
        <f t="shared" si="3"/>
        <v>3650000</v>
      </c>
      <c r="M15" s="1022">
        <v>0.51</v>
      </c>
      <c r="N15" s="484">
        <f t="shared" si="4"/>
        <v>0</v>
      </c>
      <c r="O15" s="484">
        <f t="shared" si="5"/>
        <v>3650000</v>
      </c>
      <c r="P15" s="732" t="s">
        <v>603</v>
      </c>
      <c r="Q15" s="175"/>
      <c r="R15" s="511"/>
      <c r="S15" s="511"/>
      <c r="T15" s="175"/>
      <c r="U15" s="504" t="s">
        <v>497</v>
      </c>
      <c r="V15" s="498"/>
      <c r="W15" s="498"/>
      <c r="X15" s="498"/>
      <c r="Y15" s="498"/>
      <c r="Z15" s="498"/>
      <c r="AA15" s="498"/>
      <c r="AB15" s="498"/>
      <c r="AC15" s="498"/>
      <c r="AD15" s="498"/>
      <c r="AE15" s="498"/>
      <c r="AF15" s="193"/>
      <c r="AG15" s="193"/>
      <c r="AH15" s="193"/>
      <c r="AI15" s="193"/>
      <c r="AJ15" s="193"/>
    </row>
    <row r="16" spans="1:113" s="193" customFormat="1" x14ac:dyDescent="0.2">
      <c r="A16" s="180">
        <v>27291</v>
      </c>
      <c r="B16" s="488" t="s">
        <v>288</v>
      </c>
      <c r="C16" s="489">
        <v>36739</v>
      </c>
      <c r="D16" s="181">
        <v>37468</v>
      </c>
      <c r="E16" s="180">
        <f>31+28+31+30+31+30+31</f>
        <v>212</v>
      </c>
      <c r="F16" s="182">
        <v>20000</v>
      </c>
      <c r="G16" s="490">
        <f t="shared" si="0"/>
        <v>4240000</v>
      </c>
      <c r="H16" s="502">
        <f t="shared" si="1"/>
        <v>0.48032000000000002</v>
      </c>
      <c r="I16" s="173">
        <f t="shared" si="2"/>
        <v>1.5800000000000002E-2</v>
      </c>
      <c r="J16" s="170">
        <v>9.1999999999999998E-3</v>
      </c>
      <c r="K16" s="493">
        <v>2.5000000000000001E-2</v>
      </c>
      <c r="L16" s="484">
        <f t="shared" si="3"/>
        <v>86106</v>
      </c>
      <c r="M16" s="1022">
        <v>0.51</v>
      </c>
      <c r="N16" s="484">
        <f t="shared" si="4"/>
        <v>19894</v>
      </c>
      <c r="O16" s="484">
        <f t="shared" si="5"/>
        <v>106000</v>
      </c>
      <c r="P16" s="503" t="s">
        <v>488</v>
      </c>
      <c r="Q16" s="175" t="s">
        <v>308</v>
      </c>
      <c r="R16" s="511" t="s">
        <v>498</v>
      </c>
      <c r="S16" s="511" t="s">
        <v>477</v>
      </c>
      <c r="T16" s="175"/>
      <c r="U16" s="504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06"/>
      <c r="AG16" s="506"/>
      <c r="AH16" s="506"/>
      <c r="AI16" s="506"/>
      <c r="AJ16" s="506"/>
    </row>
    <row r="17" spans="1:36" s="193" customFormat="1" x14ac:dyDescent="0.2">
      <c r="A17" s="998">
        <v>27291</v>
      </c>
      <c r="B17" s="998" t="s">
        <v>288</v>
      </c>
      <c r="C17" s="1008" t="s">
        <v>743</v>
      </c>
      <c r="D17" s="1008">
        <v>37468</v>
      </c>
      <c r="E17" s="998">
        <f>31+30+31+30+31</f>
        <v>153</v>
      </c>
      <c r="F17" s="1009">
        <v>20000</v>
      </c>
      <c r="G17" s="1009">
        <f>SUM(E17*F17)</f>
        <v>3060000</v>
      </c>
      <c r="H17" s="1010">
        <f>SUM(I17*30.4)</f>
        <v>0.32832</v>
      </c>
      <c r="I17" s="1001">
        <f>K17-J17</f>
        <v>1.0800000000000001E-2</v>
      </c>
      <c r="J17" s="1011">
        <v>9.1999999999999998E-3</v>
      </c>
      <c r="K17" s="1011">
        <v>0.02</v>
      </c>
      <c r="L17" s="1003">
        <f>(SUM(K17*G17))-N17</f>
        <v>46842</v>
      </c>
      <c r="M17" s="1022">
        <v>0.51</v>
      </c>
      <c r="N17" s="484">
        <f>ROUND(J17*G17*M17,0)</f>
        <v>14358</v>
      </c>
      <c r="O17" s="484">
        <f>L17+N17</f>
        <v>61200</v>
      </c>
      <c r="P17" s="503"/>
      <c r="Q17" s="175"/>
      <c r="R17" s="511"/>
      <c r="S17" s="511"/>
      <c r="T17" s="175"/>
      <c r="U17" s="504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06"/>
      <c r="AG17" s="506"/>
      <c r="AH17" s="506"/>
      <c r="AI17" s="506"/>
      <c r="AJ17" s="506"/>
    </row>
    <row r="18" spans="1:36" s="193" customFormat="1" x14ac:dyDescent="0.2">
      <c r="A18" s="180">
        <v>27349</v>
      </c>
      <c r="B18" s="180" t="s">
        <v>499</v>
      </c>
      <c r="C18" s="181">
        <v>36892</v>
      </c>
      <c r="D18" s="181">
        <v>38717</v>
      </c>
      <c r="E18" s="180">
        <v>365</v>
      </c>
      <c r="F18" s="182">
        <v>20000</v>
      </c>
      <c r="G18" s="182">
        <f t="shared" si="0"/>
        <v>7300000</v>
      </c>
      <c r="H18" s="502">
        <f t="shared" si="1"/>
        <v>1.2403200000000001</v>
      </c>
      <c r="I18" s="173">
        <f t="shared" si="2"/>
        <v>4.0800000000000003E-2</v>
      </c>
      <c r="J18" s="170">
        <v>9.1999999999999998E-3</v>
      </c>
      <c r="K18" s="170">
        <v>0.05</v>
      </c>
      <c r="L18" s="484">
        <f t="shared" si="3"/>
        <v>330748</v>
      </c>
      <c r="M18" s="1022">
        <v>0.51</v>
      </c>
      <c r="N18" s="484">
        <f t="shared" si="4"/>
        <v>34252</v>
      </c>
      <c r="O18" s="484">
        <f t="shared" si="5"/>
        <v>365000</v>
      </c>
      <c r="P18" s="503" t="s">
        <v>488</v>
      </c>
      <c r="Q18" s="510"/>
      <c r="R18" s="511"/>
      <c r="S18" s="511"/>
      <c r="T18" s="175"/>
      <c r="U18" s="175"/>
      <c r="V18" s="498"/>
      <c r="W18" s="498"/>
      <c r="X18" s="512"/>
      <c r="Y18" s="512"/>
      <c r="Z18" s="512"/>
      <c r="AA18" s="512"/>
      <c r="AB18" s="512"/>
      <c r="AC18" s="512"/>
      <c r="AD18" s="512"/>
      <c r="AE18" s="512"/>
      <c r="AF18" s="506"/>
      <c r="AG18" s="506"/>
      <c r="AH18" s="506"/>
      <c r="AI18" s="506"/>
      <c r="AJ18" s="506"/>
    </row>
    <row r="19" spans="1:36" s="521" customFormat="1" x14ac:dyDescent="0.2">
      <c r="A19" s="180">
        <v>27377</v>
      </c>
      <c r="B19" s="180" t="s">
        <v>284</v>
      </c>
      <c r="C19" s="181">
        <v>36951</v>
      </c>
      <c r="D19" s="181">
        <v>37315</v>
      </c>
      <c r="E19" s="180">
        <f>31+28</f>
        <v>59</v>
      </c>
      <c r="F19" s="182">
        <v>10000</v>
      </c>
      <c r="G19" s="182">
        <f>SUM(E19*F19)</f>
        <v>590000</v>
      </c>
      <c r="H19" s="508">
        <f t="shared" si="1"/>
        <v>1.2403200000000001</v>
      </c>
      <c r="I19" s="173">
        <f t="shared" si="2"/>
        <v>4.0800000000000003E-2</v>
      </c>
      <c r="J19" s="170">
        <v>9.1999999999999998E-3</v>
      </c>
      <c r="K19" s="170">
        <v>0.05</v>
      </c>
      <c r="L19" s="484">
        <f t="shared" si="3"/>
        <v>26732</v>
      </c>
      <c r="M19" s="1022">
        <v>0.51</v>
      </c>
      <c r="N19" s="484">
        <f t="shared" si="4"/>
        <v>2768</v>
      </c>
      <c r="O19" s="484">
        <f t="shared" si="5"/>
        <v>29500</v>
      </c>
      <c r="P19" s="503" t="s">
        <v>488</v>
      </c>
      <c r="Q19" s="517"/>
      <c r="R19" s="518" t="s">
        <v>477</v>
      </c>
      <c r="S19" s="518" t="s">
        <v>477</v>
      </c>
      <c r="T19" s="519"/>
      <c r="U19" s="519"/>
      <c r="V19" s="520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  <c r="AJ19" s="520"/>
    </row>
    <row r="20" spans="1:36" s="521" customFormat="1" x14ac:dyDescent="0.2">
      <c r="A20" s="998">
        <v>27377</v>
      </c>
      <c r="B20" s="998" t="s">
        <v>284</v>
      </c>
      <c r="C20" s="1008" t="s">
        <v>743</v>
      </c>
      <c r="D20" s="1008">
        <v>37315</v>
      </c>
      <c r="E20" s="998">
        <f>365-59</f>
        <v>306</v>
      </c>
      <c r="F20" s="1009">
        <v>10000</v>
      </c>
      <c r="G20" s="1009">
        <f>SUM(E20*F20)</f>
        <v>3060000</v>
      </c>
      <c r="H20" s="1010">
        <f>SUM(I20*30.4)</f>
        <v>0.32832</v>
      </c>
      <c r="I20" s="1001">
        <f>K20-J20</f>
        <v>1.0800000000000001E-2</v>
      </c>
      <c r="J20" s="1011">
        <v>9.1999999999999998E-3</v>
      </c>
      <c r="K20" s="1011">
        <v>0.02</v>
      </c>
      <c r="L20" s="1003">
        <f>(SUM(K20*G20))-N20</f>
        <v>46842</v>
      </c>
      <c r="M20" s="1022">
        <v>0.51</v>
      </c>
      <c r="N20" s="484">
        <f>ROUND(J20*G20*M20,0)</f>
        <v>14358</v>
      </c>
      <c r="O20" s="484">
        <f>L20+N20</f>
        <v>61200</v>
      </c>
      <c r="P20" s="503"/>
      <c r="Q20" s="517"/>
      <c r="R20" s="518"/>
      <c r="S20" s="518"/>
      <c r="T20" s="519"/>
      <c r="U20" s="519"/>
      <c r="V20" s="520"/>
      <c r="W20" s="520"/>
      <c r="X20" s="520"/>
      <c r="Y20" s="520"/>
      <c r="Z20" s="520"/>
      <c r="AA20" s="520"/>
      <c r="AB20" s="520"/>
      <c r="AC20" s="520"/>
      <c r="AD20" s="520"/>
      <c r="AE20" s="520"/>
      <c r="AF20" s="520"/>
      <c r="AG20" s="520"/>
      <c r="AH20" s="520"/>
      <c r="AI20" s="520"/>
      <c r="AJ20" s="520"/>
    </row>
    <row r="21" spans="1:36" s="735" customFormat="1" x14ac:dyDescent="0.2">
      <c r="A21" s="180">
        <v>27495</v>
      </c>
      <c r="B21" s="180" t="s">
        <v>320</v>
      </c>
      <c r="C21" s="181">
        <v>36951</v>
      </c>
      <c r="D21" s="181">
        <v>37711</v>
      </c>
      <c r="E21" s="180">
        <v>365</v>
      </c>
      <c r="F21" s="733">
        <v>50000</v>
      </c>
      <c r="G21" s="182">
        <f t="shared" ref="G21:G27" si="6">SUM(E21*F21)</f>
        <v>18250000</v>
      </c>
      <c r="H21" s="508">
        <f t="shared" si="1"/>
        <v>0.98799999999999999</v>
      </c>
      <c r="I21" s="173">
        <f t="shared" si="2"/>
        <v>3.2500000000000001E-2</v>
      </c>
      <c r="J21" s="170">
        <v>0</v>
      </c>
      <c r="K21" s="170">
        <v>3.2500000000000001E-2</v>
      </c>
      <c r="L21" s="484">
        <f t="shared" si="3"/>
        <v>593125</v>
      </c>
      <c r="M21" s="1022">
        <v>0.51</v>
      </c>
      <c r="N21" s="484">
        <f t="shared" si="4"/>
        <v>0</v>
      </c>
      <c r="O21" s="484">
        <f t="shared" si="5"/>
        <v>593125</v>
      </c>
      <c r="P21" s="732" t="s">
        <v>603</v>
      </c>
      <c r="Q21" s="168"/>
      <c r="R21" s="511"/>
      <c r="S21" s="511"/>
      <c r="T21" s="175"/>
      <c r="U21" s="510" t="s">
        <v>502</v>
      </c>
      <c r="V21" s="600"/>
      <c r="W21" s="600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</row>
    <row r="22" spans="1:36" s="501" customFormat="1" x14ac:dyDescent="0.2">
      <c r="A22" s="180">
        <v>27579</v>
      </c>
      <c r="B22" s="180" t="s">
        <v>499</v>
      </c>
      <c r="C22" s="181">
        <v>37012</v>
      </c>
      <c r="D22" s="181">
        <v>37407</v>
      </c>
      <c r="E22" s="180">
        <v>151</v>
      </c>
      <c r="F22" s="182">
        <v>20000</v>
      </c>
      <c r="G22" s="182">
        <f t="shared" si="6"/>
        <v>3020000</v>
      </c>
      <c r="H22" s="508">
        <f>SUM(I22*30.4)</f>
        <v>1.5443199999999999</v>
      </c>
      <c r="I22" s="173">
        <f t="shared" si="2"/>
        <v>5.0799999999999998E-2</v>
      </c>
      <c r="J22" s="170">
        <v>9.1999999999999998E-3</v>
      </c>
      <c r="K22" s="170">
        <v>0.06</v>
      </c>
      <c r="L22" s="484">
        <f t="shared" si="3"/>
        <v>167030</v>
      </c>
      <c r="M22" s="1022">
        <v>0.51</v>
      </c>
      <c r="N22" s="484">
        <f t="shared" si="4"/>
        <v>14170</v>
      </c>
      <c r="O22" s="484">
        <f t="shared" si="5"/>
        <v>181200</v>
      </c>
      <c r="P22" s="503" t="s">
        <v>488</v>
      </c>
      <c r="Q22" s="521"/>
      <c r="R22" s="518"/>
      <c r="S22" s="518"/>
      <c r="T22" s="519"/>
      <c r="U22" s="517"/>
      <c r="V22" s="520"/>
      <c r="W22" s="520"/>
      <c r="X22" s="498"/>
      <c r="Y22" s="498"/>
      <c r="Z22" s="498"/>
      <c r="AA22" s="498"/>
      <c r="AB22" s="498"/>
      <c r="AC22" s="498"/>
      <c r="AD22" s="498"/>
      <c r="AE22" s="498"/>
      <c r="AF22" s="193"/>
      <c r="AG22" s="193"/>
      <c r="AH22" s="193"/>
      <c r="AI22" s="193"/>
      <c r="AJ22" s="193"/>
    </row>
    <row r="23" spans="1:36" s="501" customFormat="1" x14ac:dyDescent="0.2">
      <c r="A23" s="998">
        <v>27579</v>
      </c>
      <c r="B23" s="998" t="s">
        <v>499</v>
      </c>
      <c r="C23" s="1008" t="s">
        <v>743</v>
      </c>
      <c r="D23" s="1008">
        <v>37408</v>
      </c>
      <c r="E23" s="998">
        <v>214</v>
      </c>
      <c r="F23" s="1009">
        <v>20000</v>
      </c>
      <c r="G23" s="1009">
        <f t="shared" si="6"/>
        <v>4280000</v>
      </c>
      <c r="H23" s="1010">
        <f>SUM(I23*30.4)</f>
        <v>0.32832</v>
      </c>
      <c r="I23" s="1001">
        <f>K23-J23</f>
        <v>1.0800000000000001E-2</v>
      </c>
      <c r="J23" s="1011">
        <v>9.1999999999999998E-3</v>
      </c>
      <c r="K23" s="1011">
        <v>0.02</v>
      </c>
      <c r="L23" s="1003">
        <f t="shared" si="3"/>
        <v>65518</v>
      </c>
      <c r="M23" s="1022">
        <v>0.51</v>
      </c>
      <c r="N23" s="484">
        <f>ROUND(J23*G23*M23,0)</f>
        <v>20082</v>
      </c>
      <c r="O23" s="484">
        <f>L23+N23</f>
        <v>85600</v>
      </c>
      <c r="P23" s="503" t="s">
        <v>488</v>
      </c>
      <c r="Q23" s="521"/>
      <c r="R23" s="518"/>
      <c r="S23" s="518"/>
      <c r="T23" s="519"/>
      <c r="U23" s="517"/>
      <c r="V23" s="520"/>
      <c r="W23" s="520"/>
      <c r="X23" s="498"/>
      <c r="Y23" s="498"/>
      <c r="Z23" s="498"/>
      <c r="AA23" s="498"/>
      <c r="AB23" s="498"/>
      <c r="AC23" s="498"/>
      <c r="AD23" s="498"/>
      <c r="AE23" s="498"/>
      <c r="AF23" s="193"/>
      <c r="AG23" s="193"/>
      <c r="AH23" s="193"/>
      <c r="AI23" s="193"/>
      <c r="AJ23" s="193"/>
    </row>
    <row r="24" spans="1:36" s="501" customFormat="1" x14ac:dyDescent="0.2">
      <c r="A24" s="180">
        <v>27600</v>
      </c>
      <c r="B24" s="180" t="s">
        <v>503</v>
      </c>
      <c r="C24" s="181">
        <v>37043</v>
      </c>
      <c r="D24" s="181">
        <v>37407</v>
      </c>
      <c r="E24" s="180">
        <v>151</v>
      </c>
      <c r="F24" s="182">
        <v>2500</v>
      </c>
      <c r="G24" s="182">
        <f t="shared" si="6"/>
        <v>377500</v>
      </c>
      <c r="H24" s="508">
        <f t="shared" si="1"/>
        <v>2.4563199999999998</v>
      </c>
      <c r="I24" s="173">
        <f t="shared" si="2"/>
        <v>8.0799999999999997E-2</v>
      </c>
      <c r="J24" s="170">
        <v>9.1999999999999998E-3</v>
      </c>
      <c r="K24" s="170">
        <v>0.09</v>
      </c>
      <c r="L24" s="484">
        <f t="shared" si="3"/>
        <v>32204</v>
      </c>
      <c r="M24" s="1022">
        <v>0.51</v>
      </c>
      <c r="N24" s="484">
        <f t="shared" si="4"/>
        <v>1771</v>
      </c>
      <c r="O24" s="484">
        <f t="shared" si="5"/>
        <v>33975</v>
      </c>
      <c r="P24" s="503" t="s">
        <v>488</v>
      </c>
      <c r="Q24" s="521"/>
      <c r="R24" s="518"/>
      <c r="S24" s="518"/>
      <c r="T24" s="519"/>
      <c r="U24" s="517"/>
      <c r="V24" s="520"/>
      <c r="W24" s="520"/>
      <c r="X24" s="498"/>
      <c r="Y24" s="498"/>
      <c r="Z24" s="498"/>
      <c r="AA24" s="498"/>
      <c r="AB24" s="498"/>
      <c r="AC24" s="498"/>
      <c r="AD24" s="498"/>
      <c r="AE24" s="498"/>
      <c r="AF24" s="193"/>
      <c r="AG24" s="193"/>
      <c r="AH24" s="193"/>
      <c r="AI24" s="193"/>
      <c r="AJ24" s="193"/>
    </row>
    <row r="25" spans="1:36" s="501" customFormat="1" x14ac:dyDescent="0.2">
      <c r="A25" s="184">
        <v>27606</v>
      </c>
      <c r="B25" s="184" t="s">
        <v>309</v>
      </c>
      <c r="C25" s="185">
        <v>37165</v>
      </c>
      <c r="D25" s="185">
        <v>38990</v>
      </c>
      <c r="E25" s="180">
        <v>120</v>
      </c>
      <c r="F25" s="182">
        <v>80000</v>
      </c>
      <c r="G25" s="182">
        <f t="shared" si="6"/>
        <v>9600000</v>
      </c>
      <c r="H25" s="483">
        <f>SUM(I25*30.4)</f>
        <v>2.15232</v>
      </c>
      <c r="I25" s="173">
        <f t="shared" si="2"/>
        <v>7.0800000000000002E-2</v>
      </c>
      <c r="J25" s="170">
        <v>9.1999999999999998E-3</v>
      </c>
      <c r="K25" s="173">
        <v>0.08</v>
      </c>
      <c r="L25" s="183">
        <f t="shared" si="3"/>
        <v>722957</v>
      </c>
      <c r="M25" s="1022">
        <v>0.51</v>
      </c>
      <c r="N25" s="484">
        <f t="shared" si="4"/>
        <v>45043</v>
      </c>
      <c r="O25" s="484">
        <f t="shared" si="5"/>
        <v>768000</v>
      </c>
      <c r="P25" s="183" t="s">
        <v>322</v>
      </c>
      <c r="Q25" s="172" t="s">
        <v>504</v>
      </c>
      <c r="R25" s="485" t="s">
        <v>477</v>
      </c>
      <c r="S25" s="485" t="s">
        <v>477</v>
      </c>
      <c r="T25" s="172"/>
      <c r="U25" s="172" t="s">
        <v>505</v>
      </c>
      <c r="V25" s="168"/>
      <c r="W25" s="168"/>
      <c r="X25" s="168"/>
      <c r="Y25" s="168"/>
      <c r="Z25" s="168"/>
      <c r="AA25" s="168"/>
      <c r="AB25" s="498"/>
      <c r="AC25" s="498"/>
      <c r="AD25" s="498"/>
      <c r="AE25" s="498"/>
      <c r="AF25" s="193"/>
      <c r="AG25" s="193"/>
      <c r="AH25" s="193"/>
      <c r="AI25" s="193"/>
      <c r="AJ25" s="193"/>
    </row>
    <row r="26" spans="1:36" s="501" customFormat="1" x14ac:dyDescent="0.2">
      <c r="A26" s="184">
        <v>27606</v>
      </c>
      <c r="B26" s="184" t="s">
        <v>309</v>
      </c>
      <c r="C26" s="185">
        <v>37165</v>
      </c>
      <c r="D26" s="185">
        <v>38990</v>
      </c>
      <c r="E26" s="180">
        <v>92</v>
      </c>
      <c r="F26" s="182">
        <v>35000</v>
      </c>
      <c r="G26" s="182">
        <f t="shared" si="6"/>
        <v>3220000</v>
      </c>
      <c r="H26" s="483">
        <f>SUM(I26*30.4)</f>
        <v>2.15232</v>
      </c>
      <c r="I26" s="173">
        <f>K26-J26</f>
        <v>7.0800000000000002E-2</v>
      </c>
      <c r="J26" s="170">
        <v>9.1999999999999998E-3</v>
      </c>
      <c r="K26" s="173">
        <v>0.08</v>
      </c>
      <c r="L26" s="183">
        <f>(SUM(K26*G26))-N26</f>
        <v>242492</v>
      </c>
      <c r="M26" s="1022">
        <v>0.51</v>
      </c>
      <c r="N26" s="484">
        <f>ROUND(J26*G26*M26,0)</f>
        <v>15108</v>
      </c>
      <c r="O26" s="484">
        <f>L26+N26</f>
        <v>257600</v>
      </c>
      <c r="P26" s="183"/>
      <c r="Q26" s="172"/>
      <c r="R26" s="485"/>
      <c r="S26" s="485"/>
      <c r="T26" s="172"/>
      <c r="U26" s="172"/>
      <c r="V26" s="168"/>
      <c r="W26" s="168"/>
      <c r="X26" s="168"/>
      <c r="Y26" s="168"/>
      <c r="Z26" s="168"/>
      <c r="AA26" s="168"/>
      <c r="AB26" s="498"/>
      <c r="AC26" s="498"/>
      <c r="AD26" s="498"/>
      <c r="AE26" s="498"/>
      <c r="AF26" s="193"/>
      <c r="AG26" s="193"/>
      <c r="AH26" s="193"/>
      <c r="AI26" s="193"/>
      <c r="AJ26" s="193"/>
    </row>
    <row r="27" spans="1:36" s="506" customFormat="1" ht="12.75" customHeight="1" x14ac:dyDescent="0.2">
      <c r="A27" s="184">
        <v>27606</v>
      </c>
      <c r="B27" s="184" t="s">
        <v>309</v>
      </c>
      <c r="C27" s="185">
        <v>37165</v>
      </c>
      <c r="D27" s="185">
        <v>38990</v>
      </c>
      <c r="E27" s="180">
        <v>153</v>
      </c>
      <c r="F27" s="182">
        <v>20000</v>
      </c>
      <c r="G27" s="182">
        <f t="shared" si="6"/>
        <v>3060000</v>
      </c>
      <c r="H27" s="483">
        <f>SUM(I27*30.4)</f>
        <v>2.15232</v>
      </c>
      <c r="I27" s="173">
        <f>K27-J27</f>
        <v>7.0800000000000002E-2</v>
      </c>
      <c r="J27" s="170">
        <v>9.1999999999999998E-3</v>
      </c>
      <c r="K27" s="173">
        <v>0.08</v>
      </c>
      <c r="L27" s="183">
        <f>(SUM(K27*G27))-N27</f>
        <v>230442</v>
      </c>
      <c r="M27" s="1022">
        <v>0.51</v>
      </c>
      <c r="N27" s="484">
        <f>ROUND(J27*G27*M27,0)</f>
        <v>14358</v>
      </c>
      <c r="O27" s="484">
        <f>L27+N27</f>
        <v>244800</v>
      </c>
      <c r="P27" s="536"/>
      <c r="Q27" s="537"/>
      <c r="R27" s="538"/>
      <c r="S27" s="538"/>
      <c r="T27" s="537"/>
      <c r="U27" s="539"/>
      <c r="V27" s="168"/>
      <c r="W27" s="168"/>
      <c r="X27" s="168"/>
      <c r="Y27" s="168"/>
      <c r="Z27" s="168"/>
      <c r="AA27" s="168"/>
      <c r="AB27" s="168"/>
      <c r="AC27" s="486"/>
      <c r="AD27" s="486"/>
      <c r="AE27" s="486"/>
      <c r="AF27" s="487"/>
      <c r="AG27" s="487"/>
      <c r="AH27" s="487"/>
      <c r="AI27" s="487"/>
      <c r="AJ27" s="487"/>
    </row>
    <row r="28" spans="1:36" s="506" customFormat="1" ht="12.75" customHeight="1" x14ac:dyDescent="0.2">
      <c r="A28" s="184"/>
      <c r="B28" s="184"/>
      <c r="C28" s="185"/>
      <c r="D28" s="185"/>
      <c r="E28" s="180"/>
      <c r="F28" s="182"/>
      <c r="G28" s="182"/>
      <c r="H28" s="483"/>
      <c r="I28" s="173"/>
      <c r="J28" s="170"/>
      <c r="K28" s="173"/>
      <c r="L28" s="183"/>
      <c r="M28" s="1022"/>
      <c r="N28" s="484"/>
      <c r="O28" s="484"/>
      <c r="P28" s="536"/>
      <c r="Q28" s="537"/>
      <c r="R28" s="538"/>
      <c r="S28" s="538"/>
      <c r="T28" s="537"/>
      <c r="U28" s="539"/>
      <c r="V28" s="168"/>
      <c r="W28" s="168"/>
      <c r="X28" s="168"/>
      <c r="Y28" s="168"/>
      <c r="Z28" s="168"/>
      <c r="AA28" s="168"/>
      <c r="AB28" s="168"/>
      <c r="AC28" s="486"/>
      <c r="AD28" s="486"/>
      <c r="AE28" s="486"/>
      <c r="AF28" s="487"/>
      <c r="AG28" s="487"/>
      <c r="AH28" s="487"/>
      <c r="AI28" s="487"/>
      <c r="AJ28" s="487"/>
    </row>
    <row r="29" spans="1:36" s="506" customFormat="1" ht="12.75" customHeight="1" x14ac:dyDescent="0.2">
      <c r="A29" s="488"/>
      <c r="B29" s="488"/>
      <c r="C29" s="489"/>
      <c r="D29" s="528"/>
      <c r="E29" s="529"/>
      <c r="F29" s="530"/>
      <c r="G29" s="531"/>
      <c r="H29" s="532"/>
      <c r="I29" s="533"/>
      <c r="J29" s="534"/>
      <c r="K29" s="534"/>
      <c r="L29" s="604"/>
      <c r="M29" s="1023"/>
      <c r="N29" s="536"/>
      <c r="O29" s="536"/>
      <c r="P29" s="536"/>
      <c r="Q29" s="537"/>
      <c r="R29" s="538"/>
      <c r="S29" s="538"/>
      <c r="T29" s="537"/>
      <c r="U29" s="539"/>
      <c r="V29" s="168"/>
      <c r="W29" s="168"/>
      <c r="X29" s="168"/>
      <c r="Y29" s="168"/>
      <c r="Z29" s="168"/>
      <c r="AA29" s="168"/>
      <c r="AB29" s="168"/>
      <c r="AC29" s="486"/>
      <c r="AD29" s="486"/>
      <c r="AE29" s="486"/>
      <c r="AF29" s="487"/>
      <c r="AG29" s="487"/>
      <c r="AH29" s="487"/>
      <c r="AI29" s="487"/>
      <c r="AJ29" s="487"/>
    </row>
    <row r="30" spans="1:36" x14ac:dyDescent="0.2">
      <c r="A30" s="540" t="s">
        <v>507</v>
      </c>
      <c r="B30" s="540" t="s">
        <v>477</v>
      </c>
      <c r="C30" s="489"/>
      <c r="D30" s="528"/>
      <c r="E30" s="529"/>
      <c r="F30" s="531"/>
      <c r="G30" s="531"/>
      <c r="H30" s="541"/>
      <c r="I30" s="534"/>
      <c r="J30" s="534"/>
      <c r="K30" s="534"/>
      <c r="L30" s="604"/>
      <c r="M30" s="1023"/>
      <c r="N30" s="536"/>
      <c r="O30" s="536"/>
      <c r="P30" s="536"/>
      <c r="Q30" s="537"/>
      <c r="R30" s="538"/>
      <c r="S30" s="538"/>
      <c r="T30" s="537"/>
      <c r="U30" s="539"/>
    </row>
    <row r="31" spans="1:36" x14ac:dyDescent="0.2">
      <c r="A31" s="184"/>
      <c r="B31" s="184"/>
      <c r="C31" s="185"/>
      <c r="D31" s="185"/>
      <c r="E31" s="180"/>
      <c r="F31" s="186"/>
      <c r="G31" s="182"/>
      <c r="H31" s="483"/>
      <c r="I31" s="173"/>
      <c r="J31" s="173"/>
      <c r="K31" s="170">
        <f>SUM(I31+J31)</f>
        <v>0</v>
      </c>
      <c r="L31" s="183">
        <f>SUM(I31*G31)</f>
        <v>0</v>
      </c>
      <c r="M31" s="1022"/>
      <c r="N31" s="183">
        <f>SUM(J31*G31)</f>
        <v>0</v>
      </c>
      <c r="O31" s="484">
        <f>L31+N31</f>
        <v>0</v>
      </c>
      <c r="P31" s="183"/>
      <c r="Q31" s="542"/>
      <c r="R31" s="511"/>
      <c r="S31" s="485"/>
      <c r="T31" s="542"/>
      <c r="U31" s="542"/>
    </row>
    <row r="32" spans="1:36" x14ac:dyDescent="0.2">
      <c r="A32" s="180"/>
      <c r="B32" s="180"/>
      <c r="C32" s="181"/>
      <c r="D32" s="181"/>
      <c r="E32" s="180"/>
      <c r="F32" s="526"/>
      <c r="G32" s="186"/>
      <c r="H32" s="483"/>
      <c r="I32" s="170"/>
      <c r="J32" s="170"/>
      <c r="K32" s="170">
        <f>SUM(I32+J32)</f>
        <v>0</v>
      </c>
      <c r="L32" s="527">
        <f>SUM(I32*G32)</f>
        <v>0</v>
      </c>
      <c r="M32" s="516"/>
      <c r="N32" s="183">
        <f>SUM(J32*G32)</f>
        <v>0</v>
      </c>
      <c r="O32" s="484">
        <f>L32+N32</f>
        <v>0</v>
      </c>
      <c r="P32" s="183"/>
      <c r="Q32" s="175"/>
      <c r="R32" s="511"/>
      <c r="S32" s="511"/>
      <c r="T32" s="175"/>
      <c r="U32" s="542"/>
    </row>
    <row r="33" spans="1:27" s="487" customFormat="1" x14ac:dyDescent="0.2">
      <c r="A33" s="543"/>
      <c r="B33" s="544"/>
      <c r="C33" s="545"/>
      <c r="D33" s="545"/>
      <c r="E33" s="529"/>
      <c r="F33" s="778">
        <f>SUM(F31:F32)</f>
        <v>0</v>
      </c>
      <c r="G33" s="531"/>
      <c r="H33" s="532"/>
      <c r="I33" s="533"/>
      <c r="J33" s="547"/>
      <c r="K33" s="547"/>
      <c r="L33" s="604"/>
      <c r="M33" s="1023"/>
      <c r="N33" s="536"/>
      <c r="O33" s="536"/>
      <c r="P33" s="536"/>
      <c r="Q33" s="548"/>
      <c r="R33" s="549"/>
      <c r="S33" s="549"/>
      <c r="T33" s="548"/>
      <c r="U33" s="548"/>
      <c r="V33" s="168"/>
      <c r="W33" s="168"/>
      <c r="X33" s="168"/>
      <c r="Y33" s="168"/>
      <c r="Z33" s="168"/>
      <c r="AA33" s="168"/>
    </row>
    <row r="34" spans="1:27" s="487" customFormat="1" x14ac:dyDescent="0.2">
      <c r="A34" s="543"/>
      <c r="B34" s="544"/>
      <c r="C34" s="545"/>
      <c r="D34" s="545"/>
      <c r="E34" s="529"/>
      <c r="F34" s="546"/>
      <c r="G34" s="531"/>
      <c r="H34" s="532"/>
      <c r="I34" s="533"/>
      <c r="J34" s="547"/>
      <c r="K34" s="547"/>
      <c r="L34" s="604"/>
      <c r="M34" s="1023"/>
      <c r="N34" s="536"/>
      <c r="O34" s="536"/>
      <c r="P34" s="536"/>
      <c r="Q34" s="548"/>
      <c r="R34" s="549"/>
      <c r="S34" s="549"/>
      <c r="T34" s="548"/>
      <c r="U34" s="548"/>
      <c r="V34" s="168"/>
      <c r="W34" s="168"/>
      <c r="X34" s="168"/>
      <c r="Y34" s="168"/>
      <c r="Z34" s="168"/>
      <c r="AA34" s="168"/>
    </row>
    <row r="35" spans="1:27" x14ac:dyDescent="0.2">
      <c r="A35" s="540" t="s">
        <v>512</v>
      </c>
      <c r="B35" s="540" t="s">
        <v>477</v>
      </c>
      <c r="C35" s="489"/>
      <c r="D35" s="545"/>
      <c r="E35" s="529"/>
      <c r="F35" s="531"/>
      <c r="G35" s="550"/>
      <c r="H35" s="551"/>
      <c r="I35" s="534"/>
      <c r="J35" s="534"/>
      <c r="K35" s="494"/>
      <c r="L35" s="1035"/>
      <c r="M35" s="1024"/>
      <c r="N35" s="552"/>
      <c r="O35" s="552"/>
      <c r="P35" s="536"/>
      <c r="Q35" s="553"/>
      <c r="R35" s="554"/>
      <c r="S35" s="554"/>
      <c r="T35" s="555"/>
      <c r="U35" s="539"/>
    </row>
    <row r="36" spans="1:27" x14ac:dyDescent="0.2">
      <c r="A36" s="488"/>
      <c r="B36" s="488"/>
      <c r="C36" s="489"/>
      <c r="D36" s="185"/>
      <c r="E36" s="180"/>
      <c r="F36" s="490"/>
      <c r="G36" s="491"/>
      <c r="H36" s="492"/>
      <c r="I36" s="493"/>
      <c r="J36" s="493"/>
      <c r="K36" s="494"/>
      <c r="L36" s="183">
        <f>SUM(I36*G36)</f>
        <v>0</v>
      </c>
      <c r="M36" s="516"/>
      <c r="N36" s="503">
        <f>SUM(J36*G36)</f>
        <v>0</v>
      </c>
      <c r="O36" s="503">
        <f>SUM(L36:N36)</f>
        <v>0</v>
      </c>
      <c r="P36" s="556"/>
      <c r="Q36" s="557"/>
      <c r="R36" s="497"/>
      <c r="S36" s="497"/>
      <c r="T36" s="558"/>
      <c r="U36" s="499"/>
    </row>
    <row r="37" spans="1:27" x14ac:dyDescent="0.2">
      <c r="A37" s="488">
        <v>25025</v>
      </c>
      <c r="B37" s="488" t="s">
        <v>314</v>
      </c>
      <c r="C37" s="489" t="s">
        <v>327</v>
      </c>
      <c r="D37" s="489">
        <v>39051</v>
      </c>
      <c r="E37" s="180">
        <v>365</v>
      </c>
      <c r="F37" s="559">
        <v>80000</v>
      </c>
      <c r="G37" s="490">
        <f>SUM(E37*F37)</f>
        <v>29200000</v>
      </c>
      <c r="H37" s="502">
        <f>SUM(I37*30.4)</f>
        <v>4.094879999999999</v>
      </c>
      <c r="I37" s="173">
        <f>K37-J37</f>
        <v>0.13469999999999999</v>
      </c>
      <c r="J37" s="493">
        <v>1.03E-2</v>
      </c>
      <c r="K37" s="493">
        <v>0.14499999999999999</v>
      </c>
      <c r="L37" s="484">
        <f>(SUM(K37*G37))-N37</f>
        <v>3987377</v>
      </c>
      <c r="M37" s="1022">
        <v>0.82</v>
      </c>
      <c r="N37" s="484">
        <f>ROUND(J37*G37*M37,0)</f>
        <v>246623</v>
      </c>
      <c r="O37" s="484">
        <f>L37+N37</f>
        <v>4234000</v>
      </c>
      <c r="P37" s="503" t="s">
        <v>478</v>
      </c>
      <c r="Q37" s="504" t="s">
        <v>514</v>
      </c>
      <c r="R37" s="505" t="s">
        <v>512</v>
      </c>
      <c r="S37" s="505" t="s">
        <v>477</v>
      </c>
      <c r="T37" s="504"/>
      <c r="U37" s="499" t="s">
        <v>515</v>
      </c>
    </row>
    <row r="38" spans="1:27" s="501" customFormat="1" x14ac:dyDescent="0.2">
      <c r="A38" s="35"/>
      <c r="B38" s="35"/>
      <c r="C38" s="35"/>
      <c r="D38" s="35"/>
      <c r="E38" s="35"/>
      <c r="F38" s="603"/>
      <c r="G38" s="531"/>
      <c r="H38" s="532"/>
      <c r="I38" s="533"/>
      <c r="J38" s="534"/>
      <c r="K38" s="534"/>
      <c r="L38" s="604"/>
      <c r="M38" s="1023"/>
      <c r="N38" s="458"/>
      <c r="O38" s="458"/>
      <c r="P38" s="458"/>
      <c r="Q38" s="561"/>
      <c r="R38" s="35"/>
      <c r="S38" s="35"/>
      <c r="T38" s="561"/>
      <c r="U38" s="35"/>
      <c r="V38" s="498"/>
      <c r="W38" s="498"/>
      <c r="X38" s="498"/>
    </row>
    <row r="39" spans="1:27" s="501" customFormat="1" x14ac:dyDescent="0.2">
      <c r="A39" s="35"/>
      <c r="B39" s="35"/>
      <c r="C39" s="35"/>
      <c r="D39" s="35"/>
      <c r="E39" s="35"/>
      <c r="F39" s="530"/>
      <c r="G39" s="531"/>
      <c r="H39" s="532"/>
      <c r="I39" s="533"/>
      <c r="J39" s="534"/>
      <c r="K39" s="534"/>
      <c r="L39" s="604"/>
      <c r="M39" s="1023"/>
      <c r="N39" s="458"/>
      <c r="O39" s="458"/>
      <c r="P39" s="458"/>
      <c r="Q39" s="561"/>
      <c r="R39" s="35"/>
      <c r="S39" s="35"/>
      <c r="T39" s="561"/>
      <c r="U39" s="35"/>
      <c r="V39" s="498"/>
      <c r="W39" s="498"/>
      <c r="X39" s="498"/>
    </row>
    <row r="40" spans="1:27" s="501" customFormat="1" x14ac:dyDescent="0.2">
      <c r="A40" s="543"/>
      <c r="B40" s="543"/>
      <c r="C40" s="562"/>
      <c r="D40" s="562"/>
      <c r="E40" s="529">
        <v>0</v>
      </c>
      <c r="F40" s="491">
        <v>0</v>
      </c>
      <c r="G40" s="550">
        <f>SUM(E40*F40)</f>
        <v>0</v>
      </c>
      <c r="H40" s="532">
        <v>6.293E-2</v>
      </c>
      <c r="I40" s="173">
        <f>K40-J40</f>
        <v>0</v>
      </c>
      <c r="J40" s="534">
        <v>0</v>
      </c>
      <c r="K40" s="534">
        <v>0</v>
      </c>
      <c r="L40" s="1035">
        <f>SUM(I40*G40)</f>
        <v>0</v>
      </c>
      <c r="M40" s="1024"/>
      <c r="N40" s="552">
        <f>SUM(J40*G40)</f>
        <v>0</v>
      </c>
      <c r="O40" s="484">
        <f>L40+N40</f>
        <v>0</v>
      </c>
      <c r="P40" s="552"/>
      <c r="Q40" s="561"/>
      <c r="R40" s="35"/>
      <c r="S40" s="35"/>
      <c r="T40" s="561"/>
      <c r="U40" s="35"/>
      <c r="V40" s="498"/>
      <c r="W40" s="498"/>
      <c r="X40" s="498"/>
    </row>
    <row r="41" spans="1:27" x14ac:dyDescent="0.2">
      <c r="F41" s="603">
        <f>SUM(F40)</f>
        <v>0</v>
      </c>
      <c r="G41" s="531"/>
      <c r="H41" s="532"/>
      <c r="I41" s="533"/>
      <c r="J41" s="534"/>
      <c r="K41" s="534"/>
      <c r="L41" s="604">
        <f>SUM(L40)</f>
        <v>0</v>
      </c>
      <c r="M41" s="1023"/>
    </row>
    <row r="42" spans="1:27" x14ac:dyDescent="0.2">
      <c r="F42" s="530"/>
      <c r="G42" s="531"/>
      <c r="H42" s="532"/>
      <c r="I42" s="533"/>
      <c r="J42" s="534"/>
      <c r="K42" s="534"/>
      <c r="L42" s="604"/>
      <c r="M42" s="1023"/>
    </row>
    <row r="43" spans="1:27" x14ac:dyDescent="0.2">
      <c r="A43" s="563" t="s">
        <v>507</v>
      </c>
      <c r="B43" s="563" t="s">
        <v>517</v>
      </c>
      <c r="F43" s="530"/>
      <c r="G43" s="531"/>
      <c r="H43" s="532"/>
      <c r="I43" s="533"/>
      <c r="J43" s="534"/>
      <c r="K43" s="534"/>
      <c r="L43" s="604"/>
      <c r="M43" s="1023"/>
    </row>
    <row r="44" spans="1:27" x14ac:dyDescent="0.2">
      <c r="A44" s="184">
        <v>24924</v>
      </c>
      <c r="B44" s="184" t="s">
        <v>766</v>
      </c>
      <c r="C44" s="185" t="s">
        <v>518</v>
      </c>
      <c r="D44" s="185">
        <v>38017</v>
      </c>
      <c r="E44" s="180">
        <v>365</v>
      </c>
      <c r="F44" s="182">
        <v>25000</v>
      </c>
      <c r="G44" s="186">
        <f t="shared" ref="G44:G49" si="7">SUM(E44*F44)</f>
        <v>9125000</v>
      </c>
      <c r="H44" s="483">
        <f t="shared" ref="H44:H49" si="8">SUM(I44*30.4)</f>
        <v>1.7905599999999999</v>
      </c>
      <c r="I44" s="173">
        <f t="shared" ref="I44:I49" si="9">K44-J44</f>
        <v>5.8900000000000001E-2</v>
      </c>
      <c r="J44" s="170">
        <v>1.1000000000000001E-3</v>
      </c>
      <c r="K44" s="173">
        <v>0.06</v>
      </c>
      <c r="L44" s="484">
        <f t="shared" ref="L44:L49" si="10">(SUM(K44*G44))-N44</f>
        <v>539671</v>
      </c>
      <c r="M44" s="1022">
        <v>0.78</v>
      </c>
      <c r="N44" s="484">
        <f t="shared" ref="N44:N49" si="11">ROUND(J44*G44*M44,0)</f>
        <v>7829</v>
      </c>
      <c r="O44" s="484">
        <f t="shared" ref="O44:O49" si="12">L44+N44</f>
        <v>547500</v>
      </c>
      <c r="P44" s="503" t="s">
        <v>478</v>
      </c>
      <c r="Q44" s="564" t="s">
        <v>519</v>
      </c>
      <c r="R44" s="497" t="s">
        <v>507</v>
      </c>
      <c r="S44" s="497" t="s">
        <v>517</v>
      </c>
      <c r="T44" s="498"/>
      <c r="U44" s="499" t="s">
        <v>508</v>
      </c>
    </row>
    <row r="45" spans="1:27" x14ac:dyDescent="0.2">
      <c r="A45" s="180">
        <v>24925</v>
      </c>
      <c r="B45" s="180" t="s">
        <v>305</v>
      </c>
      <c r="C45" s="185" t="s">
        <v>518</v>
      </c>
      <c r="D45" s="181">
        <v>38017</v>
      </c>
      <c r="E45" s="180">
        <v>365</v>
      </c>
      <c r="F45" s="182">
        <v>50000</v>
      </c>
      <c r="G45" s="186">
        <f t="shared" si="7"/>
        <v>18250000</v>
      </c>
      <c r="H45" s="483">
        <f t="shared" si="8"/>
        <v>1.7905599999999999</v>
      </c>
      <c r="I45" s="173">
        <f t="shared" si="9"/>
        <v>5.8900000000000001E-2</v>
      </c>
      <c r="J45" s="170">
        <v>1.1000000000000001E-3</v>
      </c>
      <c r="K45" s="173">
        <v>0.06</v>
      </c>
      <c r="L45" s="484">
        <f t="shared" si="10"/>
        <v>1079341</v>
      </c>
      <c r="M45" s="1022">
        <v>0.78</v>
      </c>
      <c r="N45" s="484">
        <f t="shared" si="11"/>
        <v>15659</v>
      </c>
      <c r="O45" s="484">
        <f t="shared" si="12"/>
        <v>1095000</v>
      </c>
      <c r="P45" s="503" t="s">
        <v>478</v>
      </c>
      <c r="Q45" s="564" t="s">
        <v>519</v>
      </c>
      <c r="R45" s="497" t="s">
        <v>507</v>
      </c>
      <c r="S45" s="505" t="s">
        <v>517</v>
      </c>
      <c r="T45" s="498"/>
      <c r="U45" s="499" t="s">
        <v>508</v>
      </c>
    </row>
    <row r="46" spans="1:27" s="501" customFormat="1" x14ac:dyDescent="0.2">
      <c r="A46" s="180">
        <v>25397</v>
      </c>
      <c r="B46" s="180" t="s">
        <v>521</v>
      </c>
      <c r="C46" s="181">
        <v>35886</v>
      </c>
      <c r="D46" s="181">
        <v>37711</v>
      </c>
      <c r="E46" s="180">
        <v>365</v>
      </c>
      <c r="F46" s="182">
        <v>10000</v>
      </c>
      <c r="G46" s="182">
        <f t="shared" si="7"/>
        <v>3650000</v>
      </c>
      <c r="H46" s="508">
        <f t="shared" si="8"/>
        <v>0.8785599999999999</v>
      </c>
      <c r="I46" s="173">
        <f t="shared" si="9"/>
        <v>2.8899999999999999E-2</v>
      </c>
      <c r="J46" s="170">
        <v>1.1000000000000001E-3</v>
      </c>
      <c r="K46" s="170">
        <v>0.03</v>
      </c>
      <c r="L46" s="484">
        <f t="shared" si="10"/>
        <v>106368</v>
      </c>
      <c r="M46" s="1022">
        <v>0.78</v>
      </c>
      <c r="N46" s="484">
        <f t="shared" si="11"/>
        <v>3132</v>
      </c>
      <c r="O46" s="484">
        <f t="shared" si="12"/>
        <v>109500</v>
      </c>
      <c r="P46" s="503" t="s">
        <v>488</v>
      </c>
      <c r="Q46" s="504" t="s">
        <v>522</v>
      </c>
      <c r="R46" s="505" t="s">
        <v>507</v>
      </c>
      <c r="S46" s="505" t="s">
        <v>517</v>
      </c>
      <c r="T46" s="504"/>
      <c r="U46" s="504"/>
      <c r="V46" s="498"/>
      <c r="W46" s="498"/>
    </row>
    <row r="47" spans="1:27" s="501" customFormat="1" x14ac:dyDescent="0.2">
      <c r="A47" s="180">
        <v>26044</v>
      </c>
      <c r="B47" s="180" t="s">
        <v>523</v>
      </c>
      <c r="C47" s="181">
        <v>36150</v>
      </c>
      <c r="D47" s="181">
        <v>37925</v>
      </c>
      <c r="E47" s="180">
        <v>365</v>
      </c>
      <c r="F47" s="182">
        <v>85000</v>
      </c>
      <c r="G47" s="182">
        <f t="shared" si="7"/>
        <v>31025000</v>
      </c>
      <c r="H47" s="508">
        <f t="shared" si="8"/>
        <v>0.8785599999999999</v>
      </c>
      <c r="I47" s="173">
        <f t="shared" si="9"/>
        <v>2.8899999999999999E-2</v>
      </c>
      <c r="J47" s="170">
        <v>1.1000000000000001E-3</v>
      </c>
      <c r="K47" s="170">
        <v>0.03</v>
      </c>
      <c r="L47" s="484">
        <f t="shared" si="10"/>
        <v>904131</v>
      </c>
      <c r="M47" s="1022">
        <v>0.78</v>
      </c>
      <c r="N47" s="484">
        <f t="shared" si="11"/>
        <v>26619</v>
      </c>
      <c r="O47" s="484">
        <f t="shared" si="12"/>
        <v>930750</v>
      </c>
      <c r="P47" s="503" t="s">
        <v>488</v>
      </c>
      <c r="Q47" s="504" t="s">
        <v>524</v>
      </c>
      <c r="R47" s="505" t="s">
        <v>507</v>
      </c>
      <c r="S47" s="505" t="s">
        <v>517</v>
      </c>
      <c r="T47" s="504"/>
      <c r="U47" s="504"/>
      <c r="V47" s="498"/>
      <c r="W47" s="498"/>
    </row>
    <row r="48" spans="1:27" s="501" customFormat="1" x14ac:dyDescent="0.2">
      <c r="A48" s="180">
        <v>26436</v>
      </c>
      <c r="B48" s="180" t="s">
        <v>523</v>
      </c>
      <c r="C48" s="181">
        <v>36100</v>
      </c>
      <c r="D48" s="181">
        <v>37925</v>
      </c>
      <c r="E48" s="180">
        <v>365</v>
      </c>
      <c r="F48" s="182">
        <v>59000</v>
      </c>
      <c r="G48" s="182">
        <f t="shared" si="7"/>
        <v>21535000</v>
      </c>
      <c r="H48" s="508">
        <f t="shared" si="8"/>
        <v>1.4865600000000001</v>
      </c>
      <c r="I48" s="173">
        <f t="shared" si="9"/>
        <v>4.8900000000000006E-2</v>
      </c>
      <c r="J48" s="170">
        <v>1.1000000000000001E-3</v>
      </c>
      <c r="K48" s="170">
        <v>0.05</v>
      </c>
      <c r="L48" s="484">
        <f t="shared" si="10"/>
        <v>1058273</v>
      </c>
      <c r="M48" s="1022">
        <v>0.78</v>
      </c>
      <c r="N48" s="484">
        <f t="shared" si="11"/>
        <v>18477</v>
      </c>
      <c r="O48" s="484">
        <f t="shared" si="12"/>
        <v>1076750</v>
      </c>
      <c r="P48" s="503" t="s">
        <v>488</v>
      </c>
      <c r="Q48" s="504" t="s">
        <v>524</v>
      </c>
      <c r="R48" s="505" t="s">
        <v>507</v>
      </c>
      <c r="S48" s="505" t="s">
        <v>517</v>
      </c>
      <c r="T48" s="504"/>
      <c r="U48" s="504"/>
      <c r="V48" s="498"/>
      <c r="W48" s="498"/>
    </row>
    <row r="49" spans="1:27" s="501" customFormat="1" x14ac:dyDescent="0.2">
      <c r="A49" s="998">
        <v>27342</v>
      </c>
      <c r="B49" s="998" t="s">
        <v>27</v>
      </c>
      <c r="C49" s="1008" t="s">
        <v>743</v>
      </c>
      <c r="D49" s="1008"/>
      <c r="E49" s="998">
        <v>365</v>
      </c>
      <c r="F49" s="1063">
        <v>30000</v>
      </c>
      <c r="G49" s="1067">
        <f t="shared" si="7"/>
        <v>10950000</v>
      </c>
      <c r="H49" s="1068">
        <f t="shared" si="8"/>
        <v>0.57455999999999996</v>
      </c>
      <c r="I49" s="1069">
        <f t="shared" si="9"/>
        <v>1.89E-2</v>
      </c>
      <c r="J49" s="1070">
        <v>1.1000000000000001E-3</v>
      </c>
      <c r="K49" s="1071">
        <v>0.02</v>
      </c>
      <c r="L49" s="1003">
        <f t="shared" si="10"/>
        <v>209605</v>
      </c>
      <c r="M49" s="1022">
        <v>0.78</v>
      </c>
      <c r="N49" s="484">
        <f t="shared" si="11"/>
        <v>9395</v>
      </c>
      <c r="O49" s="484">
        <f t="shared" si="12"/>
        <v>219000</v>
      </c>
      <c r="P49" s="503"/>
      <c r="Q49" s="504"/>
      <c r="R49" s="505"/>
      <c r="S49" s="505"/>
      <c r="T49" s="504"/>
      <c r="U49" s="566"/>
      <c r="V49" s="498"/>
      <c r="W49" s="498"/>
    </row>
    <row r="50" spans="1:27" s="501" customFormat="1" x14ac:dyDescent="0.2">
      <c r="A50" s="488"/>
      <c r="B50" s="488"/>
      <c r="C50" s="489"/>
      <c r="D50" s="528"/>
      <c r="E50" s="529"/>
      <c r="F50" s="603"/>
      <c r="G50" s="567"/>
      <c r="H50" s="532"/>
      <c r="I50" s="533"/>
      <c r="J50" s="533"/>
      <c r="K50" s="568"/>
      <c r="L50" s="604"/>
      <c r="M50" s="1023"/>
      <c r="N50" s="536"/>
      <c r="O50" s="536"/>
      <c r="P50" s="536"/>
      <c r="Q50" s="537"/>
      <c r="R50" s="538"/>
      <c r="S50" s="538"/>
      <c r="T50" s="537"/>
      <c r="U50" s="537"/>
      <c r="V50" s="498"/>
      <c r="W50" s="498"/>
    </row>
    <row r="51" spans="1:27" s="513" customFormat="1" ht="12.75" customHeight="1" x14ac:dyDescent="0.2">
      <c r="A51" s="488"/>
      <c r="B51" s="488"/>
      <c r="C51" s="489"/>
      <c r="D51" s="528"/>
      <c r="E51" s="529"/>
      <c r="F51" s="530"/>
      <c r="G51" s="567"/>
      <c r="H51" s="532"/>
      <c r="I51" s="533"/>
      <c r="J51" s="533"/>
      <c r="K51" s="568"/>
      <c r="L51" s="604"/>
      <c r="M51" s="1023"/>
      <c r="N51" s="536"/>
      <c r="O51" s="536"/>
      <c r="P51" s="536"/>
      <c r="Q51" s="537"/>
      <c r="R51" s="538"/>
      <c r="S51" s="538"/>
      <c r="T51" s="537"/>
      <c r="U51" s="537"/>
      <c r="V51" s="498"/>
      <c r="W51" s="498"/>
      <c r="X51" s="501"/>
      <c r="Y51" s="501"/>
      <c r="Z51" s="501"/>
      <c r="AA51" s="501"/>
    </row>
    <row r="52" spans="1:27" s="501" customFormat="1" x14ac:dyDescent="0.2">
      <c r="A52" s="540" t="s">
        <v>507</v>
      </c>
      <c r="B52" s="540" t="s">
        <v>526</v>
      </c>
      <c r="C52" s="489"/>
      <c r="D52" s="528"/>
      <c r="E52" s="529"/>
      <c r="F52" s="531"/>
      <c r="G52" s="567"/>
      <c r="H52" s="541"/>
      <c r="I52" s="533"/>
      <c r="J52" s="533"/>
      <c r="K52" s="568"/>
      <c r="L52" s="604"/>
      <c r="M52" s="1023"/>
      <c r="N52" s="536"/>
      <c r="O52" s="536"/>
      <c r="P52" s="536"/>
      <c r="Q52" s="537"/>
      <c r="R52" s="538"/>
      <c r="S52" s="538"/>
      <c r="T52" s="537"/>
      <c r="U52" s="537"/>
      <c r="V52" s="512"/>
      <c r="W52" s="512"/>
      <c r="X52" s="513"/>
      <c r="Y52" s="513"/>
      <c r="Z52" s="513"/>
      <c r="AA52" s="513"/>
    </row>
    <row r="53" spans="1:27" s="570" customFormat="1" x14ac:dyDescent="0.2">
      <c r="A53" s="180">
        <v>24669</v>
      </c>
      <c r="B53" s="180" t="s">
        <v>527</v>
      </c>
      <c r="C53" s="181" t="s">
        <v>518</v>
      </c>
      <c r="D53" s="181">
        <v>38748</v>
      </c>
      <c r="E53" s="180">
        <v>365</v>
      </c>
      <c r="F53" s="733">
        <v>12500</v>
      </c>
      <c r="G53" s="182">
        <v>0</v>
      </c>
      <c r="H53" s="483">
        <f t="shared" ref="H53:H59" si="13">SUM(I53*30.4)</f>
        <v>1.8239999999999998</v>
      </c>
      <c r="I53" s="173">
        <f t="shared" ref="I53:I61" si="14">K53-J53</f>
        <v>0.06</v>
      </c>
      <c r="J53" s="170">
        <v>0</v>
      </c>
      <c r="K53" s="173">
        <v>0.06</v>
      </c>
      <c r="L53" s="484">
        <f t="shared" ref="L53:L58" si="15">(SUM(K53*G53))-N53</f>
        <v>0</v>
      </c>
      <c r="M53" s="1022">
        <v>0.9</v>
      </c>
      <c r="N53" s="484">
        <f t="shared" ref="N53:N61" si="16">ROUND(J53*G53*M53,0)</f>
        <v>0</v>
      </c>
      <c r="O53" s="484">
        <f t="shared" ref="O53:O61" si="17">L53+N53</f>
        <v>0</v>
      </c>
      <c r="P53" s="503" t="s">
        <v>478</v>
      </c>
      <c r="Q53" s="569" t="s">
        <v>528</v>
      </c>
      <c r="R53" s="505" t="s">
        <v>507</v>
      </c>
      <c r="S53" s="509" t="s">
        <v>526</v>
      </c>
      <c r="T53" s="569"/>
      <c r="U53" s="499" t="s">
        <v>508</v>
      </c>
    </row>
    <row r="54" spans="1:27" s="570" customFormat="1" x14ac:dyDescent="0.2">
      <c r="A54" s="180">
        <v>24925</v>
      </c>
      <c r="B54" s="180" t="s">
        <v>305</v>
      </c>
      <c r="C54" s="185" t="s">
        <v>518</v>
      </c>
      <c r="D54" s="181">
        <v>38017</v>
      </c>
      <c r="E54" s="180">
        <v>365</v>
      </c>
      <c r="F54" s="182">
        <v>50000</v>
      </c>
      <c r="G54" s="186">
        <f t="shared" ref="G54:G61" si="18">SUM(E54*F54)</f>
        <v>18250000</v>
      </c>
      <c r="H54" s="483">
        <f t="shared" si="13"/>
        <v>1.7267199999999998</v>
      </c>
      <c r="I54" s="173">
        <f t="shared" si="14"/>
        <v>5.6799999999999996E-2</v>
      </c>
      <c r="J54" s="170">
        <v>3.2000000000000002E-3</v>
      </c>
      <c r="K54" s="173">
        <v>0.06</v>
      </c>
      <c r="L54" s="484">
        <f t="shared" si="15"/>
        <v>1042440</v>
      </c>
      <c r="M54" s="1022">
        <v>0.9</v>
      </c>
      <c r="N54" s="484">
        <f t="shared" si="16"/>
        <v>52560</v>
      </c>
      <c r="O54" s="484">
        <f t="shared" si="17"/>
        <v>1095000</v>
      </c>
      <c r="P54" s="503" t="s">
        <v>478</v>
      </c>
      <c r="Q54" s="496" t="s">
        <v>519</v>
      </c>
      <c r="R54" s="497" t="s">
        <v>507</v>
      </c>
      <c r="S54" s="509" t="s">
        <v>526</v>
      </c>
      <c r="T54" s="498"/>
      <c r="U54" s="499" t="s">
        <v>508</v>
      </c>
    </row>
    <row r="55" spans="1:27" s="570" customFormat="1" x14ac:dyDescent="0.2">
      <c r="A55" s="180">
        <v>24927</v>
      </c>
      <c r="B55" s="180" t="s">
        <v>304</v>
      </c>
      <c r="C55" s="185" t="s">
        <v>518</v>
      </c>
      <c r="D55" s="181">
        <v>38748</v>
      </c>
      <c r="E55" s="180">
        <f>31+28+31+30+31</f>
        <v>151</v>
      </c>
      <c r="F55" s="182">
        <v>30000</v>
      </c>
      <c r="G55" s="186">
        <f t="shared" si="18"/>
        <v>4530000</v>
      </c>
      <c r="H55" s="483">
        <f t="shared" si="13"/>
        <v>0.96672000000000002</v>
      </c>
      <c r="I55" s="173">
        <f t="shared" si="14"/>
        <v>3.1800000000000002E-2</v>
      </c>
      <c r="J55" s="170">
        <v>3.2000000000000002E-3</v>
      </c>
      <c r="K55" s="173">
        <v>3.5000000000000003E-2</v>
      </c>
      <c r="L55" s="484">
        <f t="shared" si="15"/>
        <v>145504.00000000003</v>
      </c>
      <c r="M55" s="1022">
        <v>0.9</v>
      </c>
      <c r="N55" s="484">
        <f t="shared" si="16"/>
        <v>13046</v>
      </c>
      <c r="O55" s="484">
        <f t="shared" si="17"/>
        <v>158550.00000000003</v>
      </c>
      <c r="P55" s="503" t="s">
        <v>478</v>
      </c>
      <c r="Q55" s="558" t="s">
        <v>529</v>
      </c>
      <c r="R55" s="497" t="s">
        <v>507</v>
      </c>
      <c r="S55" s="514" t="s">
        <v>526</v>
      </c>
      <c r="T55" s="558"/>
      <c r="U55" s="499" t="s">
        <v>530</v>
      </c>
    </row>
    <row r="56" spans="1:27" s="570" customFormat="1" x14ac:dyDescent="0.2">
      <c r="A56" s="180">
        <v>24927</v>
      </c>
      <c r="B56" s="180" t="s">
        <v>304</v>
      </c>
      <c r="C56" s="185" t="s">
        <v>518</v>
      </c>
      <c r="D56" s="181">
        <v>38748</v>
      </c>
      <c r="E56" s="180">
        <f>30+31+30+31+31+30+31</f>
        <v>214</v>
      </c>
      <c r="F56" s="182">
        <v>30000</v>
      </c>
      <c r="G56" s="186">
        <f>SUM(E56*F56)</f>
        <v>6420000</v>
      </c>
      <c r="H56" s="483">
        <f>SUM(I56*30.4)</f>
        <v>1.1187199999999999</v>
      </c>
      <c r="I56" s="173">
        <f>K56-J56</f>
        <v>3.6799999999999999E-2</v>
      </c>
      <c r="J56" s="170">
        <v>3.2000000000000002E-3</v>
      </c>
      <c r="K56" s="173">
        <v>0.04</v>
      </c>
      <c r="L56" s="484">
        <f t="shared" si="15"/>
        <v>238310</v>
      </c>
      <c r="M56" s="1022">
        <v>0.9</v>
      </c>
      <c r="N56" s="484">
        <f>ROUND(J56*G56*M56,0)</f>
        <v>18490</v>
      </c>
      <c r="O56" s="484">
        <f t="shared" si="17"/>
        <v>256800</v>
      </c>
      <c r="P56" s="503"/>
      <c r="Q56" s="558"/>
      <c r="R56" s="497"/>
      <c r="S56" s="514"/>
      <c r="T56" s="558"/>
      <c r="U56" s="499"/>
    </row>
    <row r="57" spans="1:27" s="501" customFormat="1" x14ac:dyDescent="0.2">
      <c r="A57" s="180">
        <v>27047</v>
      </c>
      <c r="B57" s="180" t="s">
        <v>307</v>
      </c>
      <c r="C57" s="181">
        <v>36557</v>
      </c>
      <c r="D57" s="181">
        <v>38717</v>
      </c>
      <c r="E57" s="180">
        <v>365</v>
      </c>
      <c r="F57" s="182">
        <v>150000</v>
      </c>
      <c r="G57" s="182">
        <f t="shared" si="18"/>
        <v>54750000</v>
      </c>
      <c r="H57" s="508">
        <f t="shared" si="13"/>
        <v>0.69311999999999985</v>
      </c>
      <c r="I57" s="173">
        <f t="shared" si="14"/>
        <v>2.2799999999999997E-2</v>
      </c>
      <c r="J57" s="170">
        <v>3.2000000000000002E-3</v>
      </c>
      <c r="K57" s="572">
        <v>2.5999999999999999E-2</v>
      </c>
      <c r="L57" s="484">
        <f t="shared" si="15"/>
        <v>1265820</v>
      </c>
      <c r="M57" s="1022">
        <v>0.9</v>
      </c>
      <c r="N57" s="484">
        <f t="shared" si="16"/>
        <v>157680</v>
      </c>
      <c r="O57" s="484">
        <f t="shared" si="17"/>
        <v>1423500</v>
      </c>
      <c r="P57" s="503" t="s">
        <v>296</v>
      </c>
      <c r="Q57" s="175" t="s">
        <v>531</v>
      </c>
      <c r="R57" s="497" t="s">
        <v>507</v>
      </c>
      <c r="S57" s="509" t="s">
        <v>526</v>
      </c>
      <c r="T57" s="175"/>
      <c r="U57" s="504" t="s">
        <v>532</v>
      </c>
      <c r="V57" s="498"/>
    </row>
    <row r="58" spans="1:27" s="501" customFormat="1" x14ac:dyDescent="0.2">
      <c r="A58" s="180">
        <v>27344</v>
      </c>
      <c r="B58" s="180" t="s">
        <v>533</v>
      </c>
      <c r="C58" s="181">
        <v>36892</v>
      </c>
      <c r="D58" s="181">
        <v>37621</v>
      </c>
      <c r="E58" s="180">
        <v>365</v>
      </c>
      <c r="F58" s="182">
        <v>13500</v>
      </c>
      <c r="G58" s="182">
        <f t="shared" si="18"/>
        <v>4927500</v>
      </c>
      <c r="H58" s="508">
        <f t="shared" si="13"/>
        <v>1.2707199999999998</v>
      </c>
      <c r="I58" s="173">
        <f t="shared" si="14"/>
        <v>4.1799999999999997E-2</v>
      </c>
      <c r="J58" s="170">
        <v>3.2000000000000002E-3</v>
      </c>
      <c r="K58" s="170">
        <v>4.4999999999999998E-2</v>
      </c>
      <c r="L58" s="484">
        <f t="shared" si="15"/>
        <v>207546.5</v>
      </c>
      <c r="M58" s="1022">
        <v>0.9</v>
      </c>
      <c r="N58" s="484">
        <f t="shared" si="16"/>
        <v>14191</v>
      </c>
      <c r="O58" s="484">
        <f t="shared" si="17"/>
        <v>221737.5</v>
      </c>
      <c r="P58" s="503" t="s">
        <v>478</v>
      </c>
      <c r="Q58" s="175"/>
      <c r="R58" s="497"/>
      <c r="S58" s="509"/>
      <c r="T58" s="175"/>
      <c r="U58" s="504"/>
      <c r="V58" s="498"/>
    </row>
    <row r="59" spans="1:27" s="726" customFormat="1" ht="12.75" customHeight="1" x14ac:dyDescent="0.2">
      <c r="A59" s="1064">
        <v>27370</v>
      </c>
      <c r="B59" s="1064" t="s">
        <v>306</v>
      </c>
      <c r="C59" s="1065">
        <v>36892</v>
      </c>
      <c r="D59" s="1065">
        <v>37621</v>
      </c>
      <c r="E59" s="1064">
        <v>365</v>
      </c>
      <c r="F59" s="733">
        <v>22000</v>
      </c>
      <c r="G59" s="1067">
        <f t="shared" si="18"/>
        <v>8030000</v>
      </c>
      <c r="H59" s="1068">
        <f t="shared" si="13"/>
        <v>3.1919999999999997</v>
      </c>
      <c r="I59" s="1069">
        <f t="shared" si="14"/>
        <v>0.105</v>
      </c>
      <c r="J59" s="1070">
        <v>0</v>
      </c>
      <c r="K59" s="1071">
        <v>0.105</v>
      </c>
      <c r="L59" s="484">
        <f>(SUM(K59*G59))</f>
        <v>843150</v>
      </c>
      <c r="M59" s="1022">
        <v>0.9</v>
      </c>
      <c r="N59" s="484">
        <f t="shared" si="16"/>
        <v>0</v>
      </c>
      <c r="O59" s="484">
        <f t="shared" si="17"/>
        <v>843150</v>
      </c>
      <c r="P59" s="732" t="s">
        <v>593</v>
      </c>
      <c r="Q59" s="519"/>
      <c r="R59" s="722"/>
      <c r="S59" s="723"/>
      <c r="T59" s="519"/>
      <c r="U59" s="724"/>
      <c r="V59" s="725"/>
    </row>
    <row r="60" spans="1:27" s="726" customFormat="1" ht="12.75" customHeight="1" x14ac:dyDescent="0.2">
      <c r="A60" s="998" t="s">
        <v>712</v>
      </c>
      <c r="B60" s="998" t="s">
        <v>783</v>
      </c>
      <c r="C60" s="1008">
        <v>37438</v>
      </c>
      <c r="D60" s="1008">
        <v>37529</v>
      </c>
      <c r="E60" s="998">
        <f>31+31+30</f>
        <v>92</v>
      </c>
      <c r="F60" s="1009">
        <v>29000</v>
      </c>
      <c r="G60" s="1009">
        <f>SUM(E60*F60)</f>
        <v>2668000</v>
      </c>
      <c r="H60" s="1010">
        <f>SUM(I60*30.4)</f>
        <v>1.1187199999999999</v>
      </c>
      <c r="I60" s="1001">
        <f>K60-J60</f>
        <v>3.6799999999999999E-2</v>
      </c>
      <c r="J60" s="1040">
        <v>3.2000000000000002E-3</v>
      </c>
      <c r="K60" s="1011">
        <v>0.04</v>
      </c>
      <c r="L60" s="1003">
        <f>(SUM(K60*G60))</f>
        <v>106720</v>
      </c>
      <c r="M60" s="1022">
        <v>0.9</v>
      </c>
      <c r="N60" s="484">
        <f>ROUND(J60*G60*M60,0)</f>
        <v>7684</v>
      </c>
      <c r="O60" s="484">
        <f>L60+N60</f>
        <v>114404</v>
      </c>
      <c r="P60" s="732"/>
      <c r="Q60" s="519"/>
      <c r="R60" s="722"/>
      <c r="S60" s="723"/>
      <c r="T60" s="519"/>
      <c r="U60" s="724"/>
      <c r="V60" s="725"/>
    </row>
    <row r="61" spans="1:27" s="739" customFormat="1" x14ac:dyDescent="0.2">
      <c r="A61" s="180">
        <v>27460</v>
      </c>
      <c r="B61" s="180" t="s">
        <v>306</v>
      </c>
      <c r="C61" s="181">
        <v>37257</v>
      </c>
      <c r="D61" s="181">
        <v>37986</v>
      </c>
      <c r="E61" s="180">
        <v>365</v>
      </c>
      <c r="F61" s="736">
        <v>55000</v>
      </c>
      <c r="G61" s="182">
        <f t="shared" si="18"/>
        <v>20075000</v>
      </c>
      <c r="H61" s="508">
        <f>SUM(I61*30.4)</f>
        <v>3.1007999999999996</v>
      </c>
      <c r="I61" s="173">
        <f t="shared" si="14"/>
        <v>0.10199999999999999</v>
      </c>
      <c r="J61" s="565">
        <v>0</v>
      </c>
      <c r="K61" s="170">
        <v>0.10199999999999999</v>
      </c>
      <c r="L61" s="484">
        <f>(SUM(K61*G61))</f>
        <v>2047649.9999999998</v>
      </c>
      <c r="M61" s="1022">
        <v>0.9</v>
      </c>
      <c r="N61" s="484">
        <f t="shared" si="16"/>
        <v>0</v>
      </c>
      <c r="O61" s="484">
        <f t="shared" si="17"/>
        <v>2047649.9999999998</v>
      </c>
      <c r="P61" s="732" t="s">
        <v>593</v>
      </c>
      <c r="Q61" s="175"/>
      <c r="R61" s="497"/>
      <c r="S61" s="509"/>
      <c r="T61" s="175"/>
      <c r="U61" s="737"/>
      <c r="V61" s="738"/>
    </row>
    <row r="62" spans="1:27" s="501" customFormat="1" x14ac:dyDescent="0.2">
      <c r="A62" s="488"/>
      <c r="B62" s="488"/>
      <c r="C62" s="545"/>
      <c r="D62" s="528"/>
      <c r="E62" s="529"/>
      <c r="F62" s="603"/>
      <c r="G62" s="550"/>
      <c r="H62" s="532"/>
      <c r="I62" s="533"/>
      <c r="J62" s="534"/>
      <c r="K62" s="547"/>
      <c r="L62" s="604"/>
      <c r="M62" s="1023"/>
      <c r="N62" s="536"/>
      <c r="O62" s="536"/>
      <c r="P62" s="536"/>
      <c r="Q62" s="577"/>
      <c r="R62" s="578"/>
      <c r="S62" s="554"/>
      <c r="T62" s="537"/>
      <c r="U62" s="539"/>
      <c r="V62" s="498"/>
    </row>
    <row r="63" spans="1:27" s="501" customFormat="1" x14ac:dyDescent="0.2">
      <c r="A63" s="488"/>
      <c r="B63" s="488"/>
      <c r="C63" s="545"/>
      <c r="D63" s="528"/>
      <c r="E63" s="529"/>
      <c r="F63" s="530"/>
      <c r="G63" s="550"/>
      <c r="H63" s="532"/>
      <c r="I63" s="533"/>
      <c r="J63" s="534"/>
      <c r="K63" s="547"/>
      <c r="L63" s="604"/>
      <c r="M63" s="1023"/>
      <c r="N63" s="536"/>
      <c r="O63" s="536"/>
      <c r="P63" s="536"/>
      <c r="Q63" s="577"/>
      <c r="R63" s="578"/>
      <c r="S63" s="554"/>
      <c r="T63" s="537"/>
      <c r="U63" s="539"/>
      <c r="V63" s="498"/>
    </row>
    <row r="64" spans="1:27" s="501" customFormat="1" x14ac:dyDescent="0.2">
      <c r="A64" s="540" t="s">
        <v>512</v>
      </c>
      <c r="B64" s="540" t="s">
        <v>512</v>
      </c>
      <c r="C64" s="545"/>
      <c r="D64" s="528"/>
      <c r="E64" s="529"/>
      <c r="F64" s="531"/>
      <c r="G64" s="550"/>
      <c r="H64" s="551"/>
      <c r="I64" s="534"/>
      <c r="J64" s="534"/>
      <c r="K64" s="547"/>
      <c r="L64" s="604"/>
      <c r="M64" s="1023"/>
      <c r="N64" s="536"/>
      <c r="O64" s="536"/>
      <c r="P64" s="536"/>
      <c r="Q64" s="577"/>
      <c r="R64" s="578"/>
      <c r="S64" s="554"/>
      <c r="T64" s="537"/>
      <c r="U64" s="539"/>
      <c r="V64" s="498"/>
    </row>
    <row r="65" spans="1:23" s="570" customFormat="1" ht="12.75" customHeight="1" x14ac:dyDescent="0.2">
      <c r="A65" s="180">
        <v>20715</v>
      </c>
      <c r="B65" s="180" t="s">
        <v>285</v>
      </c>
      <c r="C65" s="579" t="s">
        <v>8</v>
      </c>
      <c r="D65" s="181">
        <v>38656</v>
      </c>
      <c r="E65" s="180">
        <v>365</v>
      </c>
      <c r="F65" s="733">
        <v>200000</v>
      </c>
      <c r="G65" s="182">
        <f t="shared" ref="G65:G81" si="19">SUM(E65*F65)</f>
        <v>73000000</v>
      </c>
      <c r="H65" s="508">
        <f t="shared" ref="H65:H81" si="20">SUM(I65*30.4)</f>
        <v>3.2649599999999999</v>
      </c>
      <c r="I65" s="173">
        <f t="shared" ref="I65:I81" si="21">K65-J65</f>
        <v>0.1074</v>
      </c>
      <c r="J65" s="565">
        <v>0</v>
      </c>
      <c r="K65" s="170">
        <v>0.1074</v>
      </c>
      <c r="L65" s="484">
        <f t="shared" ref="L65:L81" si="22">(SUM(K65*G65))-N65</f>
        <v>7840200</v>
      </c>
      <c r="M65" s="1022">
        <v>0.92</v>
      </c>
      <c r="N65" s="484">
        <f t="shared" ref="N65:N81" si="23">ROUND(J65*G65*M65,0)</f>
        <v>0</v>
      </c>
      <c r="O65" s="484">
        <f t="shared" ref="O65:O80" si="24">L65+N65</f>
        <v>7840200</v>
      </c>
      <c r="P65" s="732" t="s">
        <v>26</v>
      </c>
      <c r="Q65" s="175" t="s">
        <v>8</v>
      </c>
      <c r="R65" s="511" t="s">
        <v>512</v>
      </c>
      <c r="S65" s="511" t="s">
        <v>534</v>
      </c>
      <c r="T65" s="580"/>
      <c r="U65"/>
    </row>
    <row r="66" spans="1:23" s="570" customFormat="1" ht="12.75" customHeight="1" x14ac:dyDescent="0.2">
      <c r="A66" s="180">
        <v>20715</v>
      </c>
      <c r="B66" s="180" t="s">
        <v>285</v>
      </c>
      <c r="C66" s="579" t="s">
        <v>8</v>
      </c>
      <c r="D66" s="181">
        <v>38656</v>
      </c>
      <c r="E66" s="180">
        <v>61</v>
      </c>
      <c r="F66" s="733">
        <v>200000</v>
      </c>
      <c r="G66" s="182">
        <f>SUM(E66*F66)</f>
        <v>12200000</v>
      </c>
      <c r="H66" s="508">
        <f>SUM(I66*30.4)</f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>(SUM(K66*G66))-N66</f>
        <v>26840</v>
      </c>
      <c r="M66" s="1022">
        <v>0.92</v>
      </c>
      <c r="N66" s="484">
        <f>ROUND(J66*G66*M66,0)</f>
        <v>0</v>
      </c>
      <c r="O66" s="484">
        <f t="shared" si="24"/>
        <v>26840</v>
      </c>
      <c r="P66" s="732"/>
      <c r="Q66" s="175"/>
      <c r="R66" s="511"/>
      <c r="S66" s="511"/>
      <c r="T66" s="580"/>
      <c r="U66"/>
    </row>
    <row r="67" spans="1:23" s="570" customFormat="1" ht="12.75" customHeight="1" x14ac:dyDescent="0.2">
      <c r="A67" s="180">
        <v>20835</v>
      </c>
      <c r="B67" s="180" t="s">
        <v>293</v>
      </c>
      <c r="C67" s="579" t="s">
        <v>535</v>
      </c>
      <c r="D67" s="181">
        <v>37315</v>
      </c>
      <c r="E67" s="180">
        <v>59</v>
      </c>
      <c r="F67" s="733">
        <v>20000</v>
      </c>
      <c r="G67" s="182">
        <f t="shared" si="19"/>
        <v>1180000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126732</v>
      </c>
      <c r="M67" s="1022">
        <v>0.92</v>
      </c>
      <c r="N67" s="484">
        <f t="shared" si="23"/>
        <v>0</v>
      </c>
      <c r="O67" s="484">
        <f t="shared" si="24"/>
        <v>126732</v>
      </c>
      <c r="P67" s="732" t="s">
        <v>292</v>
      </c>
      <c r="Q67" s="581" t="s">
        <v>8</v>
      </c>
      <c r="R67" s="511" t="s">
        <v>512</v>
      </c>
      <c r="S67" s="511" t="s">
        <v>534</v>
      </c>
      <c r="T67" s="582"/>
      <c r="U67" s="487"/>
    </row>
    <row r="68" spans="1:23" s="570" customFormat="1" ht="12.75" customHeight="1" x14ac:dyDescent="0.2">
      <c r="A68" s="180">
        <v>21175</v>
      </c>
      <c r="B68" s="180" t="s">
        <v>536</v>
      </c>
      <c r="C68" s="579" t="s">
        <v>535</v>
      </c>
      <c r="D68" s="181">
        <v>39172</v>
      </c>
      <c r="E68" s="180">
        <v>365</v>
      </c>
      <c r="F68" s="733">
        <v>150000</v>
      </c>
      <c r="G68" s="182">
        <f t="shared" si="19"/>
        <v>54750000</v>
      </c>
      <c r="H68" s="508">
        <f t="shared" si="20"/>
        <v>3.2649599999999999</v>
      </c>
      <c r="I68" s="173">
        <f t="shared" si="21"/>
        <v>0.1074</v>
      </c>
      <c r="J68" s="565">
        <v>0</v>
      </c>
      <c r="K68" s="170">
        <v>0.1074</v>
      </c>
      <c r="L68" s="484">
        <f t="shared" si="22"/>
        <v>5880150</v>
      </c>
      <c r="M68" s="1022">
        <v>0.92</v>
      </c>
      <c r="N68" s="484">
        <f t="shared" si="23"/>
        <v>0</v>
      </c>
      <c r="O68" s="484">
        <f t="shared" si="24"/>
        <v>5880150</v>
      </c>
      <c r="P68" s="732" t="s">
        <v>537</v>
      </c>
      <c r="Q68" s="583" t="s">
        <v>538</v>
      </c>
      <c r="R68" s="511" t="s">
        <v>512</v>
      </c>
      <c r="S68" s="511" t="s">
        <v>534</v>
      </c>
      <c r="T68" s="582"/>
      <c r="U68" s="487"/>
    </row>
    <row r="69" spans="1:23" s="570" customFormat="1" ht="12.75" customHeight="1" x14ac:dyDescent="0.2">
      <c r="A69" s="180">
        <v>21175</v>
      </c>
      <c r="B69" s="180" t="s">
        <v>536</v>
      </c>
      <c r="C69" s="579" t="s">
        <v>535</v>
      </c>
      <c r="D69" s="181">
        <v>39172</v>
      </c>
      <c r="E69" s="180">
        <v>61</v>
      </c>
      <c r="F69" s="733">
        <v>150000</v>
      </c>
      <c r="G69" s="182">
        <f>SUM(E69*F69)</f>
        <v>9150000</v>
      </c>
      <c r="H69" s="508">
        <f>SUM(I69*30.4)</f>
        <v>6.6879999999999995E-2</v>
      </c>
      <c r="I69" s="173">
        <f>K69-J69</f>
        <v>2.2000000000000001E-3</v>
      </c>
      <c r="J69" s="565">
        <v>0</v>
      </c>
      <c r="K69" s="170">
        <v>2.2000000000000001E-3</v>
      </c>
      <c r="L69" s="484">
        <f>(SUM(K69*G69))-N69</f>
        <v>20130</v>
      </c>
      <c r="M69" s="1022">
        <v>0.92</v>
      </c>
      <c r="N69" s="484">
        <f>ROUND(J69*G69*M69,0)</f>
        <v>0</v>
      </c>
      <c r="O69" s="484">
        <f t="shared" si="24"/>
        <v>20130</v>
      </c>
      <c r="P69" s="732"/>
      <c r="Q69" s="583"/>
      <c r="R69" s="511"/>
      <c r="S69" s="511"/>
      <c r="T69" s="582"/>
      <c r="U69" s="487"/>
    </row>
    <row r="70" spans="1:23" s="570" customFormat="1" ht="12.75" customHeight="1" x14ac:dyDescent="0.2">
      <c r="A70" s="488">
        <v>21372</v>
      </c>
      <c r="B70" s="488" t="s">
        <v>539</v>
      </c>
      <c r="C70" s="584" t="s">
        <v>540</v>
      </c>
      <c r="D70" s="489">
        <v>34393</v>
      </c>
      <c r="E70" s="180">
        <f>$E$2</f>
        <v>0</v>
      </c>
      <c r="F70" s="733">
        <v>1346</v>
      </c>
      <c r="G70" s="490">
        <v>0</v>
      </c>
      <c r="H70" s="502"/>
      <c r="I70" s="173">
        <f t="shared" si="21"/>
        <v>0</v>
      </c>
      <c r="J70" s="585">
        <v>0</v>
      </c>
      <c r="K70" s="493"/>
      <c r="L70" s="484">
        <f t="shared" si="22"/>
        <v>0</v>
      </c>
      <c r="M70" s="1022">
        <v>0.92</v>
      </c>
      <c r="N70" s="484">
        <f t="shared" si="23"/>
        <v>0</v>
      </c>
      <c r="O70" s="484">
        <f t="shared" si="24"/>
        <v>0</v>
      </c>
      <c r="P70" s="732"/>
      <c r="Q70" s="586" t="s">
        <v>541</v>
      </c>
      <c r="R70" s="509" t="s">
        <v>512</v>
      </c>
      <c r="S70" s="509" t="s">
        <v>512</v>
      </c>
      <c r="T70" s="582"/>
      <c r="U70" s="487"/>
    </row>
    <row r="71" spans="1:23" s="487" customFormat="1" x14ac:dyDescent="0.2">
      <c r="A71" s="180" t="s">
        <v>776</v>
      </c>
      <c r="B71" s="180" t="s">
        <v>777</v>
      </c>
      <c r="C71" s="579" t="s">
        <v>535</v>
      </c>
      <c r="D71" s="181">
        <v>39141</v>
      </c>
      <c r="E71" s="180">
        <v>365</v>
      </c>
      <c r="F71" s="733">
        <v>20000</v>
      </c>
      <c r="G71" s="182">
        <f t="shared" si="19"/>
        <v>7300000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784020</v>
      </c>
      <c r="M71" s="1022">
        <v>0.92</v>
      </c>
      <c r="N71" s="484">
        <f t="shared" si="23"/>
        <v>0</v>
      </c>
      <c r="O71" s="484">
        <f t="shared" si="24"/>
        <v>784020</v>
      </c>
      <c r="P71" s="732" t="s">
        <v>292</v>
      </c>
      <c r="Q71" s="583" t="s">
        <v>8</v>
      </c>
      <c r="R71" s="511" t="s">
        <v>512</v>
      </c>
      <c r="S71" s="511" t="s">
        <v>534</v>
      </c>
      <c r="T71" s="587"/>
    </row>
    <row r="72" spans="1:23" s="487" customFormat="1" x14ac:dyDescent="0.2">
      <c r="A72" s="180" t="s">
        <v>776</v>
      </c>
      <c r="B72" s="180" t="s">
        <v>777</v>
      </c>
      <c r="C72" s="579" t="s">
        <v>535</v>
      </c>
      <c r="D72" s="181">
        <v>39141</v>
      </c>
      <c r="E72" s="180">
        <v>61</v>
      </c>
      <c r="F72" s="733">
        <v>20000</v>
      </c>
      <c r="G72" s="182">
        <f>SUM(E72*F72)</f>
        <v>1220000</v>
      </c>
      <c r="H72" s="508">
        <f>SUM(I72*30.4)</f>
        <v>6.6879999999999995E-2</v>
      </c>
      <c r="I72" s="173">
        <f>K72-J72</f>
        <v>2.2000000000000001E-3</v>
      </c>
      <c r="J72" s="565">
        <v>0</v>
      </c>
      <c r="K72" s="170">
        <v>2.2000000000000001E-3</v>
      </c>
      <c r="L72" s="484">
        <f>(SUM(K72*G72))-N72</f>
        <v>2684</v>
      </c>
      <c r="M72" s="1022">
        <v>0.92</v>
      </c>
      <c r="N72" s="484">
        <f>ROUND(J72*G72*M72,0)</f>
        <v>0</v>
      </c>
      <c r="O72" s="484">
        <f t="shared" si="24"/>
        <v>2684</v>
      </c>
      <c r="P72" s="732"/>
      <c r="Q72" s="583"/>
      <c r="R72" s="511"/>
      <c r="S72" s="511"/>
      <c r="T72" s="587"/>
    </row>
    <row r="73" spans="1:23" s="487" customFormat="1" x14ac:dyDescent="0.2">
      <c r="A73" s="180">
        <v>26371</v>
      </c>
      <c r="B73" s="588" t="s">
        <v>542</v>
      </c>
      <c r="C73" s="579" t="s">
        <v>535</v>
      </c>
      <c r="D73" s="181">
        <v>39172</v>
      </c>
      <c r="E73" s="180">
        <v>365</v>
      </c>
      <c r="F73" s="733">
        <v>25000</v>
      </c>
      <c r="G73" s="182">
        <f t="shared" si="19"/>
        <v>9125000</v>
      </c>
      <c r="H73" s="508">
        <f t="shared" si="20"/>
        <v>3.2649599999999999</v>
      </c>
      <c r="I73" s="173">
        <f t="shared" si="21"/>
        <v>0.1074</v>
      </c>
      <c r="J73" s="565">
        <v>0</v>
      </c>
      <c r="K73" s="170">
        <v>0.1074</v>
      </c>
      <c r="L73" s="484">
        <f t="shared" si="22"/>
        <v>980025</v>
      </c>
      <c r="M73" s="1022">
        <v>0.92</v>
      </c>
      <c r="N73" s="484">
        <f t="shared" si="23"/>
        <v>0</v>
      </c>
      <c r="O73" s="484">
        <f t="shared" si="24"/>
        <v>980025</v>
      </c>
      <c r="P73" s="734" t="s">
        <v>537</v>
      </c>
      <c r="Q73" s="583" t="s">
        <v>538</v>
      </c>
      <c r="R73" s="511" t="s">
        <v>512</v>
      </c>
      <c r="S73" s="511" t="s">
        <v>534</v>
      </c>
      <c r="T73" s="587"/>
    </row>
    <row r="74" spans="1:23" s="487" customFormat="1" x14ac:dyDescent="0.2">
      <c r="A74" s="180">
        <v>26371</v>
      </c>
      <c r="B74" s="588" t="s">
        <v>542</v>
      </c>
      <c r="C74" s="579" t="s">
        <v>535</v>
      </c>
      <c r="D74" s="181">
        <v>39172</v>
      </c>
      <c r="E74" s="180">
        <v>61</v>
      </c>
      <c r="F74" s="733">
        <v>25000</v>
      </c>
      <c r="G74" s="182">
        <f>SUM(E74*F74)</f>
        <v>1525000</v>
      </c>
      <c r="H74" s="508">
        <f>SUM(I74*30.4)</f>
        <v>6.6879999999999995E-2</v>
      </c>
      <c r="I74" s="173">
        <f>K74-J74</f>
        <v>2.2000000000000001E-3</v>
      </c>
      <c r="J74" s="565">
        <v>0</v>
      </c>
      <c r="K74" s="170">
        <v>2.2000000000000001E-3</v>
      </c>
      <c r="L74" s="484">
        <f>(SUM(K74*G74))-N74</f>
        <v>3355</v>
      </c>
      <c r="M74" s="1022">
        <v>0.92</v>
      </c>
      <c r="N74" s="484">
        <f>ROUND(J74*G74*M74,0)</f>
        <v>0</v>
      </c>
      <c r="O74" s="484">
        <f t="shared" si="24"/>
        <v>3355</v>
      </c>
      <c r="P74" s="734"/>
      <c r="Q74" s="583"/>
      <c r="R74" s="511"/>
      <c r="S74" s="511"/>
      <c r="T74" s="587"/>
    </row>
    <row r="75" spans="1:23" s="487" customFormat="1" x14ac:dyDescent="0.2">
      <c r="A75" s="180" t="s">
        <v>775</v>
      </c>
      <c r="B75" s="180" t="s">
        <v>774</v>
      </c>
      <c r="C75" s="579" t="s">
        <v>535</v>
      </c>
      <c r="D75" s="181">
        <v>39141</v>
      </c>
      <c r="E75" s="180">
        <v>365</v>
      </c>
      <c r="F75" s="733">
        <v>25000</v>
      </c>
      <c r="G75" s="182">
        <f t="shared" si="19"/>
        <v>9125000</v>
      </c>
      <c r="H75" s="508">
        <f t="shared" si="20"/>
        <v>3.2649599999999999</v>
      </c>
      <c r="I75" s="173">
        <f t="shared" si="21"/>
        <v>0.1074</v>
      </c>
      <c r="J75" s="565">
        <v>0</v>
      </c>
      <c r="K75" s="170">
        <v>0.1074</v>
      </c>
      <c r="L75" s="484">
        <f t="shared" si="22"/>
        <v>980025</v>
      </c>
      <c r="M75" s="1022">
        <v>0.92</v>
      </c>
      <c r="N75" s="484">
        <f t="shared" si="23"/>
        <v>0</v>
      </c>
      <c r="O75" s="484">
        <f t="shared" si="24"/>
        <v>980025</v>
      </c>
      <c r="P75" s="732" t="s">
        <v>292</v>
      </c>
      <c r="Q75" s="175" t="s">
        <v>8</v>
      </c>
      <c r="R75" s="511" t="s">
        <v>512</v>
      </c>
      <c r="S75" s="511" t="s">
        <v>534</v>
      </c>
      <c r="T75" s="587"/>
    </row>
    <row r="76" spans="1:23" s="487" customFormat="1" x14ac:dyDescent="0.2">
      <c r="A76" s="180" t="s">
        <v>775</v>
      </c>
      <c r="B76" s="180" t="s">
        <v>774</v>
      </c>
      <c r="C76" s="579" t="s">
        <v>535</v>
      </c>
      <c r="D76" s="181">
        <v>39141</v>
      </c>
      <c r="E76" s="180">
        <v>61</v>
      </c>
      <c r="F76" s="733">
        <v>25000</v>
      </c>
      <c r="G76" s="182">
        <f>SUM(E76*F76)</f>
        <v>1525000</v>
      </c>
      <c r="H76" s="508">
        <f>SUM(I76*30.4)</f>
        <v>6.6879999999999995E-2</v>
      </c>
      <c r="I76" s="173">
        <f>K76-J76</f>
        <v>2.2000000000000001E-3</v>
      </c>
      <c r="J76" s="565">
        <v>0</v>
      </c>
      <c r="K76" s="170">
        <v>2.2000000000000001E-3</v>
      </c>
      <c r="L76" s="484">
        <f>(SUM(K76*G76))-N76</f>
        <v>3355</v>
      </c>
      <c r="M76" s="1022">
        <v>0.92</v>
      </c>
      <c r="N76" s="484">
        <f>ROUND(J76*G76*M76,0)</f>
        <v>0</v>
      </c>
      <c r="O76" s="484">
        <f t="shared" si="24"/>
        <v>3355</v>
      </c>
      <c r="P76" s="732"/>
      <c r="Q76" s="175"/>
      <c r="R76" s="511"/>
      <c r="S76" s="511"/>
      <c r="T76" s="587"/>
    </row>
    <row r="77" spans="1:23" s="487" customFormat="1" x14ac:dyDescent="0.2">
      <c r="A77" s="180">
        <v>26677</v>
      </c>
      <c r="B77" s="510" t="s">
        <v>544</v>
      </c>
      <c r="C77" s="579" t="s">
        <v>535</v>
      </c>
      <c r="D77" s="181">
        <v>39172</v>
      </c>
      <c r="E77" s="180">
        <v>365</v>
      </c>
      <c r="F77" s="733">
        <v>25000</v>
      </c>
      <c r="G77" s="182">
        <f t="shared" si="19"/>
        <v>9125000</v>
      </c>
      <c r="H77" s="508">
        <f t="shared" si="20"/>
        <v>3.2649599999999999</v>
      </c>
      <c r="I77" s="173">
        <f t="shared" si="21"/>
        <v>0.1074</v>
      </c>
      <c r="J77" s="565">
        <v>0</v>
      </c>
      <c r="K77" s="170">
        <v>0.1074</v>
      </c>
      <c r="L77" s="484">
        <f t="shared" si="22"/>
        <v>980025</v>
      </c>
      <c r="M77" s="1022">
        <v>0.92</v>
      </c>
      <c r="N77" s="484">
        <f t="shared" si="23"/>
        <v>0</v>
      </c>
      <c r="O77" s="484">
        <f t="shared" si="24"/>
        <v>980025</v>
      </c>
      <c r="P77" s="734" t="s">
        <v>537</v>
      </c>
      <c r="Q77" s="583" t="s">
        <v>538</v>
      </c>
      <c r="R77" s="511" t="s">
        <v>512</v>
      </c>
      <c r="S77" s="511" t="s">
        <v>534</v>
      </c>
      <c r="T77" s="587"/>
    </row>
    <row r="78" spans="1:23" s="487" customFormat="1" x14ac:dyDescent="0.2">
      <c r="A78" s="180">
        <v>26677</v>
      </c>
      <c r="B78" s="510" t="s">
        <v>544</v>
      </c>
      <c r="C78" s="579" t="s">
        <v>535</v>
      </c>
      <c r="D78" s="181">
        <v>39172</v>
      </c>
      <c r="E78" s="180">
        <v>61</v>
      </c>
      <c r="F78" s="733">
        <v>25000</v>
      </c>
      <c r="G78" s="182">
        <f>SUM(E78*F78)</f>
        <v>1525000</v>
      </c>
      <c r="H78" s="508">
        <f>SUM(I78*30.4)</f>
        <v>6.6879999999999995E-2</v>
      </c>
      <c r="I78" s="173">
        <f>K78-J78</f>
        <v>2.2000000000000001E-3</v>
      </c>
      <c r="J78" s="565">
        <v>0</v>
      </c>
      <c r="K78" s="170">
        <v>2.2000000000000001E-3</v>
      </c>
      <c r="L78" s="484">
        <f>(SUM(K78*G78))-N78</f>
        <v>3355</v>
      </c>
      <c r="M78" s="1022">
        <v>0.92</v>
      </c>
      <c r="N78" s="484">
        <f>ROUND(J78*G78*M78,0)</f>
        <v>0</v>
      </c>
      <c r="O78" s="484">
        <f t="shared" si="24"/>
        <v>3355</v>
      </c>
      <c r="P78" s="734"/>
      <c r="Q78" s="583"/>
      <c r="R78" s="511"/>
      <c r="S78" s="511"/>
      <c r="T78" s="587"/>
    </row>
    <row r="79" spans="1:23" s="731" customFormat="1" x14ac:dyDescent="0.2">
      <c r="A79" s="998">
        <v>27534</v>
      </c>
      <c r="B79" s="998" t="s">
        <v>290</v>
      </c>
      <c r="C79" s="1008">
        <v>37257</v>
      </c>
      <c r="D79" s="1008">
        <v>37925</v>
      </c>
      <c r="E79" s="998">
        <v>304</v>
      </c>
      <c r="F79" s="733">
        <v>32500</v>
      </c>
      <c r="G79" s="1009">
        <f t="shared" si="19"/>
        <v>9880000</v>
      </c>
      <c r="H79" s="1010">
        <f t="shared" si="20"/>
        <v>1.52</v>
      </c>
      <c r="I79" s="1001">
        <f t="shared" si="21"/>
        <v>0.05</v>
      </c>
      <c r="J79" s="1040">
        <v>0</v>
      </c>
      <c r="K79" s="1011">
        <v>0.05</v>
      </c>
      <c r="L79" s="1003">
        <f t="shared" si="22"/>
        <v>494000</v>
      </c>
      <c r="M79" s="1022">
        <v>0.92</v>
      </c>
      <c r="N79" s="484">
        <f t="shared" si="23"/>
        <v>0</v>
      </c>
      <c r="O79" s="484">
        <f t="shared" si="24"/>
        <v>494000</v>
      </c>
      <c r="P79" s="732" t="s">
        <v>593</v>
      </c>
      <c r="Q79" s="583"/>
      <c r="R79" s="511"/>
      <c r="S79" s="511"/>
      <c r="T79" s="765"/>
      <c r="U79" s="735"/>
      <c r="V79" s="735"/>
      <c r="W79" s="735"/>
    </row>
    <row r="80" spans="1:23" s="731" customFormat="1" x14ac:dyDescent="0.2">
      <c r="A80" s="998">
        <v>27534</v>
      </c>
      <c r="B80" s="998" t="s">
        <v>290</v>
      </c>
      <c r="C80" s="1008">
        <v>37561</v>
      </c>
      <c r="D80" s="1008">
        <v>37986</v>
      </c>
      <c r="E80" s="998">
        <v>61</v>
      </c>
      <c r="F80" s="733">
        <v>11000</v>
      </c>
      <c r="G80" s="1009">
        <f>SUM(E80*F80)</f>
        <v>671000</v>
      </c>
      <c r="H80" s="1010">
        <f>SUM(I80*30.4)</f>
        <v>1.52</v>
      </c>
      <c r="I80" s="1001">
        <f>K80-J80</f>
        <v>0.05</v>
      </c>
      <c r="J80" s="1040">
        <v>0</v>
      </c>
      <c r="K80" s="1011">
        <v>0.05</v>
      </c>
      <c r="L80" s="1003">
        <f>(SUM(K80*G80))-N80</f>
        <v>33550</v>
      </c>
      <c r="M80" s="1022">
        <v>0.92</v>
      </c>
      <c r="N80" s="484">
        <f>ROUND(J80*G80*M80,0)</f>
        <v>0</v>
      </c>
      <c r="O80" s="484">
        <f t="shared" si="24"/>
        <v>33550</v>
      </c>
      <c r="P80" s="732" t="s">
        <v>593</v>
      </c>
      <c r="Q80" s="583"/>
      <c r="R80" s="511"/>
      <c r="S80" s="511"/>
      <c r="T80" s="765"/>
      <c r="U80" s="735"/>
      <c r="V80" s="735"/>
      <c r="W80" s="735"/>
    </row>
    <row r="81" spans="1:113" s="487" customFormat="1" x14ac:dyDescent="0.2">
      <c r="A81" s="180"/>
      <c r="B81" s="180"/>
      <c r="C81" s="181"/>
      <c r="D81" s="181"/>
      <c r="E81" s="180"/>
      <c r="F81" s="526">
        <v>0</v>
      </c>
      <c r="G81" s="182">
        <f t="shared" si="19"/>
        <v>0</v>
      </c>
      <c r="H81" s="508">
        <f t="shared" si="20"/>
        <v>0</v>
      </c>
      <c r="I81" s="173">
        <f t="shared" si="21"/>
        <v>0</v>
      </c>
      <c r="J81" s="565">
        <v>0</v>
      </c>
      <c r="K81" s="170">
        <v>0</v>
      </c>
      <c r="L81" s="484">
        <f t="shared" si="22"/>
        <v>0</v>
      </c>
      <c r="M81" s="1022">
        <v>0.92</v>
      </c>
      <c r="N81" s="484">
        <f t="shared" si="23"/>
        <v>0</v>
      </c>
      <c r="O81" s="484">
        <f>L81+N81</f>
        <v>0</v>
      </c>
      <c r="P81" s="516"/>
      <c r="Q81" s="583"/>
      <c r="R81" s="509"/>
      <c r="S81" s="509"/>
      <c r="T81" s="587"/>
    </row>
    <row r="82" spans="1:113" s="487" customFormat="1" x14ac:dyDescent="0.2">
      <c r="A82" s="488"/>
      <c r="B82" s="591"/>
      <c r="C82" s="592"/>
      <c r="D82" s="593"/>
      <c r="E82" s="529"/>
      <c r="F82" s="182"/>
      <c r="G82" s="594"/>
      <c r="H82" s="532"/>
      <c r="I82" s="533"/>
      <c r="J82" s="595"/>
      <c r="K82" s="596"/>
      <c r="L82" s="183"/>
      <c r="M82" s="516"/>
      <c r="N82" s="598"/>
      <c r="O82" s="484">
        <f>L82+N82</f>
        <v>0</v>
      </c>
      <c r="P82" s="503"/>
      <c r="Q82" s="580"/>
      <c r="R82" s="505"/>
      <c r="S82" s="505"/>
      <c r="T82" s="580"/>
      <c r="U82"/>
    </row>
    <row r="83" spans="1:113" s="487" customFormat="1" x14ac:dyDescent="0.2">
      <c r="A83" s="488"/>
      <c r="B83" s="591"/>
      <c r="C83" s="592"/>
      <c r="D83" s="593"/>
      <c r="E83" s="529"/>
      <c r="F83" s="599"/>
      <c r="G83" s="594"/>
      <c r="H83" s="532"/>
      <c r="I83" s="533"/>
      <c r="J83" s="595"/>
      <c r="K83" s="596"/>
      <c r="L83" s="183"/>
      <c r="M83" s="516"/>
      <c r="N83" s="598"/>
      <c r="O83" s="598"/>
      <c r="P83" s="503"/>
      <c r="Q83" s="580"/>
      <c r="R83" s="505"/>
      <c r="S83" s="505"/>
      <c r="T83" s="580"/>
      <c r="U83"/>
    </row>
    <row r="84" spans="1:113" s="487" customFormat="1" x14ac:dyDescent="0.2">
      <c r="A84" s="540" t="s">
        <v>477</v>
      </c>
      <c r="B84" s="540" t="s">
        <v>494</v>
      </c>
      <c r="C84" s="592"/>
      <c r="D84" s="593"/>
      <c r="E84" s="529"/>
      <c r="F84" s="594"/>
      <c r="G84" s="594"/>
      <c r="H84" s="502"/>
      <c r="I84" s="568"/>
      <c r="J84" s="595"/>
      <c r="K84" s="596"/>
      <c r="L84" s="183"/>
      <c r="M84" s="516"/>
      <c r="N84" s="598"/>
      <c r="O84" s="598"/>
      <c r="P84" s="503"/>
      <c r="Q84" s="580"/>
      <c r="R84" s="505"/>
      <c r="S84" s="505"/>
      <c r="T84" s="580"/>
      <c r="U84"/>
    </row>
    <row r="85" spans="1:113" s="570" customFormat="1" x14ac:dyDescent="0.2">
      <c r="A85" s="180">
        <v>8255</v>
      </c>
      <c r="B85" s="180" t="s">
        <v>545</v>
      </c>
      <c r="C85" s="579" t="s">
        <v>546</v>
      </c>
      <c r="D85" s="181">
        <v>38656</v>
      </c>
      <c r="E85" s="180">
        <v>365</v>
      </c>
      <c r="F85" s="733">
        <v>306000</v>
      </c>
      <c r="G85" s="182">
        <f t="shared" ref="G85:G96" si="25">SUM(E85*F85)</f>
        <v>111690000</v>
      </c>
      <c r="H85" s="508">
        <f t="shared" ref="H85:H96" si="26">SUM(I85*30.4)</f>
        <v>10.26</v>
      </c>
      <c r="I85" s="173">
        <f>K85-J85</f>
        <v>0.33750000000000002</v>
      </c>
      <c r="J85" s="565">
        <v>0</v>
      </c>
      <c r="K85" s="170">
        <f>0.331+0.0065</f>
        <v>0.33750000000000002</v>
      </c>
      <c r="L85" s="484">
        <f t="shared" ref="L85:L101" si="27">(SUM(K85*G85))-N85</f>
        <v>37695375</v>
      </c>
      <c r="M85" s="1022">
        <v>0.66</v>
      </c>
      <c r="N85" s="484">
        <f t="shared" ref="N85:N101" si="28">ROUND(J85*G85*M85,0)</f>
        <v>0</v>
      </c>
      <c r="O85" s="484">
        <f t="shared" ref="O85:O101" si="29">L85+N85</f>
        <v>37695375</v>
      </c>
      <c r="P85" s="732" t="s">
        <v>292</v>
      </c>
      <c r="Q85" s="175" t="s">
        <v>547</v>
      </c>
      <c r="R85" s="511" t="s">
        <v>477</v>
      </c>
      <c r="S85" s="511" t="s">
        <v>494</v>
      </c>
      <c r="T85" s="175"/>
      <c r="U85" s="168"/>
    </row>
    <row r="86" spans="1:113" s="570" customFormat="1" x14ac:dyDescent="0.2">
      <c r="A86" s="180">
        <v>8255</v>
      </c>
      <c r="B86" s="180" t="s">
        <v>545</v>
      </c>
      <c r="C86" s="579" t="s">
        <v>546</v>
      </c>
      <c r="D86" s="181">
        <v>38656</v>
      </c>
      <c r="E86" s="180">
        <v>61</v>
      </c>
      <c r="F86" s="733">
        <v>306000</v>
      </c>
      <c r="G86" s="182">
        <f>SUM(E86*F86)</f>
        <v>18666000</v>
      </c>
      <c r="H86" s="508">
        <f>SUM(I86*30.4)</f>
        <v>0.20368</v>
      </c>
      <c r="I86" s="173">
        <f>K86-J86</f>
        <v>6.7000000000000002E-3</v>
      </c>
      <c r="J86" s="565">
        <v>0</v>
      </c>
      <c r="K86" s="170">
        <v>6.7000000000000002E-3</v>
      </c>
      <c r="L86" s="484">
        <f>(SUM(K86*G86))-N86</f>
        <v>125062.2</v>
      </c>
      <c r="M86" s="1022">
        <v>0.66</v>
      </c>
      <c r="N86" s="484">
        <f>ROUND(J86*G86*M86,0)</f>
        <v>0</v>
      </c>
      <c r="O86" s="484">
        <f>L86+N86</f>
        <v>125062.2</v>
      </c>
      <c r="P86" s="732"/>
      <c r="Q86" s="175"/>
      <c r="R86" s="511"/>
      <c r="S86" s="511"/>
      <c r="T86" s="175"/>
      <c r="U86" s="168"/>
    </row>
    <row r="87" spans="1:113" s="570" customFormat="1" x14ac:dyDescent="0.2">
      <c r="A87" s="180">
        <v>25841</v>
      </c>
      <c r="B87" s="180" t="s">
        <v>286</v>
      </c>
      <c r="C87" s="181">
        <v>36557</v>
      </c>
      <c r="D87" s="181">
        <v>37560</v>
      </c>
      <c r="E87" s="180">
        <f>365-61</f>
        <v>304</v>
      </c>
      <c r="F87" s="182">
        <v>40000</v>
      </c>
      <c r="G87" s="182">
        <f t="shared" si="25"/>
        <v>12160000</v>
      </c>
      <c r="H87" s="508">
        <f t="shared" si="26"/>
        <v>2.5231999999999997</v>
      </c>
      <c r="I87" s="173">
        <f>K87-J87</f>
        <v>8.299999999999999E-2</v>
      </c>
      <c r="J87" s="170">
        <v>2.4500000000000001E-2</v>
      </c>
      <c r="K87" s="170">
        <v>0.1075</v>
      </c>
      <c r="L87" s="484">
        <f t="shared" si="27"/>
        <v>1110573</v>
      </c>
      <c r="M87" s="1022">
        <v>0.66</v>
      </c>
      <c r="N87" s="484">
        <f t="shared" si="28"/>
        <v>196627</v>
      </c>
      <c r="O87" s="484">
        <f t="shared" si="29"/>
        <v>1307200</v>
      </c>
      <c r="P87" s="183" t="s">
        <v>548</v>
      </c>
      <c r="Q87" s="175" t="s">
        <v>549</v>
      </c>
      <c r="R87" s="511" t="s">
        <v>477</v>
      </c>
      <c r="S87" s="511" t="s">
        <v>494</v>
      </c>
      <c r="T87" s="175"/>
      <c r="U87" s="175"/>
    </row>
    <row r="88" spans="1:113" s="570" customFormat="1" x14ac:dyDescent="0.2">
      <c r="A88" s="998">
        <v>25841</v>
      </c>
      <c r="B88" s="998" t="s">
        <v>286</v>
      </c>
      <c r="C88" s="1008">
        <v>36557</v>
      </c>
      <c r="D88" s="1008">
        <v>37560</v>
      </c>
      <c r="E88" s="998">
        <v>61</v>
      </c>
      <c r="F88" s="1009">
        <v>40000</v>
      </c>
      <c r="G88" s="1009">
        <f>SUM(E88*F88)</f>
        <v>2440000</v>
      </c>
      <c r="H88" s="1010">
        <f>SUM(I88*30.4)</f>
        <v>1.6872</v>
      </c>
      <c r="I88" s="1001">
        <f>K88-J88</f>
        <v>5.5500000000000001E-2</v>
      </c>
      <c r="J88" s="1011">
        <v>2.4500000000000001E-2</v>
      </c>
      <c r="K88" s="1011">
        <v>0.08</v>
      </c>
      <c r="L88" s="1003">
        <f>(SUM(K88*G88))-N88</f>
        <v>155745</v>
      </c>
      <c r="M88" s="1022">
        <v>0.66</v>
      </c>
      <c r="N88" s="484">
        <f>ROUND(J88*G88*M88,0)</f>
        <v>39455</v>
      </c>
      <c r="O88" s="484">
        <f>L88+N88</f>
        <v>195200</v>
      </c>
      <c r="P88" s="183"/>
      <c r="Q88" s="175"/>
      <c r="R88" s="511"/>
      <c r="S88" s="511"/>
      <c r="T88" s="175"/>
      <c r="U88" s="175"/>
    </row>
    <row r="89" spans="1:113" s="487" customFormat="1" x14ac:dyDescent="0.2">
      <c r="A89" s="180" t="s">
        <v>317</v>
      </c>
      <c r="B89" s="180" t="s">
        <v>284</v>
      </c>
      <c r="C89" s="181">
        <v>36100</v>
      </c>
      <c r="D89" s="181">
        <v>37925</v>
      </c>
      <c r="E89" s="180">
        <v>365</v>
      </c>
      <c r="F89" s="182">
        <v>70000</v>
      </c>
      <c r="G89" s="182">
        <f>SUM(E89*F89)</f>
        <v>25550000</v>
      </c>
      <c r="H89" s="508">
        <f>SUM(I89*30.4)</f>
        <v>3.8151999999999999</v>
      </c>
      <c r="I89" s="173">
        <f t="shared" ref="I89:I101" si="30">K89-J89</f>
        <v>0.1255</v>
      </c>
      <c r="J89" s="170">
        <v>2.4500000000000001E-2</v>
      </c>
      <c r="K89" s="170">
        <v>0.15</v>
      </c>
      <c r="L89" s="484">
        <f t="shared" si="27"/>
        <v>3419356</v>
      </c>
      <c r="M89" s="1022">
        <v>0.66</v>
      </c>
      <c r="N89" s="484">
        <f t="shared" si="28"/>
        <v>413144</v>
      </c>
      <c r="O89" s="484">
        <f t="shared" si="29"/>
        <v>3832500</v>
      </c>
      <c r="P89" s="183" t="s">
        <v>488</v>
      </c>
      <c r="Q89" s="510" t="s">
        <v>489</v>
      </c>
      <c r="R89" s="511" t="s">
        <v>477</v>
      </c>
      <c r="S89" s="511" t="s">
        <v>490</v>
      </c>
      <c r="T89" s="175"/>
      <c r="U89" s="175" t="s">
        <v>491</v>
      </c>
      <c r="V89" s="168"/>
      <c r="W89" s="168"/>
      <c r="X89" s="168"/>
      <c r="Y89" s="168"/>
    </row>
    <row r="90" spans="1:113" s="487" customFormat="1" x14ac:dyDescent="0.2">
      <c r="A90" s="180">
        <v>26511</v>
      </c>
      <c r="B90" s="180" t="s">
        <v>286</v>
      </c>
      <c r="C90" s="181">
        <v>36465</v>
      </c>
      <c r="D90" s="181">
        <v>37560</v>
      </c>
      <c r="E90" s="180">
        <f>365-61</f>
        <v>304</v>
      </c>
      <c r="F90" s="182">
        <v>21000</v>
      </c>
      <c r="G90" s="182">
        <f t="shared" si="25"/>
        <v>6384000</v>
      </c>
      <c r="H90" s="508">
        <f t="shared" si="26"/>
        <v>2.5231999999999997</v>
      </c>
      <c r="I90" s="173">
        <f t="shared" si="30"/>
        <v>8.299999999999999E-2</v>
      </c>
      <c r="J90" s="170">
        <v>2.4500000000000001E-2</v>
      </c>
      <c r="K90" s="170">
        <v>0.1075</v>
      </c>
      <c r="L90" s="484">
        <f t="shared" si="27"/>
        <v>583051</v>
      </c>
      <c r="M90" s="1022">
        <v>0.66</v>
      </c>
      <c r="N90" s="484">
        <f t="shared" si="28"/>
        <v>103229</v>
      </c>
      <c r="O90" s="484">
        <f t="shared" si="29"/>
        <v>686280</v>
      </c>
      <c r="P90" s="183" t="s">
        <v>488</v>
      </c>
      <c r="Q90" s="175" t="s">
        <v>26</v>
      </c>
      <c r="R90" s="511" t="s">
        <v>477</v>
      </c>
      <c r="S90" s="511" t="s">
        <v>494</v>
      </c>
      <c r="T90" s="175"/>
      <c r="U90" s="175"/>
      <c r="V90" s="168"/>
      <c r="W90" s="168"/>
      <c r="X90" s="168"/>
      <c r="Y90" s="168"/>
    </row>
    <row r="91" spans="1:113" s="487" customFormat="1" x14ac:dyDescent="0.2">
      <c r="A91" s="998">
        <v>26511</v>
      </c>
      <c r="B91" s="998" t="s">
        <v>286</v>
      </c>
      <c r="C91" s="1008">
        <v>36465</v>
      </c>
      <c r="D91" s="1008">
        <v>37560</v>
      </c>
      <c r="E91" s="998">
        <v>61</v>
      </c>
      <c r="F91" s="1009">
        <v>21000</v>
      </c>
      <c r="G91" s="1009">
        <f>SUM(E91*F91)</f>
        <v>1281000</v>
      </c>
      <c r="H91" s="1010">
        <f>SUM(I91*30.4)</f>
        <v>2.9032</v>
      </c>
      <c r="I91" s="1001">
        <f>K91-J91</f>
        <v>9.5500000000000002E-2</v>
      </c>
      <c r="J91" s="1011">
        <v>2.4500000000000001E-2</v>
      </c>
      <c r="K91" s="1011">
        <v>0.12</v>
      </c>
      <c r="L91" s="1003">
        <f>(SUM(K91*G91))-N91</f>
        <v>133006</v>
      </c>
      <c r="M91" s="1022">
        <v>0.66</v>
      </c>
      <c r="N91" s="484">
        <f>ROUND(J91*G91*M91,0)</f>
        <v>20714</v>
      </c>
      <c r="O91" s="484">
        <f>L91+N91</f>
        <v>153720</v>
      </c>
      <c r="P91" s="183"/>
      <c r="Q91" s="175"/>
      <c r="R91" s="511"/>
      <c r="S91" s="511"/>
      <c r="T91" s="175"/>
      <c r="U91" s="175"/>
      <c r="V91" s="168"/>
      <c r="W91" s="168"/>
      <c r="X91" s="168"/>
      <c r="Y91" s="168"/>
    </row>
    <row r="92" spans="1:113" s="168" customFormat="1" x14ac:dyDescent="0.2">
      <c r="A92" s="180">
        <v>26683</v>
      </c>
      <c r="B92" s="180" t="s">
        <v>553</v>
      </c>
      <c r="C92" s="181">
        <v>36220</v>
      </c>
      <c r="D92" s="181">
        <v>37346</v>
      </c>
      <c r="E92" s="180">
        <f>31+31+28</f>
        <v>90</v>
      </c>
      <c r="F92" s="733">
        <v>8000</v>
      </c>
      <c r="G92" s="182">
        <f t="shared" si="25"/>
        <v>720000</v>
      </c>
      <c r="H92" s="508">
        <f t="shared" si="26"/>
        <v>10.557919999999999</v>
      </c>
      <c r="I92" s="173">
        <f t="shared" si="30"/>
        <v>0.3473</v>
      </c>
      <c r="J92" s="170">
        <v>0</v>
      </c>
      <c r="K92" s="170">
        <v>0.3473</v>
      </c>
      <c r="L92" s="484">
        <f t="shared" si="27"/>
        <v>250056</v>
      </c>
      <c r="M92" s="1022">
        <v>0.66</v>
      </c>
      <c r="N92" s="484">
        <f t="shared" si="28"/>
        <v>0</v>
      </c>
      <c r="O92" s="484">
        <f t="shared" si="29"/>
        <v>250056</v>
      </c>
      <c r="P92" s="728" t="s">
        <v>326</v>
      </c>
      <c r="Q92" s="175" t="s">
        <v>554</v>
      </c>
      <c r="R92" s="511" t="s">
        <v>477</v>
      </c>
      <c r="S92" s="511" t="s">
        <v>494</v>
      </c>
      <c r="U92" s="168" t="s">
        <v>555</v>
      </c>
      <c r="Z92" s="487"/>
      <c r="AA92" s="487"/>
      <c r="AB92" s="487"/>
    </row>
    <row r="93" spans="1:113" s="521" customFormat="1" x14ac:dyDescent="0.2">
      <c r="A93" s="180">
        <v>26683</v>
      </c>
      <c r="B93" s="180" t="s">
        <v>553</v>
      </c>
      <c r="C93" s="181">
        <v>37347</v>
      </c>
      <c r="D93" s="181">
        <v>37711</v>
      </c>
      <c r="E93" s="180">
        <f>365-90</f>
        <v>275</v>
      </c>
      <c r="F93" s="733">
        <v>8000</v>
      </c>
      <c r="G93" s="182">
        <f>SUM(E93*F93)</f>
        <v>2200000</v>
      </c>
      <c r="H93" s="508">
        <f>SUM(I93*30.4)</f>
        <v>10.497119999999999</v>
      </c>
      <c r="I93" s="173">
        <f t="shared" si="30"/>
        <v>0.3453</v>
      </c>
      <c r="J93" s="170">
        <v>0</v>
      </c>
      <c r="K93" s="170">
        <v>0.3453</v>
      </c>
      <c r="L93" s="484">
        <f t="shared" si="27"/>
        <v>759660</v>
      </c>
      <c r="M93" s="1022">
        <v>0.66</v>
      </c>
      <c r="N93" s="484">
        <f t="shared" si="28"/>
        <v>0</v>
      </c>
      <c r="O93" s="484">
        <f t="shared" si="29"/>
        <v>759660</v>
      </c>
      <c r="P93" s="728" t="s">
        <v>326</v>
      </c>
      <c r="Q93" s="519" t="s">
        <v>554</v>
      </c>
      <c r="R93" s="518" t="s">
        <v>477</v>
      </c>
      <c r="S93" s="518" t="s">
        <v>494</v>
      </c>
      <c r="U93" s="521" t="s">
        <v>555</v>
      </c>
      <c r="Z93" s="731"/>
      <c r="AA93" s="731"/>
      <c r="AB93" s="731"/>
    </row>
    <row r="94" spans="1:113" s="601" customFormat="1" x14ac:dyDescent="0.2">
      <c r="A94" s="180">
        <v>26758</v>
      </c>
      <c r="B94" s="588" t="s">
        <v>556</v>
      </c>
      <c r="C94" s="181">
        <v>36647</v>
      </c>
      <c r="D94" s="181">
        <v>38472</v>
      </c>
      <c r="E94" s="180">
        <v>365</v>
      </c>
      <c r="F94" s="182">
        <v>40000</v>
      </c>
      <c r="G94" s="182">
        <f t="shared" si="25"/>
        <v>14600000</v>
      </c>
      <c r="H94" s="508">
        <f t="shared" si="26"/>
        <v>2.6356799999999998</v>
      </c>
      <c r="I94" s="173">
        <f t="shared" si="30"/>
        <v>8.6699999999999999E-2</v>
      </c>
      <c r="J94" s="170">
        <v>2.4500000000000001E-2</v>
      </c>
      <c r="K94" s="170">
        <v>0.11119999999999999</v>
      </c>
      <c r="L94" s="484">
        <f t="shared" si="27"/>
        <v>1387438</v>
      </c>
      <c r="M94" s="1022">
        <v>0.66</v>
      </c>
      <c r="N94" s="484">
        <f t="shared" si="28"/>
        <v>236082</v>
      </c>
      <c r="O94" s="484">
        <f t="shared" si="29"/>
        <v>1623520</v>
      </c>
      <c r="P94" s="183" t="s">
        <v>488</v>
      </c>
      <c r="Q94" s="175" t="s">
        <v>557</v>
      </c>
      <c r="R94" s="511" t="s">
        <v>477</v>
      </c>
      <c r="S94" s="511" t="s">
        <v>494</v>
      </c>
      <c r="T94" s="168"/>
      <c r="U94" s="168" t="s">
        <v>558</v>
      </c>
      <c r="V94" s="600"/>
      <c r="W94" s="600"/>
      <c r="X94" s="600"/>
      <c r="Y94" s="600"/>
    </row>
    <row r="95" spans="1:113" s="601" customFormat="1" x14ac:dyDescent="0.2">
      <c r="A95" s="180">
        <v>26819</v>
      </c>
      <c r="B95" s="180" t="s">
        <v>289</v>
      </c>
      <c r="C95" s="181">
        <v>36647</v>
      </c>
      <c r="D95" s="181">
        <v>38472</v>
      </c>
      <c r="E95" s="180">
        <v>365</v>
      </c>
      <c r="F95" s="182">
        <v>10000</v>
      </c>
      <c r="G95" s="182">
        <f t="shared" si="25"/>
        <v>3650000</v>
      </c>
      <c r="H95" s="508">
        <f t="shared" si="26"/>
        <v>2.9032</v>
      </c>
      <c r="I95" s="173">
        <f t="shared" si="30"/>
        <v>9.5500000000000002E-2</v>
      </c>
      <c r="J95" s="170">
        <v>2.4500000000000001E-2</v>
      </c>
      <c r="K95" s="170">
        <v>0.12</v>
      </c>
      <c r="L95" s="484">
        <f t="shared" si="27"/>
        <v>378979</v>
      </c>
      <c r="M95" s="1022">
        <v>0.66</v>
      </c>
      <c r="N95" s="484">
        <f t="shared" si="28"/>
        <v>59021</v>
      </c>
      <c r="O95" s="484">
        <f t="shared" si="29"/>
        <v>438000</v>
      </c>
      <c r="P95" s="183" t="s">
        <v>492</v>
      </c>
      <c r="Q95" s="175" t="s">
        <v>552</v>
      </c>
      <c r="R95" s="511" t="s">
        <v>477</v>
      </c>
      <c r="S95" s="511" t="s">
        <v>494</v>
      </c>
      <c r="T95" s="175"/>
      <c r="U95" s="175" t="s">
        <v>558</v>
      </c>
      <c r="V95" s="600"/>
      <c r="W95" s="600"/>
      <c r="X95" s="600"/>
      <c r="Y95" s="600"/>
    </row>
    <row r="96" spans="1:113" s="487" customFormat="1" ht="12.75" customHeight="1" x14ac:dyDescent="0.2">
      <c r="A96" s="180">
        <v>27252</v>
      </c>
      <c r="B96" s="180" t="s">
        <v>559</v>
      </c>
      <c r="C96" s="181">
        <v>36845</v>
      </c>
      <c r="D96" s="602">
        <v>40482</v>
      </c>
      <c r="E96" s="180">
        <f>365-61</f>
        <v>304</v>
      </c>
      <c r="F96" s="603">
        <v>14000</v>
      </c>
      <c r="G96" s="182">
        <f t="shared" si="25"/>
        <v>4256000</v>
      </c>
      <c r="H96" s="508">
        <f t="shared" si="26"/>
        <v>3.9672000000000001</v>
      </c>
      <c r="I96" s="173">
        <f t="shared" si="30"/>
        <v>0.1305</v>
      </c>
      <c r="J96" s="170">
        <v>2.4500000000000001E-2</v>
      </c>
      <c r="K96" s="533">
        <v>0.155</v>
      </c>
      <c r="L96" s="484">
        <f t="shared" si="27"/>
        <v>590860</v>
      </c>
      <c r="M96" s="1022">
        <v>0.66</v>
      </c>
      <c r="N96" s="484">
        <f t="shared" si="28"/>
        <v>68820</v>
      </c>
      <c r="O96" s="484">
        <f t="shared" si="29"/>
        <v>659680</v>
      </c>
      <c r="P96" s="604" t="s">
        <v>478</v>
      </c>
      <c r="Q96" s="605"/>
      <c r="R96" s="511" t="s">
        <v>477</v>
      </c>
      <c r="S96" s="511" t="s">
        <v>494</v>
      </c>
      <c r="T96" s="605"/>
      <c r="U96" s="605"/>
      <c r="V96" s="600"/>
      <c r="W96" s="600"/>
      <c r="X96" s="600"/>
      <c r="Y96" s="600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  <c r="DI96" s="601"/>
    </row>
    <row r="97" spans="1:113" s="487" customFormat="1" ht="12.75" customHeight="1" x14ac:dyDescent="0.2">
      <c r="A97" s="180">
        <v>27252</v>
      </c>
      <c r="B97" s="180" t="s">
        <v>559</v>
      </c>
      <c r="C97" s="181">
        <v>36845</v>
      </c>
      <c r="D97" s="602">
        <v>40482</v>
      </c>
      <c r="E97" s="180">
        <v>61</v>
      </c>
      <c r="F97" s="603">
        <v>14000</v>
      </c>
      <c r="G97" s="182">
        <f t="shared" ref="G97:G102" si="31">SUM(E97*F97)</f>
        <v>854000</v>
      </c>
      <c r="H97" s="508">
        <f t="shared" ref="H97:H102" si="32">SUM(I97*30.4)</f>
        <v>4.1192000000000002</v>
      </c>
      <c r="I97" s="173">
        <f>K97-J97</f>
        <v>0.13550000000000001</v>
      </c>
      <c r="J97" s="170">
        <v>2.4500000000000001E-2</v>
      </c>
      <c r="K97" s="533">
        <v>0.16</v>
      </c>
      <c r="L97" s="484">
        <f>(SUM(K97*G97))-N97</f>
        <v>122831</v>
      </c>
      <c r="M97" s="1022">
        <v>0.66</v>
      </c>
      <c r="N97" s="484">
        <f>ROUND(J97*G97*M97,0)</f>
        <v>13809</v>
      </c>
      <c r="O97" s="484">
        <f>L97+N97</f>
        <v>136640</v>
      </c>
      <c r="P97" s="604"/>
      <c r="Q97" s="605"/>
      <c r="R97" s="511"/>
      <c r="S97" s="511"/>
      <c r="T97" s="605"/>
      <c r="U97" s="605"/>
      <c r="V97" s="600"/>
      <c r="W97" s="600"/>
      <c r="X97" s="600"/>
      <c r="Y97" s="600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  <c r="AR97" s="601"/>
      <c r="AS97" s="601"/>
      <c r="AT97" s="601"/>
      <c r="AU97" s="601"/>
      <c r="AV97" s="601"/>
      <c r="AW97" s="601"/>
      <c r="AX97" s="601"/>
      <c r="AY97" s="601"/>
      <c r="AZ97" s="601"/>
      <c r="BA97" s="601"/>
      <c r="BB97" s="601"/>
      <c r="BC97" s="601"/>
      <c r="BD97" s="601"/>
      <c r="BE97" s="601"/>
      <c r="BF97" s="601"/>
      <c r="BG97" s="601"/>
      <c r="BH97" s="601"/>
      <c r="BI97" s="601"/>
      <c r="BJ97" s="601"/>
      <c r="BK97" s="601"/>
      <c r="BL97" s="601"/>
      <c r="BM97" s="601"/>
      <c r="BN97" s="601"/>
      <c r="BO97" s="601"/>
      <c r="BP97" s="601"/>
      <c r="BQ97" s="601"/>
      <c r="BR97" s="601"/>
      <c r="BS97" s="601"/>
      <c r="BT97" s="601"/>
      <c r="BU97" s="601"/>
      <c r="BV97" s="601"/>
      <c r="BW97" s="601"/>
      <c r="BX97" s="601"/>
      <c r="BY97" s="601"/>
      <c r="BZ97" s="601"/>
      <c r="CA97" s="601"/>
      <c r="CB97" s="601"/>
      <c r="CC97" s="601"/>
      <c r="CD97" s="601"/>
      <c r="CE97" s="601"/>
      <c r="CF97" s="601"/>
      <c r="CG97" s="601"/>
      <c r="CH97" s="601"/>
      <c r="CI97" s="601"/>
      <c r="CJ97" s="601"/>
      <c r="CK97" s="601"/>
      <c r="CL97" s="601"/>
      <c r="CM97" s="601"/>
      <c r="CN97" s="601"/>
      <c r="CO97" s="601"/>
      <c r="CP97" s="601"/>
      <c r="CQ97" s="601"/>
      <c r="CR97" s="601"/>
      <c r="CS97" s="601"/>
      <c r="CT97" s="601"/>
      <c r="CU97" s="601"/>
      <c r="CV97" s="601"/>
      <c r="CW97" s="601"/>
      <c r="CX97" s="601"/>
      <c r="CY97" s="601"/>
      <c r="CZ97" s="601"/>
      <c r="DA97" s="601"/>
      <c r="DB97" s="601"/>
      <c r="DC97" s="601"/>
      <c r="DD97" s="601"/>
      <c r="DE97" s="601"/>
      <c r="DF97" s="601"/>
      <c r="DG97" s="601"/>
      <c r="DH97" s="601"/>
      <c r="DI97" s="601"/>
    </row>
    <row r="98" spans="1:113" s="615" customFormat="1" ht="12.75" customHeight="1" x14ac:dyDescent="0.2">
      <c r="A98" s="573">
        <v>27340</v>
      </c>
      <c r="B98" s="573" t="s">
        <v>560</v>
      </c>
      <c r="C98" s="574">
        <v>36923</v>
      </c>
      <c r="D98" s="608">
        <v>37287</v>
      </c>
      <c r="E98" s="180">
        <v>31</v>
      </c>
      <c r="F98" s="730">
        <v>20000</v>
      </c>
      <c r="G98" s="575">
        <f t="shared" si="31"/>
        <v>620000</v>
      </c>
      <c r="H98" s="576">
        <f t="shared" si="32"/>
        <v>10.557919999999999</v>
      </c>
      <c r="I98" s="173">
        <f t="shared" si="30"/>
        <v>0.3473</v>
      </c>
      <c r="J98" s="609">
        <v>0</v>
      </c>
      <c r="K98" s="609">
        <v>0.3473</v>
      </c>
      <c r="L98" s="484">
        <f t="shared" si="27"/>
        <v>215326</v>
      </c>
      <c r="M98" s="1022">
        <v>0.66</v>
      </c>
      <c r="N98" s="484">
        <f t="shared" si="28"/>
        <v>0</v>
      </c>
      <c r="O98" s="484">
        <f t="shared" si="29"/>
        <v>215326</v>
      </c>
      <c r="P98" s="728" t="s">
        <v>326</v>
      </c>
      <c r="Q98" s="611"/>
      <c r="R98" s="612"/>
      <c r="S98" s="612"/>
      <c r="T98" s="611"/>
      <c r="U98" s="611" t="s">
        <v>561</v>
      </c>
      <c r="V98" s="613"/>
      <c r="W98" s="613"/>
      <c r="X98" s="613"/>
      <c r="Y98" s="613"/>
      <c r="Z98" s="614"/>
      <c r="AA98" s="614"/>
      <c r="AB98" s="614"/>
      <c r="AC98" s="614"/>
      <c r="AD98" s="614"/>
      <c r="AE98" s="614"/>
      <c r="AF98" s="614"/>
      <c r="AG98" s="614"/>
      <c r="AH98" s="614"/>
      <c r="AI98" s="614"/>
      <c r="AJ98" s="614"/>
      <c r="AK98" s="614"/>
      <c r="AL98" s="614"/>
      <c r="AM98" s="614"/>
      <c r="AN98" s="614"/>
      <c r="AO98" s="614"/>
      <c r="AP98" s="614"/>
      <c r="AQ98" s="614"/>
      <c r="AR98" s="614"/>
      <c r="AS98" s="614"/>
      <c r="AT98" s="614"/>
      <c r="AU98" s="614"/>
      <c r="AV98" s="614"/>
      <c r="AW98" s="614"/>
      <c r="AX98" s="614"/>
      <c r="AY98" s="614"/>
      <c r="AZ98" s="614"/>
      <c r="BA98" s="614"/>
      <c r="BB98" s="614"/>
      <c r="BC98" s="614"/>
      <c r="BD98" s="614"/>
      <c r="BE98" s="614"/>
      <c r="BF98" s="614"/>
      <c r="BG98" s="614"/>
      <c r="BH98" s="614"/>
      <c r="BI98" s="614"/>
      <c r="BJ98" s="614"/>
      <c r="BK98" s="614"/>
      <c r="BL98" s="614"/>
      <c r="BM98" s="614"/>
      <c r="BN98" s="614"/>
      <c r="BO98" s="614"/>
      <c r="BP98" s="614"/>
      <c r="BQ98" s="614"/>
      <c r="BR98" s="614"/>
      <c r="BS98" s="614"/>
      <c r="BT98" s="614"/>
      <c r="BU98" s="614"/>
      <c r="BV98" s="614"/>
      <c r="BW98" s="614"/>
      <c r="BX98" s="614"/>
      <c r="BY98" s="614"/>
      <c r="BZ98" s="614"/>
      <c r="CA98" s="614"/>
      <c r="CB98" s="614"/>
      <c r="CC98" s="614"/>
      <c r="CD98" s="614"/>
      <c r="CE98" s="614"/>
      <c r="CF98" s="614"/>
      <c r="CG98" s="614"/>
      <c r="CH98" s="614"/>
      <c r="CI98" s="614"/>
      <c r="CJ98" s="614"/>
      <c r="CK98" s="614"/>
      <c r="CL98" s="614"/>
      <c r="CM98" s="614"/>
      <c r="CN98" s="614"/>
      <c r="CO98" s="614"/>
      <c r="CP98" s="614"/>
      <c r="CQ98" s="614"/>
      <c r="CR98" s="614"/>
      <c r="CS98" s="614"/>
      <c r="CT98" s="614"/>
      <c r="CU98" s="614"/>
      <c r="CV98" s="614"/>
      <c r="CW98" s="614"/>
      <c r="CX98" s="614"/>
      <c r="CY98" s="614"/>
      <c r="CZ98" s="614"/>
      <c r="DA98" s="614"/>
      <c r="DB98" s="614"/>
      <c r="DC98" s="614"/>
      <c r="DD98" s="614"/>
      <c r="DE98" s="614"/>
      <c r="DF98" s="614"/>
      <c r="DG98" s="614"/>
      <c r="DH98" s="614"/>
      <c r="DI98" s="614"/>
    </row>
    <row r="99" spans="1:113" s="615" customFormat="1" ht="12.75" customHeight="1" x14ac:dyDescent="0.2">
      <c r="A99" s="998">
        <v>27340</v>
      </c>
      <c r="B99" s="998" t="s">
        <v>560</v>
      </c>
      <c r="C99" s="1008">
        <v>36923</v>
      </c>
      <c r="D99" s="1055">
        <v>37287</v>
      </c>
      <c r="E99" s="998">
        <f>365-31</f>
        <v>334</v>
      </c>
      <c r="F99" s="1056">
        <v>10000</v>
      </c>
      <c r="G99" s="1009">
        <f t="shared" si="31"/>
        <v>3340000</v>
      </c>
      <c r="H99" s="1010">
        <f t="shared" si="32"/>
        <v>2.9032</v>
      </c>
      <c r="I99" s="1001">
        <f>K99-J99</f>
        <v>9.5500000000000002E-2</v>
      </c>
      <c r="J99" s="1057">
        <v>2.4500000000000001E-2</v>
      </c>
      <c r="K99" s="1057">
        <v>0.12</v>
      </c>
      <c r="L99" s="1003">
        <f>(SUM(K99*G99))-N99</f>
        <v>346792</v>
      </c>
      <c r="M99" s="1022">
        <v>0.66</v>
      </c>
      <c r="N99" s="484">
        <f>ROUND(J99*G99*M99,0)</f>
        <v>54008</v>
      </c>
      <c r="O99" s="484">
        <f>L99+N99</f>
        <v>400800</v>
      </c>
      <c r="P99" s="728"/>
      <c r="Q99" s="611"/>
      <c r="R99" s="612"/>
      <c r="S99" s="612"/>
      <c r="T99" s="611"/>
      <c r="U99" s="611"/>
      <c r="V99" s="613"/>
      <c r="W99" s="613"/>
      <c r="X99" s="613"/>
      <c r="Y99" s="613"/>
      <c r="Z99" s="614"/>
      <c r="AA99" s="614"/>
      <c r="AB99" s="614"/>
      <c r="AC99" s="614"/>
      <c r="AD99" s="614"/>
      <c r="AE99" s="614"/>
      <c r="AF99" s="614"/>
      <c r="AG99" s="614"/>
      <c r="AH99" s="614"/>
      <c r="AI99" s="614"/>
      <c r="AJ99" s="614"/>
      <c r="AK99" s="614"/>
      <c r="AL99" s="614"/>
      <c r="AM99" s="614"/>
      <c r="AN99" s="614"/>
      <c r="AO99" s="614"/>
      <c r="AP99" s="614"/>
      <c r="AQ99" s="614"/>
      <c r="AR99" s="614"/>
      <c r="AS99" s="614"/>
      <c r="AT99" s="614"/>
      <c r="AU99" s="614"/>
      <c r="AV99" s="614"/>
      <c r="AW99" s="614"/>
      <c r="AX99" s="614"/>
      <c r="AY99" s="614"/>
      <c r="AZ99" s="614"/>
      <c r="BA99" s="614"/>
      <c r="BB99" s="614"/>
      <c r="BC99" s="614"/>
      <c r="BD99" s="614"/>
      <c r="BE99" s="614"/>
      <c r="BF99" s="614"/>
      <c r="BG99" s="614"/>
      <c r="BH99" s="614"/>
      <c r="BI99" s="614"/>
      <c r="BJ99" s="614"/>
      <c r="BK99" s="614"/>
      <c r="BL99" s="614"/>
      <c r="BM99" s="614"/>
      <c r="BN99" s="614"/>
      <c r="BO99" s="614"/>
      <c r="BP99" s="614"/>
      <c r="BQ99" s="614"/>
      <c r="BR99" s="614"/>
      <c r="BS99" s="614"/>
      <c r="BT99" s="614"/>
      <c r="BU99" s="614"/>
      <c r="BV99" s="614"/>
      <c r="BW99" s="614"/>
      <c r="BX99" s="614"/>
      <c r="BY99" s="614"/>
      <c r="BZ99" s="614"/>
      <c r="CA99" s="614"/>
      <c r="CB99" s="614"/>
      <c r="CC99" s="614"/>
      <c r="CD99" s="614"/>
      <c r="CE99" s="614"/>
      <c r="CF99" s="614"/>
      <c r="CG99" s="614"/>
      <c r="CH99" s="614"/>
      <c r="CI99" s="614"/>
      <c r="CJ99" s="614"/>
      <c r="CK99" s="614"/>
      <c r="CL99" s="614"/>
      <c r="CM99" s="614"/>
      <c r="CN99" s="614"/>
      <c r="CO99" s="614"/>
      <c r="CP99" s="614"/>
      <c r="CQ99" s="614"/>
      <c r="CR99" s="614"/>
      <c r="CS99" s="614"/>
      <c r="CT99" s="614"/>
      <c r="CU99" s="614"/>
      <c r="CV99" s="614"/>
      <c r="CW99" s="614"/>
      <c r="CX99" s="614"/>
      <c r="CY99" s="614"/>
      <c r="CZ99" s="614"/>
      <c r="DA99" s="614"/>
      <c r="DB99" s="614"/>
      <c r="DC99" s="614"/>
      <c r="DD99" s="614"/>
      <c r="DE99" s="614"/>
      <c r="DF99" s="614"/>
      <c r="DG99" s="614"/>
      <c r="DH99" s="614"/>
      <c r="DI99" s="614"/>
    </row>
    <row r="100" spans="1:113" s="615" customFormat="1" ht="12.75" customHeight="1" x14ac:dyDescent="0.2">
      <c r="A100" s="998">
        <v>27340</v>
      </c>
      <c r="B100" s="998" t="s">
        <v>560</v>
      </c>
      <c r="C100" s="1008">
        <v>36923</v>
      </c>
      <c r="D100" s="1055">
        <v>37287</v>
      </c>
      <c r="E100" s="998">
        <v>334</v>
      </c>
      <c r="F100" s="1056">
        <v>10000</v>
      </c>
      <c r="G100" s="1009">
        <f t="shared" si="31"/>
        <v>3340000</v>
      </c>
      <c r="H100" s="1010">
        <f t="shared" si="32"/>
        <v>1.6872</v>
      </c>
      <c r="I100" s="1001">
        <f>K100-J100</f>
        <v>5.5500000000000001E-2</v>
      </c>
      <c r="J100" s="1057">
        <v>2.4500000000000001E-2</v>
      </c>
      <c r="K100" s="1057">
        <v>0.08</v>
      </c>
      <c r="L100" s="1003">
        <f>(SUM(K100*G100))-N100</f>
        <v>213192</v>
      </c>
      <c r="M100" s="1022">
        <v>0.66</v>
      </c>
      <c r="N100" s="484">
        <f>ROUND(J100*G100*M100,0)</f>
        <v>54008</v>
      </c>
      <c r="O100" s="484">
        <f>L100+N100</f>
        <v>267200</v>
      </c>
      <c r="P100" s="728"/>
      <c r="Q100" s="611"/>
      <c r="R100" s="612"/>
      <c r="S100" s="612"/>
      <c r="T100" s="611"/>
      <c r="U100" s="611"/>
      <c r="V100" s="613"/>
      <c r="W100" s="613"/>
      <c r="X100" s="613"/>
      <c r="Y100" s="613"/>
      <c r="Z100" s="614"/>
      <c r="AA100" s="614"/>
      <c r="AB100" s="614"/>
      <c r="AC100" s="614"/>
      <c r="AD100" s="614"/>
      <c r="AE100" s="614"/>
      <c r="AF100" s="614"/>
      <c r="AG100" s="614"/>
      <c r="AH100" s="614"/>
      <c r="AI100" s="614"/>
      <c r="AJ100" s="614"/>
      <c r="AK100" s="614"/>
      <c r="AL100" s="614"/>
      <c r="AM100" s="614"/>
      <c r="AN100" s="614"/>
      <c r="AO100" s="614"/>
      <c r="AP100" s="614"/>
      <c r="AQ100" s="614"/>
      <c r="AR100" s="614"/>
      <c r="AS100" s="614"/>
      <c r="AT100" s="614"/>
      <c r="AU100" s="614"/>
      <c r="AV100" s="614"/>
      <c r="AW100" s="614"/>
      <c r="AX100" s="614"/>
      <c r="AY100" s="614"/>
      <c r="AZ100" s="614"/>
      <c r="BA100" s="614"/>
      <c r="BB100" s="614"/>
      <c r="BC100" s="614"/>
      <c r="BD100" s="614"/>
      <c r="BE100" s="614"/>
      <c r="BF100" s="614"/>
      <c r="BG100" s="614"/>
      <c r="BH100" s="614"/>
      <c r="BI100" s="614"/>
      <c r="BJ100" s="614"/>
      <c r="BK100" s="614"/>
      <c r="BL100" s="614"/>
      <c r="BM100" s="614"/>
      <c r="BN100" s="614"/>
      <c r="BO100" s="614"/>
      <c r="BP100" s="614"/>
      <c r="BQ100" s="614"/>
      <c r="BR100" s="614"/>
      <c r="BS100" s="614"/>
      <c r="BT100" s="614"/>
      <c r="BU100" s="614"/>
      <c r="BV100" s="614"/>
      <c r="BW100" s="614"/>
      <c r="BX100" s="614"/>
      <c r="BY100" s="614"/>
      <c r="BZ100" s="614"/>
      <c r="CA100" s="614"/>
      <c r="CB100" s="614"/>
      <c r="CC100" s="614"/>
      <c r="CD100" s="614"/>
      <c r="CE100" s="614"/>
      <c r="CF100" s="614"/>
      <c r="CG100" s="614"/>
      <c r="CH100" s="614"/>
      <c r="CI100" s="614"/>
      <c r="CJ100" s="614"/>
      <c r="CK100" s="614"/>
      <c r="CL100" s="614"/>
      <c r="CM100" s="614"/>
      <c r="CN100" s="614"/>
      <c r="CO100" s="614"/>
      <c r="CP100" s="614"/>
      <c r="CQ100" s="614"/>
      <c r="CR100" s="614"/>
      <c r="CS100" s="614"/>
      <c r="CT100" s="614"/>
      <c r="CU100" s="614"/>
      <c r="CV100" s="614"/>
      <c r="CW100" s="614"/>
      <c r="CX100" s="614"/>
      <c r="CY100" s="614"/>
      <c r="CZ100" s="614"/>
      <c r="DA100" s="614"/>
      <c r="DB100" s="614"/>
      <c r="DC100" s="614"/>
      <c r="DD100" s="614"/>
      <c r="DE100" s="614"/>
      <c r="DF100" s="614"/>
      <c r="DG100" s="614"/>
      <c r="DH100" s="614"/>
      <c r="DI100" s="614"/>
    </row>
    <row r="101" spans="1:113" s="735" customFormat="1" ht="12.75" customHeight="1" x14ac:dyDescent="0.2">
      <c r="A101" s="180">
        <v>27352</v>
      </c>
      <c r="B101" s="180" t="s">
        <v>27</v>
      </c>
      <c r="C101" s="181">
        <v>37196</v>
      </c>
      <c r="D101" s="602">
        <v>37560</v>
      </c>
      <c r="E101" s="180">
        <f>365-61</f>
        <v>304</v>
      </c>
      <c r="F101" s="603">
        <v>21500</v>
      </c>
      <c r="G101" s="182">
        <f t="shared" si="31"/>
        <v>6536000</v>
      </c>
      <c r="H101" s="508">
        <f t="shared" si="32"/>
        <v>8.3751999999999978</v>
      </c>
      <c r="I101" s="173">
        <f t="shared" si="30"/>
        <v>0.27549999999999997</v>
      </c>
      <c r="J101" s="170">
        <v>2.4500000000000001E-2</v>
      </c>
      <c r="K101" s="533">
        <v>0.3</v>
      </c>
      <c r="L101" s="484">
        <f t="shared" si="27"/>
        <v>1855113</v>
      </c>
      <c r="M101" s="1022">
        <v>0.66</v>
      </c>
      <c r="N101" s="484">
        <f t="shared" si="28"/>
        <v>105687</v>
      </c>
      <c r="O101" s="484">
        <f t="shared" si="29"/>
        <v>1960800</v>
      </c>
      <c r="P101" s="604" t="s">
        <v>603</v>
      </c>
      <c r="Q101" s="605"/>
      <c r="R101" s="607"/>
      <c r="S101" s="607"/>
      <c r="T101" s="605"/>
      <c r="U101" s="605"/>
      <c r="V101" s="600"/>
      <c r="W101" s="600"/>
      <c r="X101" s="600"/>
      <c r="Y101" s="600"/>
      <c r="Z101" s="740"/>
      <c r="AA101" s="740"/>
      <c r="AB101" s="740"/>
      <c r="AC101" s="740"/>
      <c r="AD101" s="740"/>
      <c r="AE101" s="740"/>
      <c r="AF101" s="740"/>
      <c r="AG101" s="740"/>
      <c r="AH101" s="740"/>
      <c r="AI101" s="740"/>
      <c r="AJ101" s="740"/>
      <c r="AK101" s="740"/>
      <c r="AL101" s="740"/>
      <c r="AM101" s="740"/>
      <c r="AN101" s="740"/>
      <c r="AO101" s="740"/>
      <c r="AP101" s="740"/>
      <c r="AQ101" s="740"/>
      <c r="AR101" s="740"/>
      <c r="AS101" s="740"/>
      <c r="AT101" s="740"/>
      <c r="AU101" s="740"/>
      <c r="AV101" s="740"/>
      <c r="AW101" s="740"/>
      <c r="AX101" s="740"/>
      <c r="AY101" s="740"/>
      <c r="AZ101" s="740"/>
      <c r="BA101" s="740"/>
      <c r="BB101" s="740"/>
      <c r="BC101" s="740"/>
      <c r="BD101" s="740"/>
      <c r="BE101" s="740"/>
      <c r="BF101" s="740"/>
      <c r="BG101" s="740"/>
      <c r="BH101" s="740"/>
      <c r="BI101" s="740"/>
      <c r="BJ101" s="740"/>
      <c r="BK101" s="740"/>
      <c r="BL101" s="740"/>
      <c r="BM101" s="740"/>
      <c r="BN101" s="740"/>
      <c r="BO101" s="740"/>
      <c r="BP101" s="740"/>
      <c r="BQ101" s="740"/>
      <c r="BR101" s="740"/>
      <c r="BS101" s="740"/>
      <c r="BT101" s="740"/>
      <c r="BU101" s="740"/>
      <c r="BV101" s="740"/>
      <c r="BW101" s="740"/>
      <c r="BX101" s="740"/>
      <c r="BY101" s="740"/>
      <c r="BZ101" s="740"/>
      <c r="CA101" s="740"/>
      <c r="CB101" s="740"/>
      <c r="CC101" s="740"/>
      <c r="CD101" s="740"/>
      <c r="CE101" s="740"/>
      <c r="CF101" s="740"/>
      <c r="CG101" s="740"/>
      <c r="CH101" s="740"/>
      <c r="CI101" s="740"/>
      <c r="CJ101" s="740"/>
      <c r="CK101" s="740"/>
      <c r="CL101" s="740"/>
      <c r="CM101" s="740"/>
      <c r="CN101" s="740"/>
      <c r="CO101" s="740"/>
      <c r="CP101" s="740"/>
      <c r="CQ101" s="740"/>
      <c r="CR101" s="740"/>
      <c r="CS101" s="740"/>
      <c r="CT101" s="740"/>
      <c r="CU101" s="740"/>
      <c r="CV101" s="740"/>
      <c r="CW101" s="740"/>
      <c r="CX101" s="740"/>
      <c r="CY101" s="740"/>
      <c r="CZ101" s="740"/>
      <c r="DA101" s="740"/>
      <c r="DB101" s="740"/>
      <c r="DC101" s="740"/>
      <c r="DD101" s="740"/>
      <c r="DE101" s="740"/>
      <c r="DF101" s="740"/>
      <c r="DG101" s="740"/>
      <c r="DH101" s="740"/>
      <c r="DI101" s="740"/>
    </row>
    <row r="102" spans="1:113" s="735" customFormat="1" ht="12.75" customHeight="1" x14ac:dyDescent="0.2">
      <c r="A102" s="998">
        <v>27581</v>
      </c>
      <c r="B102" s="998" t="s">
        <v>290</v>
      </c>
      <c r="C102" s="1008">
        <v>37347</v>
      </c>
      <c r="D102" s="1055">
        <v>37925</v>
      </c>
      <c r="E102" s="998">
        <f>30+31+30+31+31+30+31</f>
        <v>214</v>
      </c>
      <c r="F102" s="1056">
        <v>14000</v>
      </c>
      <c r="G102" s="1009">
        <f t="shared" si="31"/>
        <v>2996000</v>
      </c>
      <c r="H102" s="1010">
        <f t="shared" si="32"/>
        <v>1.6872</v>
      </c>
      <c r="I102" s="1001">
        <f>K102-J102</f>
        <v>5.5500000000000001E-2</v>
      </c>
      <c r="J102" s="1057">
        <v>2.4500000000000001E-2</v>
      </c>
      <c r="K102" s="1057">
        <v>0.08</v>
      </c>
      <c r="L102" s="1003">
        <f>(SUM(K102*G102))-N102</f>
        <v>191235</v>
      </c>
      <c r="M102" s="1022">
        <v>0.66</v>
      </c>
      <c r="N102" s="484">
        <f>ROUND(J102*G102*M102,0)</f>
        <v>48445</v>
      </c>
      <c r="O102" s="484">
        <f>L102+N102</f>
        <v>239680</v>
      </c>
      <c r="P102" s="604"/>
      <c r="Q102" s="605"/>
      <c r="R102" s="607"/>
      <c r="S102" s="607"/>
      <c r="T102" s="605"/>
      <c r="U102" s="605"/>
      <c r="V102" s="600"/>
      <c r="W102" s="600"/>
      <c r="X102" s="600"/>
      <c r="Y102" s="600"/>
      <c r="Z102" s="740"/>
      <c r="AA102" s="740"/>
      <c r="AB102" s="740"/>
      <c r="AC102" s="740"/>
      <c r="AD102" s="740"/>
      <c r="AE102" s="740"/>
      <c r="AF102" s="740"/>
      <c r="AG102" s="740"/>
      <c r="AH102" s="740"/>
      <c r="AI102" s="740"/>
      <c r="AJ102" s="740"/>
      <c r="AK102" s="740"/>
      <c r="AL102" s="740"/>
      <c r="AM102" s="740"/>
      <c r="AN102" s="740"/>
      <c r="AO102" s="740"/>
      <c r="AP102" s="740"/>
      <c r="AQ102" s="740"/>
      <c r="AR102" s="740"/>
      <c r="AS102" s="740"/>
      <c r="AT102" s="740"/>
      <c r="AU102" s="740"/>
      <c r="AV102" s="740"/>
      <c r="AW102" s="740"/>
      <c r="AX102" s="740"/>
      <c r="AY102" s="740"/>
      <c r="AZ102" s="740"/>
      <c r="BA102" s="740"/>
      <c r="BB102" s="740"/>
      <c r="BC102" s="740"/>
      <c r="BD102" s="740"/>
      <c r="BE102" s="740"/>
      <c r="BF102" s="740"/>
      <c r="BG102" s="740"/>
      <c r="BH102" s="740"/>
      <c r="BI102" s="740"/>
      <c r="BJ102" s="740"/>
      <c r="BK102" s="740"/>
      <c r="BL102" s="740"/>
      <c r="BM102" s="740"/>
      <c r="BN102" s="740"/>
      <c r="BO102" s="740"/>
      <c r="BP102" s="740"/>
      <c r="BQ102" s="740"/>
      <c r="BR102" s="740"/>
      <c r="BS102" s="740"/>
      <c r="BT102" s="740"/>
      <c r="BU102" s="740"/>
      <c r="BV102" s="740"/>
      <c r="BW102" s="740"/>
      <c r="BX102" s="740"/>
      <c r="BY102" s="740"/>
      <c r="BZ102" s="740"/>
      <c r="CA102" s="740"/>
      <c r="CB102" s="740"/>
      <c r="CC102" s="740"/>
      <c r="CD102" s="740"/>
      <c r="CE102" s="740"/>
      <c r="CF102" s="740"/>
      <c r="CG102" s="740"/>
      <c r="CH102" s="740"/>
      <c r="CI102" s="740"/>
      <c r="CJ102" s="740"/>
      <c r="CK102" s="740"/>
      <c r="CL102" s="740"/>
      <c r="CM102" s="740"/>
      <c r="CN102" s="740"/>
      <c r="CO102" s="740"/>
      <c r="CP102" s="740"/>
      <c r="CQ102" s="740"/>
      <c r="CR102" s="740"/>
      <c r="CS102" s="740"/>
      <c r="CT102" s="740"/>
      <c r="CU102" s="740"/>
      <c r="CV102" s="740"/>
      <c r="CW102" s="740"/>
      <c r="CX102" s="740"/>
      <c r="CY102" s="740"/>
      <c r="CZ102" s="740"/>
      <c r="DA102" s="740"/>
      <c r="DB102" s="740"/>
      <c r="DC102" s="740"/>
      <c r="DD102" s="740"/>
      <c r="DE102" s="740"/>
      <c r="DF102" s="740"/>
      <c r="DG102" s="740"/>
      <c r="DH102" s="740"/>
      <c r="DI102" s="740"/>
    </row>
    <row r="103" spans="1:113" s="735" customFormat="1" ht="12.75" customHeight="1" x14ac:dyDescent="0.2">
      <c r="A103" s="180">
        <v>27604</v>
      </c>
      <c r="B103" s="180" t="s">
        <v>610</v>
      </c>
      <c r="C103" s="181" t="s">
        <v>616</v>
      </c>
      <c r="D103" s="602">
        <v>37772</v>
      </c>
      <c r="E103" s="180">
        <f>184+30</f>
        <v>214</v>
      </c>
      <c r="F103" s="603">
        <v>5300</v>
      </c>
      <c r="G103" s="182">
        <f t="shared" ref="G103:G110" si="33">SUM(E103*F103)</f>
        <v>1134200</v>
      </c>
      <c r="H103" s="508">
        <f t="shared" ref="H103:H112" si="34">SUM(I103*30.4)</f>
        <v>66.135199999999998</v>
      </c>
      <c r="I103" s="173">
        <f t="shared" ref="I103:I110" si="35">K103-J103</f>
        <v>2.1755</v>
      </c>
      <c r="J103" s="170">
        <v>2.4500000000000001E-2</v>
      </c>
      <c r="K103" s="533">
        <v>2.2000000000000002</v>
      </c>
      <c r="L103" s="484">
        <f t="shared" ref="L103:L110" si="36">(SUM(K103*G103))-N103</f>
        <v>2476900</v>
      </c>
      <c r="M103" s="1022">
        <v>0.66</v>
      </c>
      <c r="N103" s="484">
        <f t="shared" ref="N103:N110" si="37">ROUND(J103*G103*M103,0)</f>
        <v>18340</v>
      </c>
      <c r="O103" s="484">
        <f t="shared" ref="O103:O110" si="38">L103+N103</f>
        <v>2495240</v>
      </c>
      <c r="P103" s="604"/>
      <c r="Q103" s="605"/>
      <c r="R103" s="607"/>
      <c r="S103" s="607"/>
      <c r="T103" s="605"/>
      <c r="U103" s="605"/>
      <c r="V103" s="600"/>
      <c r="W103" s="600"/>
      <c r="X103" s="600"/>
      <c r="Y103" s="600"/>
      <c r="Z103" s="740"/>
      <c r="AA103" s="740"/>
      <c r="AB103" s="740"/>
      <c r="AC103" s="740"/>
      <c r="AD103" s="740"/>
      <c r="AE103" s="740"/>
      <c r="AF103" s="740"/>
      <c r="AG103" s="740"/>
      <c r="AH103" s="740"/>
      <c r="AI103" s="740"/>
      <c r="AJ103" s="740"/>
      <c r="AK103" s="740"/>
      <c r="AL103" s="740"/>
      <c r="AM103" s="740"/>
      <c r="AN103" s="740"/>
      <c r="AO103" s="740"/>
      <c r="AP103" s="740"/>
      <c r="AQ103" s="740"/>
      <c r="AR103" s="740"/>
      <c r="AS103" s="740"/>
      <c r="AT103" s="740"/>
      <c r="AU103" s="740"/>
      <c r="AV103" s="740"/>
      <c r="AW103" s="740"/>
      <c r="AX103" s="740"/>
      <c r="AY103" s="740"/>
      <c r="AZ103" s="740"/>
      <c r="BA103" s="740"/>
      <c r="BB103" s="740"/>
      <c r="BC103" s="740"/>
      <c r="BD103" s="740"/>
      <c r="BE103" s="740"/>
      <c r="BF103" s="740"/>
      <c r="BG103" s="740"/>
      <c r="BH103" s="740"/>
      <c r="BI103" s="740"/>
      <c r="BJ103" s="740"/>
      <c r="BK103" s="740"/>
      <c r="BL103" s="740"/>
      <c r="BM103" s="740"/>
      <c r="BN103" s="740"/>
      <c r="BO103" s="740"/>
      <c r="BP103" s="740"/>
      <c r="BQ103" s="740"/>
      <c r="BR103" s="740"/>
      <c r="BS103" s="740"/>
      <c r="BT103" s="740"/>
      <c r="BU103" s="740"/>
      <c r="BV103" s="740"/>
      <c r="BW103" s="740"/>
      <c r="BX103" s="740"/>
      <c r="BY103" s="740"/>
      <c r="BZ103" s="740"/>
      <c r="CA103" s="740"/>
      <c r="CB103" s="740"/>
      <c r="CC103" s="740"/>
      <c r="CD103" s="740"/>
      <c r="CE103" s="740"/>
      <c r="CF103" s="740"/>
      <c r="CG103" s="740"/>
      <c r="CH103" s="740"/>
      <c r="CI103" s="740"/>
      <c r="CJ103" s="740"/>
      <c r="CK103" s="740"/>
      <c r="CL103" s="740"/>
      <c r="CM103" s="740"/>
      <c r="CN103" s="740"/>
      <c r="CO103" s="740"/>
      <c r="CP103" s="740"/>
      <c r="CQ103" s="740"/>
      <c r="CR103" s="740"/>
      <c r="CS103" s="740"/>
      <c r="CT103" s="740"/>
      <c r="CU103" s="740"/>
      <c r="CV103" s="740"/>
      <c r="CW103" s="740"/>
      <c r="CX103" s="740"/>
      <c r="CY103" s="740"/>
      <c r="CZ103" s="740"/>
      <c r="DA103" s="740"/>
      <c r="DB103" s="740"/>
      <c r="DC103" s="740"/>
      <c r="DD103" s="740"/>
      <c r="DE103" s="740"/>
      <c r="DF103" s="740"/>
      <c r="DG103" s="740"/>
      <c r="DH103" s="740"/>
      <c r="DI103" s="740"/>
    </row>
    <row r="104" spans="1:113" s="735" customFormat="1" ht="12.75" customHeight="1" x14ac:dyDescent="0.2">
      <c r="A104" s="180">
        <v>27605</v>
      </c>
      <c r="B104" s="180" t="s">
        <v>610</v>
      </c>
      <c r="C104" s="181" t="s">
        <v>616</v>
      </c>
      <c r="D104" s="602">
        <v>42886</v>
      </c>
      <c r="E104" s="180">
        <v>214</v>
      </c>
      <c r="F104" s="603">
        <v>2700</v>
      </c>
      <c r="G104" s="182">
        <f t="shared" si="33"/>
        <v>577800</v>
      </c>
      <c r="H104" s="508">
        <f t="shared" si="34"/>
        <v>10.807199999999998</v>
      </c>
      <c r="I104" s="173">
        <f t="shared" si="35"/>
        <v>0.35549999999999998</v>
      </c>
      <c r="J104" s="170">
        <v>2.4500000000000001E-2</v>
      </c>
      <c r="K104" s="533">
        <v>0.38</v>
      </c>
      <c r="L104" s="484">
        <f t="shared" si="36"/>
        <v>210221</v>
      </c>
      <c r="M104" s="1022">
        <v>0.66</v>
      </c>
      <c r="N104" s="484">
        <f t="shared" si="37"/>
        <v>9343</v>
      </c>
      <c r="O104" s="484">
        <f t="shared" si="38"/>
        <v>219564</v>
      </c>
      <c r="P104" s="604"/>
      <c r="Q104" s="605"/>
      <c r="R104" s="607"/>
      <c r="S104" s="607"/>
      <c r="T104" s="605"/>
      <c r="U104" s="605"/>
      <c r="V104" s="600"/>
      <c r="W104" s="600"/>
      <c r="X104" s="600"/>
      <c r="Y104" s="600"/>
      <c r="Z104" s="740"/>
      <c r="AA104" s="740"/>
      <c r="AB104" s="740"/>
      <c r="AC104" s="740"/>
      <c r="AD104" s="740"/>
      <c r="AE104" s="740"/>
      <c r="AF104" s="740"/>
      <c r="AG104" s="740"/>
      <c r="AH104" s="740"/>
      <c r="AI104" s="740"/>
      <c r="AJ104" s="740"/>
      <c r="AK104" s="740"/>
      <c r="AL104" s="740"/>
      <c r="AM104" s="740"/>
      <c r="AN104" s="740"/>
      <c r="AO104" s="740"/>
      <c r="AP104" s="740"/>
      <c r="AQ104" s="740"/>
      <c r="AR104" s="740"/>
      <c r="AS104" s="740"/>
      <c r="AT104" s="740"/>
      <c r="AU104" s="740"/>
      <c r="AV104" s="740"/>
      <c r="AW104" s="740"/>
      <c r="AX104" s="740"/>
      <c r="AY104" s="740"/>
      <c r="AZ104" s="740"/>
      <c r="BA104" s="740"/>
      <c r="BB104" s="740"/>
      <c r="BC104" s="740"/>
      <c r="BD104" s="740"/>
      <c r="BE104" s="740"/>
      <c r="BF104" s="740"/>
      <c r="BG104" s="740"/>
      <c r="BH104" s="740"/>
      <c r="BI104" s="740"/>
      <c r="BJ104" s="740"/>
      <c r="BK104" s="740"/>
      <c r="BL104" s="740"/>
      <c r="BM104" s="740"/>
      <c r="BN104" s="740"/>
      <c r="BO104" s="740"/>
      <c r="BP104" s="740"/>
      <c r="BQ104" s="740"/>
      <c r="BR104" s="740"/>
      <c r="BS104" s="740"/>
      <c r="BT104" s="740"/>
      <c r="BU104" s="740"/>
      <c r="BV104" s="740"/>
      <c r="BW104" s="740"/>
      <c r="BX104" s="740"/>
      <c r="BY104" s="740"/>
      <c r="BZ104" s="740"/>
      <c r="CA104" s="740"/>
      <c r="CB104" s="740"/>
      <c r="CC104" s="740"/>
      <c r="CD104" s="740"/>
      <c r="CE104" s="740"/>
      <c r="CF104" s="740"/>
      <c r="CG104" s="740"/>
      <c r="CH104" s="740"/>
      <c r="CI104" s="740"/>
      <c r="CJ104" s="740"/>
      <c r="CK104" s="740"/>
      <c r="CL104" s="740"/>
      <c r="CM104" s="740"/>
      <c r="CN104" s="740"/>
      <c r="CO104" s="740"/>
      <c r="CP104" s="740"/>
      <c r="CQ104" s="740"/>
      <c r="CR104" s="740"/>
      <c r="CS104" s="740"/>
      <c r="CT104" s="740"/>
      <c r="CU104" s="740"/>
      <c r="CV104" s="740"/>
      <c r="CW104" s="740"/>
      <c r="CX104" s="740"/>
      <c r="CY104" s="740"/>
      <c r="CZ104" s="740"/>
      <c r="DA104" s="740"/>
      <c r="DB104" s="740"/>
      <c r="DC104" s="740"/>
      <c r="DD104" s="740"/>
      <c r="DE104" s="740"/>
      <c r="DF104" s="740"/>
      <c r="DG104" s="740"/>
      <c r="DH104" s="740"/>
      <c r="DI104" s="740"/>
    </row>
    <row r="105" spans="1:113" s="735" customFormat="1" ht="12.75" customHeight="1" x14ac:dyDescent="0.2">
      <c r="A105" s="180">
        <v>27607</v>
      </c>
      <c r="B105" s="180" t="s">
        <v>778</v>
      </c>
      <c r="C105" s="181" t="s">
        <v>616</v>
      </c>
      <c r="D105" s="602">
        <v>38077</v>
      </c>
      <c r="E105" s="180">
        <v>214</v>
      </c>
      <c r="F105" s="603">
        <v>1700</v>
      </c>
      <c r="G105" s="182">
        <f t="shared" si="33"/>
        <v>363800</v>
      </c>
      <c r="H105" s="508">
        <f t="shared" si="34"/>
        <v>52.455199999999998</v>
      </c>
      <c r="I105" s="173">
        <f t="shared" si="35"/>
        <v>1.7255</v>
      </c>
      <c r="J105" s="170">
        <v>2.4500000000000001E-2</v>
      </c>
      <c r="K105" s="533">
        <v>1.75</v>
      </c>
      <c r="L105" s="484">
        <f t="shared" si="36"/>
        <v>630767</v>
      </c>
      <c r="M105" s="1022">
        <v>0.66</v>
      </c>
      <c r="N105" s="484">
        <f t="shared" si="37"/>
        <v>5883</v>
      </c>
      <c r="O105" s="484">
        <f t="shared" si="38"/>
        <v>636650</v>
      </c>
      <c r="P105" s="604"/>
      <c r="Q105" s="605"/>
      <c r="R105" s="607"/>
      <c r="S105" s="607"/>
      <c r="T105" s="605"/>
      <c r="U105" s="605"/>
      <c r="V105" s="600"/>
      <c r="W105" s="600"/>
      <c r="X105" s="600"/>
      <c r="Y105" s="600"/>
      <c r="Z105" s="740"/>
      <c r="AA105" s="740"/>
      <c r="AB105" s="740"/>
      <c r="AC105" s="740"/>
      <c r="AD105" s="740"/>
      <c r="AE105" s="740"/>
      <c r="AF105" s="740"/>
      <c r="AG105" s="740"/>
      <c r="AH105" s="740"/>
      <c r="AI105" s="740"/>
      <c r="AJ105" s="740"/>
      <c r="AK105" s="740"/>
      <c r="AL105" s="740"/>
      <c r="AM105" s="740"/>
      <c r="AN105" s="740"/>
      <c r="AO105" s="740"/>
      <c r="AP105" s="740"/>
      <c r="AQ105" s="740"/>
      <c r="AR105" s="740"/>
      <c r="AS105" s="740"/>
      <c r="AT105" s="740"/>
      <c r="AU105" s="740"/>
      <c r="AV105" s="740"/>
      <c r="AW105" s="740"/>
      <c r="AX105" s="740"/>
      <c r="AY105" s="740"/>
      <c r="AZ105" s="740"/>
      <c r="BA105" s="740"/>
      <c r="BB105" s="740"/>
      <c r="BC105" s="740"/>
      <c r="BD105" s="740"/>
      <c r="BE105" s="740"/>
      <c r="BF105" s="740"/>
      <c r="BG105" s="740"/>
      <c r="BH105" s="740"/>
      <c r="BI105" s="740"/>
      <c r="BJ105" s="740"/>
      <c r="BK105" s="740"/>
      <c r="BL105" s="740"/>
      <c r="BM105" s="740"/>
      <c r="BN105" s="740"/>
      <c r="BO105" s="740"/>
      <c r="BP105" s="740"/>
      <c r="BQ105" s="740"/>
      <c r="BR105" s="740"/>
      <c r="BS105" s="740"/>
      <c r="BT105" s="740"/>
      <c r="BU105" s="740"/>
      <c r="BV105" s="740"/>
      <c r="BW105" s="740"/>
      <c r="BX105" s="740"/>
      <c r="BY105" s="740"/>
      <c r="BZ105" s="740"/>
      <c r="CA105" s="740"/>
      <c r="CB105" s="740"/>
      <c r="CC105" s="740"/>
      <c r="CD105" s="740"/>
      <c r="CE105" s="740"/>
      <c r="CF105" s="740"/>
      <c r="CG105" s="740"/>
      <c r="CH105" s="740"/>
      <c r="CI105" s="740"/>
      <c r="CJ105" s="740"/>
      <c r="CK105" s="740"/>
      <c r="CL105" s="740"/>
      <c r="CM105" s="740"/>
      <c r="CN105" s="740"/>
      <c r="CO105" s="740"/>
      <c r="CP105" s="740"/>
      <c r="CQ105" s="740"/>
      <c r="CR105" s="740"/>
      <c r="CS105" s="740"/>
      <c r="CT105" s="740"/>
      <c r="CU105" s="740"/>
      <c r="CV105" s="740"/>
      <c r="CW105" s="740"/>
      <c r="CX105" s="740"/>
      <c r="CY105" s="740"/>
      <c r="CZ105" s="740"/>
      <c r="DA105" s="740"/>
      <c r="DB105" s="740"/>
      <c r="DC105" s="740"/>
      <c r="DD105" s="740"/>
      <c r="DE105" s="740"/>
      <c r="DF105" s="740"/>
      <c r="DG105" s="740"/>
      <c r="DH105" s="740"/>
      <c r="DI105" s="740"/>
    </row>
    <row r="106" spans="1:113" s="735" customFormat="1" ht="12.75" customHeight="1" x14ac:dyDescent="0.2">
      <c r="A106" s="180">
        <v>27608</v>
      </c>
      <c r="B106" s="180" t="s">
        <v>606</v>
      </c>
      <c r="C106" s="181" t="s">
        <v>616</v>
      </c>
      <c r="D106" s="602">
        <v>42886</v>
      </c>
      <c r="E106" s="180">
        <v>214</v>
      </c>
      <c r="F106" s="603">
        <v>10000</v>
      </c>
      <c r="G106" s="182">
        <f t="shared" si="33"/>
        <v>2140000</v>
      </c>
      <c r="H106" s="508">
        <f t="shared" si="34"/>
        <v>10.959199999999999</v>
      </c>
      <c r="I106" s="173">
        <f t="shared" si="35"/>
        <v>0.36049999999999999</v>
      </c>
      <c r="J106" s="170">
        <v>2.4500000000000001E-2</v>
      </c>
      <c r="K106" s="533">
        <v>0.38500000000000001</v>
      </c>
      <c r="L106" s="484">
        <f t="shared" si="36"/>
        <v>789296</v>
      </c>
      <c r="M106" s="1022">
        <v>0.66</v>
      </c>
      <c r="N106" s="484">
        <f t="shared" si="37"/>
        <v>34604</v>
      </c>
      <c r="O106" s="484">
        <f t="shared" si="38"/>
        <v>823900</v>
      </c>
      <c r="P106" s="604"/>
      <c r="Q106" s="605"/>
      <c r="R106" s="607"/>
      <c r="S106" s="607"/>
      <c r="T106" s="605"/>
      <c r="U106" s="605"/>
      <c r="V106" s="600"/>
      <c r="W106" s="600"/>
      <c r="X106" s="600"/>
      <c r="Y106" s="600"/>
      <c r="Z106" s="740"/>
      <c r="AA106" s="740"/>
      <c r="AB106" s="740"/>
      <c r="AC106" s="740"/>
      <c r="AD106" s="740"/>
      <c r="AE106" s="740"/>
      <c r="AF106" s="740"/>
      <c r="AG106" s="740"/>
      <c r="AH106" s="740"/>
      <c r="AI106" s="740"/>
      <c r="AJ106" s="740"/>
      <c r="AK106" s="740"/>
      <c r="AL106" s="740"/>
      <c r="AM106" s="740"/>
      <c r="AN106" s="740"/>
      <c r="AO106" s="740"/>
      <c r="AP106" s="740"/>
      <c r="AQ106" s="740"/>
      <c r="AR106" s="740"/>
      <c r="AS106" s="740"/>
      <c r="AT106" s="740"/>
      <c r="AU106" s="740"/>
      <c r="AV106" s="740"/>
      <c r="AW106" s="740"/>
      <c r="AX106" s="740"/>
      <c r="AY106" s="740"/>
      <c r="AZ106" s="740"/>
      <c r="BA106" s="740"/>
      <c r="BB106" s="740"/>
      <c r="BC106" s="740"/>
      <c r="BD106" s="740"/>
      <c r="BE106" s="740"/>
      <c r="BF106" s="740"/>
      <c r="BG106" s="740"/>
      <c r="BH106" s="740"/>
      <c r="BI106" s="740"/>
      <c r="BJ106" s="740"/>
      <c r="BK106" s="740"/>
      <c r="BL106" s="740"/>
      <c r="BM106" s="740"/>
      <c r="BN106" s="740"/>
      <c r="BO106" s="740"/>
      <c r="BP106" s="740"/>
      <c r="BQ106" s="740"/>
      <c r="BR106" s="740"/>
      <c r="BS106" s="740"/>
      <c r="BT106" s="740"/>
      <c r="BU106" s="740"/>
      <c r="BV106" s="740"/>
      <c r="BW106" s="740"/>
      <c r="BX106" s="740"/>
      <c r="BY106" s="740"/>
      <c r="BZ106" s="740"/>
      <c r="CA106" s="740"/>
      <c r="CB106" s="740"/>
      <c r="CC106" s="740"/>
      <c r="CD106" s="740"/>
      <c r="CE106" s="740"/>
      <c r="CF106" s="740"/>
      <c r="CG106" s="740"/>
      <c r="CH106" s="740"/>
      <c r="CI106" s="740"/>
      <c r="CJ106" s="740"/>
      <c r="CK106" s="740"/>
      <c r="CL106" s="740"/>
      <c r="CM106" s="740"/>
      <c r="CN106" s="740"/>
      <c r="CO106" s="740"/>
      <c r="CP106" s="740"/>
      <c r="CQ106" s="740"/>
      <c r="CR106" s="740"/>
      <c r="CS106" s="740"/>
      <c r="CT106" s="740"/>
      <c r="CU106" s="740"/>
      <c r="CV106" s="740"/>
      <c r="CW106" s="740"/>
      <c r="CX106" s="740"/>
      <c r="CY106" s="740"/>
      <c r="CZ106" s="740"/>
      <c r="DA106" s="740"/>
      <c r="DB106" s="740"/>
      <c r="DC106" s="740"/>
      <c r="DD106" s="740"/>
      <c r="DE106" s="740"/>
      <c r="DF106" s="740"/>
      <c r="DG106" s="740"/>
      <c r="DH106" s="740"/>
      <c r="DI106" s="740"/>
    </row>
    <row r="107" spans="1:113" s="735" customFormat="1" ht="12.75" customHeight="1" x14ac:dyDescent="0.2">
      <c r="A107" s="180">
        <v>27609</v>
      </c>
      <c r="B107" s="180" t="s">
        <v>306</v>
      </c>
      <c r="C107" s="181" t="s">
        <v>616</v>
      </c>
      <c r="D107" s="602">
        <v>41060</v>
      </c>
      <c r="E107" s="180">
        <v>214</v>
      </c>
      <c r="F107" s="603">
        <v>15000</v>
      </c>
      <c r="G107" s="182">
        <f t="shared" si="33"/>
        <v>3210000</v>
      </c>
      <c r="H107" s="508">
        <f t="shared" si="34"/>
        <v>10.807199999999998</v>
      </c>
      <c r="I107" s="173">
        <f t="shared" si="35"/>
        <v>0.35549999999999998</v>
      </c>
      <c r="J107" s="170">
        <v>2.4500000000000001E-2</v>
      </c>
      <c r="K107" s="533">
        <v>0.38</v>
      </c>
      <c r="L107" s="484">
        <f t="shared" si="36"/>
        <v>1167894</v>
      </c>
      <c r="M107" s="1022">
        <v>0.66</v>
      </c>
      <c r="N107" s="484">
        <f t="shared" si="37"/>
        <v>51906</v>
      </c>
      <c r="O107" s="484">
        <f t="shared" si="38"/>
        <v>1219800</v>
      </c>
      <c r="P107" s="604"/>
      <c r="Q107" s="605"/>
      <c r="R107" s="607"/>
      <c r="S107" s="607"/>
      <c r="T107" s="605"/>
      <c r="U107" s="605"/>
      <c r="V107" s="600"/>
      <c r="W107" s="600"/>
      <c r="X107" s="600"/>
      <c r="Y107" s="600"/>
      <c r="Z107" s="740"/>
      <c r="AA107" s="740"/>
      <c r="AB107" s="740"/>
      <c r="AC107" s="740"/>
      <c r="AD107" s="740"/>
      <c r="AE107" s="740"/>
      <c r="AF107" s="740"/>
      <c r="AG107" s="740"/>
      <c r="AH107" s="740"/>
      <c r="AI107" s="740"/>
      <c r="AJ107" s="740"/>
      <c r="AK107" s="740"/>
      <c r="AL107" s="740"/>
      <c r="AM107" s="740"/>
      <c r="AN107" s="740"/>
      <c r="AO107" s="740"/>
      <c r="AP107" s="740"/>
      <c r="AQ107" s="740"/>
      <c r="AR107" s="740"/>
      <c r="AS107" s="740"/>
      <c r="AT107" s="740"/>
      <c r="AU107" s="740"/>
      <c r="AV107" s="740"/>
      <c r="AW107" s="740"/>
      <c r="AX107" s="740"/>
      <c r="AY107" s="740"/>
      <c r="AZ107" s="740"/>
      <c r="BA107" s="740"/>
      <c r="BB107" s="740"/>
      <c r="BC107" s="740"/>
      <c r="BD107" s="740"/>
      <c r="BE107" s="740"/>
      <c r="BF107" s="740"/>
      <c r="BG107" s="740"/>
      <c r="BH107" s="740"/>
      <c r="BI107" s="740"/>
      <c r="BJ107" s="740"/>
      <c r="BK107" s="740"/>
      <c r="BL107" s="740"/>
      <c r="BM107" s="740"/>
      <c r="BN107" s="740"/>
      <c r="BO107" s="740"/>
      <c r="BP107" s="740"/>
      <c r="BQ107" s="740"/>
      <c r="BR107" s="740"/>
      <c r="BS107" s="740"/>
      <c r="BT107" s="740"/>
      <c r="BU107" s="740"/>
      <c r="BV107" s="740"/>
      <c r="BW107" s="740"/>
      <c r="BX107" s="740"/>
      <c r="BY107" s="740"/>
      <c r="BZ107" s="740"/>
      <c r="CA107" s="740"/>
      <c r="CB107" s="740"/>
      <c r="CC107" s="740"/>
      <c r="CD107" s="740"/>
      <c r="CE107" s="740"/>
      <c r="CF107" s="740"/>
      <c r="CG107" s="740"/>
      <c r="CH107" s="740"/>
      <c r="CI107" s="740"/>
      <c r="CJ107" s="740"/>
      <c r="CK107" s="740"/>
      <c r="CL107" s="740"/>
      <c r="CM107" s="740"/>
      <c r="CN107" s="740"/>
      <c r="CO107" s="740"/>
      <c r="CP107" s="740"/>
      <c r="CQ107" s="740"/>
      <c r="CR107" s="740"/>
      <c r="CS107" s="740"/>
      <c r="CT107" s="740"/>
      <c r="CU107" s="740"/>
      <c r="CV107" s="740"/>
      <c r="CW107" s="740"/>
      <c r="CX107" s="740"/>
      <c r="CY107" s="740"/>
      <c r="CZ107" s="740"/>
      <c r="DA107" s="740"/>
      <c r="DB107" s="740"/>
      <c r="DC107" s="740"/>
      <c r="DD107" s="740"/>
      <c r="DE107" s="740"/>
      <c r="DF107" s="740"/>
      <c r="DG107" s="740"/>
      <c r="DH107" s="740"/>
      <c r="DI107" s="740"/>
    </row>
    <row r="108" spans="1:113" s="735" customFormat="1" ht="12.75" customHeight="1" x14ac:dyDescent="0.2">
      <c r="A108" s="180">
        <v>27622</v>
      </c>
      <c r="B108" s="180" t="s">
        <v>609</v>
      </c>
      <c r="C108" s="181" t="s">
        <v>616</v>
      </c>
      <c r="D108" s="602">
        <v>41882</v>
      </c>
      <c r="E108" s="180">
        <v>214</v>
      </c>
      <c r="F108" s="603">
        <v>4500</v>
      </c>
      <c r="G108" s="182">
        <f t="shared" si="33"/>
        <v>963000</v>
      </c>
      <c r="H108" s="508">
        <f t="shared" si="34"/>
        <v>12.023199999999997</v>
      </c>
      <c r="I108" s="173">
        <f t="shared" si="35"/>
        <v>0.39549999999999996</v>
      </c>
      <c r="J108" s="170">
        <v>2.4500000000000001E-2</v>
      </c>
      <c r="K108" s="533">
        <v>0.42</v>
      </c>
      <c r="L108" s="484">
        <f t="shared" si="36"/>
        <v>388888</v>
      </c>
      <c r="M108" s="1022">
        <v>0.66</v>
      </c>
      <c r="N108" s="484">
        <f t="shared" si="37"/>
        <v>15572</v>
      </c>
      <c r="O108" s="484">
        <f t="shared" si="38"/>
        <v>404460</v>
      </c>
      <c r="P108" s="604"/>
      <c r="Q108" s="605"/>
      <c r="R108" s="607"/>
      <c r="S108" s="607"/>
      <c r="T108" s="605"/>
      <c r="U108" s="605"/>
      <c r="V108" s="600"/>
      <c r="W108" s="600"/>
      <c r="X108" s="600"/>
      <c r="Y108" s="600"/>
      <c r="Z108" s="740"/>
      <c r="AA108" s="740"/>
      <c r="AB108" s="740"/>
      <c r="AC108" s="740"/>
      <c r="AD108" s="740"/>
      <c r="AE108" s="740"/>
      <c r="AF108" s="740"/>
      <c r="AG108" s="740"/>
      <c r="AH108" s="740"/>
      <c r="AI108" s="740"/>
      <c r="AJ108" s="740"/>
      <c r="AK108" s="740"/>
      <c r="AL108" s="740"/>
      <c r="AM108" s="740"/>
      <c r="AN108" s="740"/>
      <c r="AO108" s="740"/>
      <c r="AP108" s="740"/>
      <c r="AQ108" s="740"/>
      <c r="AR108" s="740"/>
      <c r="AS108" s="740"/>
      <c r="AT108" s="740"/>
      <c r="AU108" s="740"/>
      <c r="AV108" s="740"/>
      <c r="AW108" s="740"/>
      <c r="AX108" s="740"/>
      <c r="AY108" s="740"/>
      <c r="AZ108" s="740"/>
      <c r="BA108" s="740"/>
      <c r="BB108" s="740"/>
      <c r="BC108" s="740"/>
      <c r="BD108" s="740"/>
      <c r="BE108" s="740"/>
      <c r="BF108" s="740"/>
      <c r="BG108" s="740"/>
      <c r="BH108" s="740"/>
      <c r="BI108" s="740"/>
      <c r="BJ108" s="740"/>
      <c r="BK108" s="740"/>
      <c r="BL108" s="740"/>
      <c r="BM108" s="740"/>
      <c r="BN108" s="740"/>
      <c r="BO108" s="740"/>
      <c r="BP108" s="740"/>
      <c r="BQ108" s="740"/>
      <c r="BR108" s="740"/>
      <c r="BS108" s="740"/>
      <c r="BT108" s="740"/>
      <c r="BU108" s="740"/>
      <c r="BV108" s="740"/>
      <c r="BW108" s="740"/>
      <c r="BX108" s="740"/>
      <c r="BY108" s="740"/>
      <c r="BZ108" s="740"/>
      <c r="CA108" s="740"/>
      <c r="CB108" s="740"/>
      <c r="CC108" s="740"/>
      <c r="CD108" s="740"/>
      <c r="CE108" s="740"/>
      <c r="CF108" s="740"/>
      <c r="CG108" s="740"/>
      <c r="CH108" s="740"/>
      <c r="CI108" s="740"/>
      <c r="CJ108" s="740"/>
      <c r="CK108" s="740"/>
      <c r="CL108" s="740"/>
      <c r="CM108" s="740"/>
      <c r="CN108" s="740"/>
      <c r="CO108" s="740"/>
      <c r="CP108" s="740"/>
      <c r="CQ108" s="740"/>
      <c r="CR108" s="740"/>
      <c r="CS108" s="740"/>
      <c r="CT108" s="740"/>
      <c r="CU108" s="740"/>
      <c r="CV108" s="740"/>
      <c r="CW108" s="740"/>
      <c r="CX108" s="740"/>
      <c r="CY108" s="740"/>
      <c r="CZ108" s="740"/>
      <c r="DA108" s="740"/>
      <c r="DB108" s="740"/>
      <c r="DC108" s="740"/>
      <c r="DD108" s="740"/>
      <c r="DE108" s="740"/>
      <c r="DF108" s="740"/>
      <c r="DG108" s="740"/>
      <c r="DH108" s="740"/>
      <c r="DI108" s="740"/>
    </row>
    <row r="109" spans="1:113" s="735" customFormat="1" ht="12.75" customHeight="1" x14ac:dyDescent="0.2">
      <c r="A109" s="180">
        <v>27641</v>
      </c>
      <c r="B109" s="180" t="s">
        <v>605</v>
      </c>
      <c r="C109" s="181" t="s">
        <v>616</v>
      </c>
      <c r="D109" s="602">
        <v>48395</v>
      </c>
      <c r="E109" s="180">
        <v>214</v>
      </c>
      <c r="F109" s="603">
        <v>20000</v>
      </c>
      <c r="G109" s="182">
        <f t="shared" si="33"/>
        <v>4280000</v>
      </c>
      <c r="H109" s="508">
        <f t="shared" si="34"/>
        <v>10.807199999999998</v>
      </c>
      <c r="I109" s="173">
        <f t="shared" si="35"/>
        <v>0.35549999999999998</v>
      </c>
      <c r="J109" s="170">
        <v>2.4500000000000001E-2</v>
      </c>
      <c r="K109" s="533">
        <v>0.38</v>
      </c>
      <c r="L109" s="484">
        <f t="shared" si="36"/>
        <v>1557192</v>
      </c>
      <c r="M109" s="1022">
        <v>0.66</v>
      </c>
      <c r="N109" s="484">
        <f t="shared" si="37"/>
        <v>69208</v>
      </c>
      <c r="O109" s="484">
        <f t="shared" si="38"/>
        <v>1626400</v>
      </c>
      <c r="P109" s="604"/>
      <c r="Q109" s="605"/>
      <c r="R109" s="607"/>
      <c r="S109" s="607"/>
      <c r="T109" s="605"/>
      <c r="U109" s="605"/>
      <c r="V109" s="600"/>
      <c r="W109" s="600"/>
      <c r="X109" s="600"/>
      <c r="Y109" s="600"/>
      <c r="Z109" s="740"/>
      <c r="AA109" s="740"/>
      <c r="AB109" s="740"/>
      <c r="AC109" s="740"/>
      <c r="AD109" s="740"/>
      <c r="AE109" s="740"/>
      <c r="AF109" s="740"/>
      <c r="AG109" s="740"/>
      <c r="AH109" s="740"/>
      <c r="AI109" s="740"/>
      <c r="AJ109" s="740"/>
      <c r="AK109" s="740"/>
      <c r="AL109" s="740"/>
      <c r="AM109" s="740"/>
      <c r="AN109" s="740"/>
      <c r="AO109" s="740"/>
      <c r="AP109" s="740"/>
      <c r="AQ109" s="740"/>
      <c r="AR109" s="740"/>
      <c r="AS109" s="740"/>
      <c r="AT109" s="740"/>
      <c r="AU109" s="740"/>
      <c r="AV109" s="740"/>
      <c r="AW109" s="740"/>
      <c r="AX109" s="740"/>
      <c r="AY109" s="740"/>
      <c r="AZ109" s="740"/>
      <c r="BA109" s="740"/>
      <c r="BB109" s="740"/>
      <c r="BC109" s="740"/>
      <c r="BD109" s="740"/>
      <c r="BE109" s="740"/>
      <c r="BF109" s="740"/>
      <c r="BG109" s="740"/>
      <c r="BH109" s="740"/>
      <c r="BI109" s="740"/>
      <c r="BJ109" s="740"/>
      <c r="BK109" s="740"/>
      <c r="BL109" s="740"/>
      <c r="BM109" s="740"/>
      <c r="BN109" s="740"/>
      <c r="BO109" s="740"/>
      <c r="BP109" s="740"/>
      <c r="BQ109" s="740"/>
      <c r="BR109" s="740"/>
      <c r="BS109" s="740"/>
      <c r="BT109" s="740"/>
      <c r="BU109" s="740"/>
      <c r="BV109" s="740"/>
      <c r="BW109" s="740"/>
      <c r="BX109" s="740"/>
      <c r="BY109" s="740"/>
      <c r="BZ109" s="740"/>
      <c r="CA109" s="740"/>
      <c r="CB109" s="740"/>
      <c r="CC109" s="740"/>
      <c r="CD109" s="740"/>
      <c r="CE109" s="740"/>
      <c r="CF109" s="740"/>
      <c r="CG109" s="740"/>
      <c r="CH109" s="740"/>
      <c r="CI109" s="740"/>
      <c r="CJ109" s="740"/>
      <c r="CK109" s="740"/>
      <c r="CL109" s="740"/>
      <c r="CM109" s="740"/>
      <c r="CN109" s="740"/>
      <c r="CO109" s="740"/>
      <c r="CP109" s="740"/>
      <c r="CQ109" s="740"/>
      <c r="CR109" s="740"/>
      <c r="CS109" s="740"/>
      <c r="CT109" s="740"/>
      <c r="CU109" s="740"/>
      <c r="CV109" s="740"/>
      <c r="CW109" s="740"/>
      <c r="CX109" s="740"/>
      <c r="CY109" s="740"/>
      <c r="CZ109" s="740"/>
      <c r="DA109" s="740"/>
      <c r="DB109" s="740"/>
      <c r="DC109" s="740"/>
      <c r="DD109" s="740"/>
      <c r="DE109" s="740"/>
      <c r="DF109" s="740"/>
      <c r="DG109" s="740"/>
      <c r="DH109" s="740"/>
      <c r="DI109" s="740"/>
    </row>
    <row r="110" spans="1:113" s="735" customFormat="1" ht="12.75" customHeight="1" x14ac:dyDescent="0.2">
      <c r="A110" s="180">
        <v>27642</v>
      </c>
      <c r="B110" s="180" t="s">
        <v>608</v>
      </c>
      <c r="C110" s="181" t="s">
        <v>616</v>
      </c>
      <c r="D110" s="602">
        <v>42886</v>
      </c>
      <c r="E110" s="180">
        <f>31+31+30+31+30+31</f>
        <v>184</v>
      </c>
      <c r="F110" s="603">
        <v>40000</v>
      </c>
      <c r="G110" s="182">
        <f t="shared" si="33"/>
        <v>7360000</v>
      </c>
      <c r="H110" s="508">
        <f t="shared" si="34"/>
        <v>10.807199999999998</v>
      </c>
      <c r="I110" s="173">
        <f t="shared" si="35"/>
        <v>0.35549999999999998</v>
      </c>
      <c r="J110" s="170">
        <v>2.4500000000000001E-2</v>
      </c>
      <c r="K110" s="533">
        <v>0.38</v>
      </c>
      <c r="L110" s="484">
        <f t="shared" si="36"/>
        <v>2677789</v>
      </c>
      <c r="M110" s="1022">
        <v>0.66</v>
      </c>
      <c r="N110" s="484">
        <f t="shared" si="37"/>
        <v>119011</v>
      </c>
      <c r="O110" s="484">
        <f t="shared" si="38"/>
        <v>2796800</v>
      </c>
      <c r="P110" s="604"/>
      <c r="Q110" s="605"/>
      <c r="R110" s="607"/>
      <c r="S110" s="607"/>
      <c r="T110" s="605"/>
      <c r="U110" s="605"/>
      <c r="V110" s="600"/>
      <c r="W110" s="600"/>
      <c r="X110" s="600"/>
      <c r="Y110" s="600"/>
      <c r="Z110" s="740"/>
      <c r="AA110" s="740"/>
      <c r="AB110" s="740"/>
      <c r="AC110" s="740"/>
      <c r="AD110" s="740"/>
      <c r="AE110" s="740"/>
      <c r="AF110" s="740"/>
      <c r="AG110" s="740"/>
      <c r="AH110" s="740"/>
      <c r="AI110" s="740"/>
      <c r="AJ110" s="740"/>
      <c r="AK110" s="740"/>
      <c r="AL110" s="740"/>
      <c r="AM110" s="740"/>
      <c r="AN110" s="740"/>
      <c r="AO110" s="740"/>
      <c r="AP110" s="740"/>
      <c r="AQ110" s="740"/>
      <c r="AR110" s="740"/>
      <c r="AS110" s="740"/>
      <c r="AT110" s="740"/>
      <c r="AU110" s="740"/>
      <c r="AV110" s="740"/>
      <c r="AW110" s="740"/>
      <c r="AX110" s="740"/>
      <c r="AY110" s="740"/>
      <c r="AZ110" s="740"/>
      <c r="BA110" s="740"/>
      <c r="BB110" s="740"/>
      <c r="BC110" s="740"/>
      <c r="BD110" s="740"/>
      <c r="BE110" s="740"/>
      <c r="BF110" s="740"/>
      <c r="BG110" s="740"/>
      <c r="BH110" s="740"/>
      <c r="BI110" s="740"/>
      <c r="BJ110" s="740"/>
      <c r="BK110" s="740"/>
      <c r="BL110" s="740"/>
      <c r="BM110" s="740"/>
      <c r="BN110" s="740"/>
      <c r="BO110" s="740"/>
      <c r="BP110" s="740"/>
      <c r="BQ110" s="740"/>
      <c r="BR110" s="740"/>
      <c r="BS110" s="740"/>
      <c r="BT110" s="740"/>
      <c r="BU110" s="740"/>
      <c r="BV110" s="740"/>
      <c r="BW110" s="740"/>
      <c r="BX110" s="740"/>
      <c r="BY110" s="740"/>
      <c r="BZ110" s="740"/>
      <c r="CA110" s="740"/>
      <c r="CB110" s="740"/>
      <c r="CC110" s="740"/>
      <c r="CD110" s="740"/>
      <c r="CE110" s="740"/>
      <c r="CF110" s="740"/>
      <c r="CG110" s="740"/>
      <c r="CH110" s="740"/>
      <c r="CI110" s="740"/>
      <c r="CJ110" s="740"/>
      <c r="CK110" s="740"/>
      <c r="CL110" s="740"/>
      <c r="CM110" s="740"/>
      <c r="CN110" s="740"/>
      <c r="CO110" s="740"/>
      <c r="CP110" s="740"/>
      <c r="CQ110" s="740"/>
      <c r="CR110" s="740"/>
      <c r="CS110" s="740"/>
      <c r="CT110" s="740"/>
      <c r="CU110" s="740"/>
      <c r="CV110" s="740"/>
      <c r="CW110" s="740"/>
      <c r="CX110" s="740"/>
      <c r="CY110" s="740"/>
      <c r="CZ110" s="740"/>
      <c r="DA110" s="740"/>
      <c r="DB110" s="740"/>
      <c r="DC110" s="740"/>
      <c r="DD110" s="740"/>
      <c r="DE110" s="740"/>
      <c r="DF110" s="740"/>
      <c r="DG110" s="740"/>
      <c r="DH110" s="740"/>
      <c r="DI110" s="740"/>
    </row>
    <row r="111" spans="1:113" s="735" customFormat="1" ht="12.75" customHeight="1" x14ac:dyDescent="0.2">
      <c r="A111" s="180">
        <v>27649</v>
      </c>
      <c r="B111" s="180" t="s">
        <v>605</v>
      </c>
      <c r="C111" s="181" t="s">
        <v>616</v>
      </c>
      <c r="D111" s="602">
        <v>39233</v>
      </c>
      <c r="E111" s="180">
        <v>214</v>
      </c>
      <c r="F111" s="603">
        <v>7500</v>
      </c>
      <c r="G111" s="182">
        <f>SUM(E111*F111)</f>
        <v>1605000</v>
      </c>
      <c r="H111" s="508">
        <f t="shared" si="34"/>
        <v>6.0952000000000002</v>
      </c>
      <c r="I111" s="173">
        <f>K111-J111</f>
        <v>0.20050000000000001</v>
      </c>
      <c r="J111" s="170">
        <v>2.4500000000000001E-2</v>
      </c>
      <c r="K111" s="533">
        <v>0.22500000000000001</v>
      </c>
      <c r="L111" s="484">
        <f>(SUM(K111*G111))-N111</f>
        <v>335172</v>
      </c>
      <c r="M111" s="1022">
        <v>0.66</v>
      </c>
      <c r="N111" s="484">
        <f>ROUND(J111*G111*M111,0)</f>
        <v>25953</v>
      </c>
      <c r="O111" s="484">
        <f>L111+N111</f>
        <v>361125</v>
      </c>
      <c r="P111" s="604"/>
      <c r="Q111" s="605"/>
      <c r="R111" s="607"/>
      <c r="S111" s="607"/>
      <c r="T111" s="605"/>
      <c r="U111" s="605"/>
      <c r="V111" s="600"/>
      <c r="W111" s="600"/>
      <c r="X111" s="600"/>
      <c r="Y111" s="600"/>
      <c r="Z111" s="740"/>
      <c r="AA111" s="740"/>
      <c r="AB111" s="740"/>
      <c r="AC111" s="740"/>
      <c r="AD111" s="740"/>
      <c r="AE111" s="740"/>
      <c r="AF111" s="740"/>
      <c r="AG111" s="740"/>
      <c r="AH111" s="740"/>
      <c r="AI111" s="740"/>
      <c r="AJ111" s="740"/>
      <c r="AK111" s="740"/>
      <c r="AL111" s="740"/>
      <c r="AM111" s="740"/>
      <c r="AN111" s="740"/>
      <c r="AO111" s="740"/>
      <c r="AP111" s="740"/>
      <c r="AQ111" s="740"/>
      <c r="AR111" s="740"/>
      <c r="AS111" s="740"/>
      <c r="AT111" s="740"/>
      <c r="AU111" s="740"/>
      <c r="AV111" s="740"/>
      <c r="AW111" s="740"/>
      <c r="AX111" s="740"/>
      <c r="AY111" s="740"/>
      <c r="AZ111" s="740"/>
      <c r="BA111" s="740"/>
      <c r="BB111" s="740"/>
      <c r="BC111" s="740"/>
      <c r="BD111" s="740"/>
      <c r="BE111" s="740"/>
      <c r="BF111" s="740"/>
      <c r="BG111" s="740"/>
      <c r="BH111" s="740"/>
      <c r="BI111" s="740"/>
      <c r="BJ111" s="740"/>
      <c r="BK111" s="740"/>
      <c r="BL111" s="740"/>
      <c r="BM111" s="740"/>
      <c r="BN111" s="740"/>
      <c r="BO111" s="740"/>
      <c r="BP111" s="740"/>
      <c r="BQ111" s="740"/>
      <c r="BR111" s="740"/>
      <c r="BS111" s="740"/>
      <c r="BT111" s="740"/>
      <c r="BU111" s="740"/>
      <c r="BV111" s="740"/>
      <c r="BW111" s="740"/>
      <c r="BX111" s="740"/>
      <c r="BY111" s="740"/>
      <c r="BZ111" s="740"/>
      <c r="CA111" s="740"/>
      <c r="CB111" s="740"/>
      <c r="CC111" s="740"/>
      <c r="CD111" s="740"/>
      <c r="CE111" s="740"/>
      <c r="CF111" s="740"/>
      <c r="CG111" s="740"/>
      <c r="CH111" s="740"/>
      <c r="CI111" s="740"/>
      <c r="CJ111" s="740"/>
      <c r="CK111" s="740"/>
      <c r="CL111" s="740"/>
      <c r="CM111" s="740"/>
      <c r="CN111" s="740"/>
      <c r="CO111" s="740"/>
      <c r="CP111" s="740"/>
      <c r="CQ111" s="740"/>
      <c r="CR111" s="740"/>
      <c r="CS111" s="740"/>
      <c r="CT111" s="740"/>
      <c r="CU111" s="740"/>
      <c r="CV111" s="740"/>
      <c r="CW111" s="740"/>
      <c r="CX111" s="740"/>
      <c r="CY111" s="740"/>
      <c r="CZ111" s="740"/>
      <c r="DA111" s="740"/>
      <c r="DB111" s="740"/>
      <c r="DC111" s="740"/>
      <c r="DD111" s="740"/>
      <c r="DE111" s="740"/>
      <c r="DF111" s="740"/>
      <c r="DG111" s="740"/>
      <c r="DH111" s="740"/>
      <c r="DI111" s="740"/>
    </row>
    <row r="112" spans="1:113" s="735" customFormat="1" ht="12.75" customHeight="1" x14ac:dyDescent="0.2">
      <c r="A112" s="998" t="s">
        <v>712</v>
      </c>
      <c r="B112" s="998"/>
      <c r="C112" s="1008" t="s">
        <v>616</v>
      </c>
      <c r="D112" s="1055">
        <v>37621</v>
      </c>
      <c r="E112" s="998">
        <v>214</v>
      </c>
      <c r="F112" s="1056">
        <v>13300</v>
      </c>
      <c r="G112" s="1009">
        <f>SUM(E112*F112)</f>
        <v>2846200</v>
      </c>
      <c r="H112" s="1010">
        <f t="shared" si="34"/>
        <v>1.6872</v>
      </c>
      <c r="I112" s="1001">
        <f>K112-J112</f>
        <v>5.5500000000000001E-2</v>
      </c>
      <c r="J112" s="1011">
        <v>2.4500000000000001E-2</v>
      </c>
      <c r="K112" s="1057">
        <v>0.08</v>
      </c>
      <c r="L112" s="1003">
        <f>(SUM(K112*G112))-N112</f>
        <v>181673</v>
      </c>
      <c r="M112" s="1022">
        <v>0.66</v>
      </c>
      <c r="N112" s="484">
        <f>ROUND(J112*G112*M112,0)</f>
        <v>46023</v>
      </c>
      <c r="O112" s="484">
        <f>L112+N112</f>
        <v>227696</v>
      </c>
      <c r="P112" s="604"/>
      <c r="Q112" s="605"/>
      <c r="R112" s="607"/>
      <c r="S112" s="607"/>
      <c r="T112" s="605"/>
      <c r="U112" s="605"/>
      <c r="V112" s="600"/>
      <c r="W112" s="600"/>
      <c r="X112" s="600"/>
      <c r="Y112" s="600"/>
      <c r="Z112" s="740"/>
      <c r="AA112" s="740"/>
      <c r="AB112" s="740"/>
      <c r="AC112" s="740"/>
      <c r="AD112" s="740"/>
      <c r="AE112" s="740"/>
      <c r="AF112" s="740"/>
      <c r="AG112" s="740"/>
      <c r="AH112" s="740"/>
      <c r="AI112" s="740"/>
      <c r="AJ112" s="740"/>
      <c r="AK112" s="740"/>
      <c r="AL112" s="740"/>
      <c r="AM112" s="740"/>
      <c r="AN112" s="740"/>
      <c r="AO112" s="740"/>
      <c r="AP112" s="740"/>
      <c r="AQ112" s="740"/>
      <c r="AR112" s="740"/>
      <c r="AS112" s="740"/>
      <c r="AT112" s="740"/>
      <c r="AU112" s="740"/>
      <c r="AV112" s="740"/>
      <c r="AW112" s="740"/>
      <c r="AX112" s="740"/>
      <c r="AY112" s="740"/>
      <c r="AZ112" s="740"/>
      <c r="BA112" s="740"/>
      <c r="BB112" s="740"/>
      <c r="BC112" s="740"/>
      <c r="BD112" s="740"/>
      <c r="BE112" s="740"/>
      <c r="BF112" s="740"/>
      <c r="BG112" s="740"/>
      <c r="BH112" s="740"/>
      <c r="BI112" s="740"/>
      <c r="BJ112" s="740"/>
      <c r="BK112" s="740"/>
      <c r="BL112" s="740"/>
      <c r="BM112" s="740"/>
      <c r="BN112" s="740"/>
      <c r="BO112" s="740"/>
      <c r="BP112" s="740"/>
      <c r="BQ112" s="740"/>
      <c r="BR112" s="740"/>
      <c r="BS112" s="740"/>
      <c r="BT112" s="740"/>
      <c r="BU112" s="740"/>
      <c r="BV112" s="740"/>
      <c r="BW112" s="740"/>
      <c r="BX112" s="740"/>
      <c r="BY112" s="740"/>
      <c r="BZ112" s="740"/>
      <c r="CA112" s="740"/>
      <c r="CB112" s="740"/>
      <c r="CC112" s="740"/>
      <c r="CD112" s="740"/>
      <c r="CE112" s="740"/>
      <c r="CF112" s="740"/>
      <c r="CG112" s="740"/>
      <c r="CH112" s="740"/>
      <c r="CI112" s="740"/>
      <c r="CJ112" s="740"/>
      <c r="CK112" s="740"/>
      <c r="CL112" s="740"/>
      <c r="CM112" s="740"/>
      <c r="CN112" s="740"/>
      <c r="CO112" s="740"/>
      <c r="CP112" s="740"/>
      <c r="CQ112" s="740"/>
      <c r="CR112" s="740"/>
      <c r="CS112" s="740"/>
      <c r="CT112" s="740"/>
      <c r="CU112" s="740"/>
      <c r="CV112" s="740"/>
      <c r="CW112" s="740"/>
      <c r="CX112" s="740"/>
      <c r="CY112" s="740"/>
      <c r="CZ112" s="740"/>
      <c r="DA112" s="740"/>
      <c r="DB112" s="740"/>
      <c r="DC112" s="740"/>
      <c r="DD112" s="740"/>
      <c r="DE112" s="740"/>
      <c r="DF112" s="740"/>
      <c r="DG112" s="740"/>
      <c r="DH112" s="740"/>
      <c r="DI112" s="740"/>
    </row>
    <row r="113" spans="1:113" x14ac:dyDescent="0.2">
      <c r="A113" s="998"/>
      <c r="B113" s="998"/>
      <c r="C113" s="181"/>
      <c r="D113" s="1055"/>
      <c r="E113" s="998"/>
      <c r="F113" s="1058"/>
      <c r="G113" s="1009"/>
      <c r="H113" s="1010"/>
      <c r="I113" s="1001"/>
      <c r="J113" s="1057"/>
      <c r="K113" s="1057"/>
      <c r="L113" s="1003"/>
      <c r="M113" s="1022"/>
      <c r="N113" s="484"/>
      <c r="O113" s="484"/>
      <c r="P113" s="728"/>
      <c r="Q113" s="605"/>
      <c r="R113" s="607"/>
      <c r="S113" s="607"/>
      <c r="T113" s="605"/>
      <c r="U113" s="605"/>
      <c r="V113" s="29"/>
      <c r="W113" s="29"/>
      <c r="X113" s="29"/>
      <c r="Y113" s="29"/>
    </row>
    <row r="114" spans="1:113" s="570" customFormat="1" ht="12.75" customHeight="1" x14ac:dyDescent="0.2">
      <c r="A114" s="591"/>
      <c r="B114" s="591"/>
      <c r="C114" s="489"/>
      <c r="D114" s="602"/>
      <c r="E114" s="35"/>
      <c r="F114" s="603"/>
      <c r="G114" s="603"/>
      <c r="H114" s="779"/>
      <c r="I114" s="533"/>
      <c r="J114" s="533"/>
      <c r="K114" s="533"/>
      <c r="L114" s="604"/>
      <c r="M114" s="1023"/>
      <c r="N114" s="616"/>
      <c r="O114" s="616"/>
      <c r="P114" s="536"/>
      <c r="Q114" s="605"/>
      <c r="R114" s="607"/>
      <c r="S114" s="607"/>
      <c r="T114" s="605"/>
      <c r="U114" s="617"/>
      <c r="V114" s="618"/>
      <c r="W114" s="618"/>
      <c r="X114" s="618"/>
      <c r="Y114" s="618"/>
      <c r="Z114" s="618"/>
      <c r="AA114" s="618"/>
      <c r="AB114" s="618"/>
      <c r="AC114" s="618"/>
      <c r="AD114" s="618"/>
      <c r="AE114" s="618"/>
      <c r="AF114" s="618"/>
      <c r="AG114" s="618"/>
      <c r="AH114" s="618"/>
      <c r="AI114" s="618"/>
      <c r="AJ114" s="618"/>
      <c r="AK114" s="618"/>
      <c r="AL114" s="618"/>
      <c r="AM114" s="618"/>
      <c r="AN114" s="618"/>
      <c r="AO114" s="618"/>
      <c r="AP114" s="618"/>
      <c r="AQ114" s="618"/>
      <c r="AR114" s="618"/>
      <c r="AS114" s="618"/>
      <c r="AT114" s="618"/>
      <c r="AU114" s="618"/>
      <c r="AV114" s="618"/>
      <c r="AW114" s="618"/>
      <c r="AX114" s="618"/>
      <c r="AY114" s="618"/>
      <c r="AZ114" s="618"/>
      <c r="BA114" s="618"/>
      <c r="BB114" s="618"/>
      <c r="BC114" s="618"/>
      <c r="BD114" s="618"/>
      <c r="BE114" s="618"/>
      <c r="BF114" s="618"/>
      <c r="BG114" s="618"/>
      <c r="BH114" s="618"/>
      <c r="BI114" s="618"/>
      <c r="BJ114" s="618"/>
      <c r="BK114" s="618"/>
      <c r="BL114" s="618"/>
      <c r="BM114" s="618"/>
      <c r="BN114" s="618"/>
      <c r="BO114" s="618"/>
      <c r="BP114" s="618"/>
      <c r="BQ114" s="618"/>
      <c r="BR114" s="618"/>
      <c r="BS114" s="618"/>
      <c r="BT114" s="618"/>
      <c r="BU114" s="618"/>
      <c r="BV114" s="618"/>
      <c r="BW114" s="618"/>
      <c r="BX114" s="618"/>
      <c r="BY114" s="618"/>
      <c r="BZ114" s="618"/>
      <c r="CA114" s="618"/>
      <c r="CB114" s="618"/>
      <c r="CC114" s="618"/>
      <c r="CD114" s="618"/>
      <c r="CE114" s="618"/>
      <c r="CF114" s="618"/>
      <c r="CG114" s="618"/>
      <c r="CH114" s="618"/>
      <c r="CI114" s="618"/>
      <c r="CJ114" s="618"/>
      <c r="CK114" s="618"/>
      <c r="CL114" s="618"/>
      <c r="CM114" s="618"/>
      <c r="CN114" s="618"/>
      <c r="CO114" s="618"/>
      <c r="CP114" s="618"/>
      <c r="CQ114" s="618"/>
      <c r="CR114" s="618"/>
      <c r="CS114" s="618"/>
      <c r="CT114" s="618"/>
      <c r="CU114" s="618"/>
      <c r="CV114" s="618"/>
      <c r="CW114" s="618"/>
      <c r="CX114" s="618"/>
      <c r="CY114" s="618"/>
      <c r="CZ114" s="618"/>
      <c r="DA114" s="618"/>
      <c r="DB114" s="618"/>
      <c r="DC114" s="618"/>
      <c r="DD114" s="618"/>
      <c r="DE114" s="618"/>
      <c r="DF114" s="618"/>
      <c r="DG114" s="618"/>
      <c r="DH114" s="618"/>
      <c r="DI114" s="618"/>
    </row>
    <row r="115" spans="1:113" s="570" customFormat="1" ht="12.75" customHeight="1" x14ac:dyDescent="0.2">
      <c r="A115" s="591"/>
      <c r="B115" s="591"/>
      <c r="C115" s="489"/>
      <c r="D115" s="602"/>
      <c r="E115" s="35"/>
      <c r="F115" s="530"/>
      <c r="G115" s="567"/>
      <c r="H115" s="532"/>
      <c r="I115" s="533"/>
      <c r="J115" s="533"/>
      <c r="K115" s="534"/>
      <c r="L115" s="604"/>
      <c r="M115" s="1023"/>
      <c r="N115" s="616"/>
      <c r="O115" s="616"/>
      <c r="P115" s="536"/>
      <c r="Q115" s="605"/>
      <c r="R115" s="607"/>
      <c r="S115" s="607"/>
      <c r="T115" s="605"/>
      <c r="U115" s="617"/>
      <c r="V115" s="618"/>
      <c r="W115" s="618"/>
      <c r="X115" s="618"/>
      <c r="Y115" s="618"/>
      <c r="Z115" s="618"/>
      <c r="AA115" s="618"/>
      <c r="AB115" s="618"/>
      <c r="AC115" s="618"/>
      <c r="AD115" s="618"/>
      <c r="AE115" s="618"/>
      <c r="AF115" s="618"/>
      <c r="AG115" s="618"/>
      <c r="AH115" s="618"/>
      <c r="AI115" s="618"/>
      <c r="AJ115" s="618"/>
      <c r="AK115" s="618"/>
      <c r="AL115" s="618"/>
      <c r="AM115" s="618"/>
      <c r="AN115" s="618"/>
      <c r="AO115" s="618"/>
      <c r="AP115" s="618"/>
      <c r="AQ115" s="618"/>
      <c r="AR115" s="618"/>
      <c r="AS115" s="618"/>
      <c r="AT115" s="618"/>
      <c r="AU115" s="618"/>
      <c r="AV115" s="618"/>
      <c r="AW115" s="618"/>
      <c r="AX115" s="618"/>
      <c r="AY115" s="618"/>
      <c r="AZ115" s="618"/>
      <c r="BA115" s="618"/>
      <c r="BB115" s="618"/>
      <c r="BC115" s="618"/>
      <c r="BD115" s="618"/>
      <c r="BE115" s="618"/>
      <c r="BF115" s="618"/>
      <c r="BG115" s="618"/>
      <c r="BH115" s="618"/>
      <c r="BI115" s="618"/>
      <c r="BJ115" s="618"/>
      <c r="BK115" s="618"/>
      <c r="BL115" s="618"/>
      <c r="BM115" s="618"/>
      <c r="BN115" s="618"/>
      <c r="BO115" s="618"/>
      <c r="BP115" s="618"/>
      <c r="BQ115" s="618"/>
      <c r="BR115" s="618"/>
      <c r="BS115" s="618"/>
      <c r="BT115" s="618"/>
      <c r="BU115" s="618"/>
      <c r="BV115" s="618"/>
      <c r="BW115" s="618"/>
      <c r="BX115" s="618"/>
      <c r="BY115" s="618"/>
      <c r="BZ115" s="618"/>
      <c r="CA115" s="618"/>
      <c r="CB115" s="618"/>
      <c r="CC115" s="618"/>
      <c r="CD115" s="618"/>
      <c r="CE115" s="618"/>
      <c r="CF115" s="618"/>
      <c r="CG115" s="618"/>
      <c r="CH115" s="618"/>
      <c r="CI115" s="618"/>
      <c r="CJ115" s="618"/>
      <c r="CK115" s="618"/>
      <c r="CL115" s="618"/>
      <c r="CM115" s="618"/>
      <c r="CN115" s="618"/>
      <c r="CO115" s="618"/>
      <c r="CP115" s="618"/>
      <c r="CQ115" s="618"/>
      <c r="CR115" s="618"/>
      <c r="CS115" s="618"/>
      <c r="CT115" s="618"/>
      <c r="CU115" s="618"/>
      <c r="CV115" s="618"/>
      <c r="CW115" s="618"/>
      <c r="CX115" s="618"/>
      <c r="CY115" s="618"/>
      <c r="CZ115" s="618"/>
      <c r="DA115" s="618"/>
      <c r="DB115" s="618"/>
      <c r="DC115" s="618"/>
      <c r="DD115" s="618"/>
      <c r="DE115" s="618"/>
      <c r="DF115" s="618"/>
      <c r="DG115" s="618"/>
      <c r="DH115" s="618"/>
      <c r="DI115" s="618"/>
    </row>
    <row r="116" spans="1:113" s="570" customFormat="1" ht="12.75" customHeight="1" x14ac:dyDescent="0.2">
      <c r="A116" s="540" t="s">
        <v>507</v>
      </c>
      <c r="B116" s="540" t="s">
        <v>494</v>
      </c>
      <c r="C116" s="489"/>
      <c r="D116" s="602"/>
      <c r="E116" s="35"/>
      <c r="F116" s="531"/>
      <c r="G116" s="567"/>
      <c r="H116" s="541"/>
      <c r="I116" s="533"/>
      <c r="J116" s="533"/>
      <c r="K116" s="534"/>
      <c r="L116" s="604"/>
      <c r="M116" s="1023"/>
      <c r="N116" s="616"/>
      <c r="O116" s="616"/>
      <c r="P116" s="536"/>
      <c r="Q116" s="605"/>
      <c r="R116" s="607"/>
      <c r="S116" s="607"/>
      <c r="T116" s="605"/>
      <c r="U116" s="617"/>
      <c r="V116" s="618"/>
      <c r="W116" s="618"/>
      <c r="X116" s="618"/>
      <c r="Y116" s="618"/>
      <c r="Z116" s="618"/>
      <c r="AA116" s="618"/>
      <c r="AB116" s="618"/>
      <c r="AC116" s="618"/>
      <c r="AD116" s="618"/>
      <c r="AE116" s="618"/>
      <c r="AF116" s="618"/>
      <c r="AG116" s="618"/>
      <c r="AH116" s="618"/>
      <c r="AI116" s="618"/>
      <c r="AJ116" s="618"/>
      <c r="AK116" s="618"/>
      <c r="AL116" s="618"/>
      <c r="AM116" s="618"/>
      <c r="AN116" s="618"/>
      <c r="AO116" s="618"/>
      <c r="AP116" s="618"/>
      <c r="AQ116" s="618"/>
      <c r="AR116" s="618"/>
      <c r="AS116" s="618"/>
      <c r="AT116" s="618"/>
      <c r="AU116" s="618"/>
      <c r="AV116" s="618"/>
      <c r="AW116" s="618"/>
      <c r="AX116" s="618"/>
      <c r="AY116" s="618"/>
      <c r="AZ116" s="618"/>
      <c r="BA116" s="618"/>
      <c r="BB116" s="618"/>
      <c r="BC116" s="618"/>
      <c r="BD116" s="618"/>
      <c r="BE116" s="618"/>
      <c r="BF116" s="618"/>
      <c r="BG116" s="618"/>
      <c r="BH116" s="618"/>
      <c r="BI116" s="618"/>
      <c r="BJ116" s="618"/>
      <c r="BK116" s="618"/>
      <c r="BL116" s="618"/>
      <c r="BM116" s="618"/>
      <c r="BN116" s="618"/>
      <c r="BO116" s="618"/>
      <c r="BP116" s="618"/>
      <c r="BQ116" s="618"/>
      <c r="BR116" s="618"/>
      <c r="BS116" s="618"/>
      <c r="BT116" s="618"/>
      <c r="BU116" s="618"/>
      <c r="BV116" s="618"/>
      <c r="BW116" s="618"/>
      <c r="BX116" s="618"/>
      <c r="BY116" s="618"/>
      <c r="BZ116" s="618"/>
      <c r="CA116" s="618"/>
      <c r="CB116" s="618"/>
      <c r="CC116" s="618"/>
      <c r="CD116" s="618"/>
      <c r="CE116" s="618"/>
      <c r="CF116" s="618"/>
      <c r="CG116" s="618"/>
      <c r="CH116" s="618"/>
      <c r="CI116" s="618"/>
      <c r="CJ116" s="618"/>
      <c r="CK116" s="618"/>
      <c r="CL116" s="618"/>
      <c r="CM116" s="618"/>
      <c r="CN116" s="618"/>
      <c r="CO116" s="618"/>
      <c r="CP116" s="618"/>
      <c r="CQ116" s="618"/>
      <c r="CR116" s="618"/>
      <c r="CS116" s="618"/>
      <c r="CT116" s="618"/>
      <c r="CU116" s="618"/>
      <c r="CV116" s="618"/>
      <c r="CW116" s="618"/>
      <c r="CX116" s="618"/>
      <c r="CY116" s="618"/>
      <c r="CZ116" s="618"/>
      <c r="DA116" s="618"/>
      <c r="DB116" s="618"/>
      <c r="DC116" s="618"/>
      <c r="DD116" s="618"/>
      <c r="DE116" s="618"/>
      <c r="DF116" s="618"/>
      <c r="DG116" s="618"/>
      <c r="DH116" s="618"/>
      <c r="DI116" s="618"/>
    </row>
    <row r="117" spans="1:113" s="487" customFormat="1" ht="12.75" customHeight="1" x14ac:dyDescent="0.2">
      <c r="A117" s="180">
        <v>25071</v>
      </c>
      <c r="B117" s="180" t="s">
        <v>297</v>
      </c>
      <c r="C117" s="181" t="s">
        <v>327</v>
      </c>
      <c r="D117" s="181">
        <v>39782</v>
      </c>
      <c r="E117" s="180">
        <v>365</v>
      </c>
      <c r="F117" s="182">
        <v>60000</v>
      </c>
      <c r="G117" s="182">
        <f>SUM(E117*F117)</f>
        <v>21900000</v>
      </c>
      <c r="H117" s="508">
        <f>SUM(I117*30.4)</f>
        <v>4.9096000000000002</v>
      </c>
      <c r="I117" s="173">
        <f>K117-J117</f>
        <v>0.1615</v>
      </c>
      <c r="J117" s="170">
        <v>1.8499999999999999E-2</v>
      </c>
      <c r="K117" s="170">
        <v>0.18</v>
      </c>
      <c r="L117" s="484">
        <f>(SUM(K117*G117))-N117</f>
        <v>3573313</v>
      </c>
      <c r="M117" s="1022">
        <v>0.91</v>
      </c>
      <c r="N117" s="484">
        <f>ROUND(J117*G117*M117,0)</f>
        <v>368687</v>
      </c>
      <c r="O117" s="484">
        <f>L117+N117</f>
        <v>3942000</v>
      </c>
      <c r="P117" s="619" t="s">
        <v>562</v>
      </c>
      <c r="Q117" s="175" t="s">
        <v>563</v>
      </c>
      <c r="R117" s="511" t="s">
        <v>507</v>
      </c>
      <c r="S117" s="511" t="s">
        <v>494</v>
      </c>
      <c r="T117" s="175"/>
      <c r="U117" s="172" t="s">
        <v>515</v>
      </c>
      <c r="V117" s="601"/>
      <c r="W117" s="601"/>
      <c r="X117" s="601"/>
      <c r="Y117" s="601"/>
      <c r="Z117" s="601"/>
      <c r="AA117" s="601"/>
      <c r="AB117" s="601"/>
      <c r="AC117" s="601"/>
      <c r="AD117" s="601"/>
      <c r="AE117" s="601"/>
      <c r="AF117" s="601"/>
      <c r="AG117" s="601"/>
      <c r="AH117" s="601"/>
      <c r="AI117" s="601"/>
      <c r="AJ117" s="601"/>
      <c r="AK117" s="601"/>
      <c r="AL117" s="601"/>
      <c r="AM117" s="601"/>
      <c r="AN117" s="601"/>
      <c r="AO117" s="601"/>
      <c r="AP117" s="601"/>
      <c r="AQ117" s="601"/>
      <c r="AR117" s="601"/>
      <c r="AS117" s="601"/>
      <c r="AT117" s="601"/>
      <c r="AU117" s="601"/>
      <c r="AV117" s="601"/>
      <c r="AW117" s="601"/>
      <c r="AX117" s="601"/>
      <c r="AY117" s="601"/>
      <c r="AZ117" s="601"/>
      <c r="BA117" s="601"/>
      <c r="BB117" s="601"/>
      <c r="BC117" s="601"/>
      <c r="BD117" s="601"/>
      <c r="BE117" s="601"/>
      <c r="BF117" s="601"/>
      <c r="BG117" s="601"/>
      <c r="BH117" s="601"/>
      <c r="BI117" s="601"/>
      <c r="BJ117" s="601"/>
      <c r="BK117" s="601"/>
      <c r="BL117" s="601"/>
      <c r="BM117" s="601"/>
      <c r="BN117" s="601"/>
      <c r="BO117" s="601"/>
      <c r="BP117" s="601"/>
      <c r="BQ117" s="601"/>
      <c r="BR117" s="601"/>
      <c r="BS117" s="601"/>
      <c r="BT117" s="601"/>
      <c r="BU117" s="601"/>
      <c r="BV117" s="601"/>
      <c r="BW117" s="601"/>
      <c r="BX117" s="601"/>
      <c r="BY117" s="601"/>
      <c r="BZ117" s="601"/>
      <c r="CA117" s="601"/>
      <c r="CB117" s="601"/>
      <c r="CC117" s="601"/>
      <c r="CD117" s="601"/>
      <c r="CE117" s="601"/>
      <c r="CF117" s="601"/>
      <c r="CG117" s="601"/>
      <c r="CH117" s="601"/>
      <c r="CI117" s="601"/>
      <c r="CJ117" s="601"/>
      <c r="CK117" s="601"/>
      <c r="CL117" s="601"/>
      <c r="CM117" s="601"/>
      <c r="CN117" s="601"/>
      <c r="CO117" s="601"/>
      <c r="CP117" s="601"/>
      <c r="CQ117" s="601"/>
      <c r="CR117" s="601"/>
      <c r="CS117" s="601"/>
      <c r="CT117" s="601"/>
      <c r="CU117" s="601"/>
      <c r="CV117" s="601"/>
      <c r="CW117" s="601"/>
      <c r="CX117" s="601"/>
      <c r="CY117" s="601"/>
      <c r="CZ117" s="601"/>
      <c r="DA117" s="601"/>
      <c r="DB117" s="601"/>
      <c r="DC117" s="601"/>
      <c r="DD117" s="601"/>
      <c r="DE117" s="601"/>
      <c r="DF117" s="601"/>
      <c r="DG117" s="601"/>
      <c r="DH117" s="601"/>
      <c r="DI117" s="601"/>
    </row>
    <row r="118" spans="1:113" s="570" customFormat="1" ht="12.75" customHeight="1" x14ac:dyDescent="0.2">
      <c r="A118" s="488"/>
      <c r="B118" s="488"/>
      <c r="C118" s="489"/>
      <c r="D118" s="528"/>
      <c r="E118" s="529"/>
      <c r="F118" s="603"/>
      <c r="G118" s="603"/>
      <c r="H118" s="779"/>
      <c r="I118" s="533"/>
      <c r="J118" s="533"/>
      <c r="K118" s="533"/>
      <c r="L118" s="604"/>
      <c r="M118" s="1023"/>
      <c r="N118" s="536"/>
      <c r="O118" s="536"/>
      <c r="P118" s="620"/>
      <c r="Q118" s="537"/>
      <c r="R118" s="538"/>
      <c r="S118" s="538"/>
      <c r="T118" s="537"/>
      <c r="U118" s="539"/>
      <c r="V118" s="618"/>
      <c r="W118" s="618"/>
      <c r="X118" s="618"/>
      <c r="Y118" s="618"/>
      <c r="Z118" s="618"/>
      <c r="AA118" s="618"/>
      <c r="AB118" s="618"/>
      <c r="AC118" s="618"/>
      <c r="AD118" s="618"/>
      <c r="AE118" s="618"/>
      <c r="AF118" s="618"/>
      <c r="AG118" s="618"/>
      <c r="AH118" s="618"/>
      <c r="AI118" s="618"/>
      <c r="AJ118" s="618"/>
      <c r="AK118" s="618"/>
      <c r="AL118" s="618"/>
      <c r="AM118" s="618"/>
      <c r="AN118" s="618"/>
      <c r="AO118" s="618"/>
      <c r="AP118" s="618"/>
      <c r="AQ118" s="618"/>
      <c r="AR118" s="618"/>
      <c r="AS118" s="618"/>
      <c r="AT118" s="618"/>
      <c r="AU118" s="618"/>
      <c r="AV118" s="618"/>
      <c r="AW118" s="618"/>
      <c r="AX118" s="618"/>
      <c r="AY118" s="618"/>
      <c r="AZ118" s="618"/>
      <c r="BA118" s="618"/>
      <c r="BB118" s="618"/>
      <c r="BC118" s="618"/>
      <c r="BD118" s="618"/>
      <c r="BE118" s="618"/>
      <c r="BF118" s="618"/>
      <c r="BG118" s="618"/>
      <c r="BH118" s="618"/>
      <c r="BI118" s="618"/>
      <c r="BJ118" s="618"/>
      <c r="BK118" s="618"/>
      <c r="BL118" s="618"/>
      <c r="BM118" s="618"/>
      <c r="BN118" s="618"/>
      <c r="BO118" s="618"/>
      <c r="BP118" s="618"/>
      <c r="BQ118" s="618"/>
      <c r="BR118" s="618"/>
      <c r="BS118" s="618"/>
      <c r="BT118" s="618"/>
      <c r="BU118" s="618"/>
      <c r="BV118" s="618"/>
      <c r="BW118" s="618"/>
      <c r="BX118" s="618"/>
      <c r="BY118" s="618"/>
      <c r="BZ118" s="618"/>
      <c r="CA118" s="618"/>
      <c r="CB118" s="618"/>
      <c r="CC118" s="618"/>
      <c r="CD118" s="618"/>
      <c r="CE118" s="618"/>
      <c r="CF118" s="618"/>
      <c r="CG118" s="618"/>
      <c r="CH118" s="618"/>
      <c r="CI118" s="618"/>
      <c r="CJ118" s="618"/>
      <c r="CK118" s="618"/>
      <c r="CL118" s="618"/>
      <c r="CM118" s="618"/>
      <c r="CN118" s="618"/>
      <c r="CO118" s="618"/>
      <c r="CP118" s="618"/>
      <c r="CQ118" s="618"/>
      <c r="CR118" s="618"/>
      <c r="CS118" s="618"/>
      <c r="CT118" s="618"/>
      <c r="CU118" s="618"/>
      <c r="CV118" s="618"/>
      <c r="CW118" s="618"/>
      <c r="CX118" s="618"/>
      <c r="CY118" s="618"/>
      <c r="CZ118" s="618"/>
      <c r="DA118" s="618"/>
      <c r="DB118" s="618"/>
      <c r="DC118" s="618"/>
      <c r="DD118" s="618"/>
      <c r="DE118" s="618"/>
      <c r="DF118" s="618"/>
      <c r="DG118" s="618"/>
      <c r="DH118" s="618"/>
      <c r="DI118" s="618"/>
    </row>
    <row r="119" spans="1:113" s="570" customFormat="1" ht="12.75" customHeight="1" x14ac:dyDescent="0.2">
      <c r="A119" s="488"/>
      <c r="B119" s="488"/>
      <c r="C119" s="489"/>
      <c r="D119" s="528"/>
      <c r="E119" s="529"/>
      <c r="F119" s="530"/>
      <c r="G119" s="531"/>
      <c r="H119" s="532"/>
      <c r="I119" s="533"/>
      <c r="J119" s="534"/>
      <c r="K119" s="534"/>
      <c r="L119" s="604"/>
      <c r="M119" s="1023"/>
      <c r="N119" s="536"/>
      <c r="O119" s="536"/>
      <c r="P119" s="620"/>
      <c r="Q119" s="537"/>
      <c r="R119" s="538"/>
      <c r="S119" s="538"/>
      <c r="T119" s="537"/>
      <c r="U119" s="539"/>
      <c r="V119" s="618"/>
      <c r="W119" s="618"/>
      <c r="X119" s="618"/>
      <c r="Y119" s="618"/>
      <c r="Z119" s="618"/>
      <c r="AA119" s="618"/>
      <c r="AB119" s="618"/>
      <c r="AC119" s="618"/>
      <c r="AD119" s="618"/>
      <c r="AE119" s="618"/>
      <c r="AF119" s="618"/>
      <c r="AG119" s="618"/>
      <c r="AH119" s="618"/>
      <c r="AI119" s="618"/>
      <c r="AJ119" s="618"/>
      <c r="AK119" s="618"/>
      <c r="AL119" s="618"/>
      <c r="AM119" s="618"/>
      <c r="AN119" s="618"/>
      <c r="AO119" s="618"/>
      <c r="AP119" s="618"/>
      <c r="AQ119" s="618"/>
      <c r="AR119" s="618"/>
      <c r="AS119" s="618"/>
      <c r="AT119" s="618"/>
      <c r="AU119" s="618"/>
      <c r="AV119" s="618"/>
      <c r="AW119" s="618"/>
      <c r="AX119" s="618"/>
      <c r="AY119" s="618"/>
      <c r="AZ119" s="618"/>
      <c r="BA119" s="618"/>
      <c r="BB119" s="618"/>
      <c r="BC119" s="618"/>
      <c r="BD119" s="618"/>
      <c r="BE119" s="618"/>
      <c r="BF119" s="618"/>
      <c r="BG119" s="618"/>
      <c r="BH119" s="618"/>
      <c r="BI119" s="618"/>
      <c r="BJ119" s="618"/>
      <c r="BK119" s="618"/>
      <c r="BL119" s="618"/>
      <c r="BM119" s="618"/>
      <c r="BN119" s="618"/>
      <c r="BO119" s="618"/>
      <c r="BP119" s="618"/>
      <c r="BQ119" s="618"/>
      <c r="BR119" s="618"/>
      <c r="BS119" s="618"/>
      <c r="BT119" s="618"/>
      <c r="BU119" s="618"/>
      <c r="BV119" s="618"/>
      <c r="BW119" s="618"/>
      <c r="BX119" s="618"/>
      <c r="BY119" s="618"/>
      <c r="BZ119" s="618"/>
      <c r="CA119" s="618"/>
      <c r="CB119" s="618"/>
      <c r="CC119" s="618"/>
      <c r="CD119" s="618"/>
      <c r="CE119" s="618"/>
      <c r="CF119" s="618"/>
      <c r="CG119" s="618"/>
      <c r="CH119" s="618"/>
      <c r="CI119" s="618"/>
      <c r="CJ119" s="618"/>
      <c r="CK119" s="618"/>
      <c r="CL119" s="618"/>
      <c r="CM119" s="618"/>
      <c r="CN119" s="618"/>
      <c r="CO119" s="618"/>
      <c r="CP119" s="618"/>
      <c r="CQ119" s="618"/>
      <c r="CR119" s="618"/>
      <c r="CS119" s="618"/>
      <c r="CT119" s="618"/>
      <c r="CU119" s="618"/>
      <c r="CV119" s="618"/>
      <c r="CW119" s="618"/>
      <c r="CX119" s="618"/>
      <c r="CY119" s="618"/>
      <c r="CZ119" s="618"/>
      <c r="DA119" s="618"/>
      <c r="DB119" s="618"/>
      <c r="DC119" s="618"/>
      <c r="DD119" s="618"/>
      <c r="DE119" s="618"/>
      <c r="DF119" s="618"/>
      <c r="DG119" s="618"/>
      <c r="DH119" s="618"/>
      <c r="DI119" s="618"/>
    </row>
    <row r="120" spans="1:113" s="570" customFormat="1" ht="12.75" customHeight="1" x14ac:dyDescent="0.2">
      <c r="A120" s="540" t="s">
        <v>512</v>
      </c>
      <c r="B120" s="540" t="s">
        <v>494</v>
      </c>
      <c r="C120" s="489"/>
      <c r="D120" s="528"/>
      <c r="E120" s="529"/>
      <c r="F120" s="531"/>
      <c r="G120" s="531"/>
      <c r="H120" s="541"/>
      <c r="I120" s="534"/>
      <c r="J120" s="534"/>
      <c r="K120" s="534"/>
      <c r="L120" s="604"/>
      <c r="M120" s="1023"/>
      <c r="N120" s="536"/>
      <c r="O120" s="536"/>
      <c r="P120" s="620"/>
      <c r="Q120" s="537"/>
      <c r="R120" s="538"/>
      <c r="S120" s="538"/>
      <c r="T120" s="537"/>
      <c r="U120" s="539"/>
      <c r="V120" s="618"/>
      <c r="W120" s="618"/>
      <c r="X120" s="618"/>
      <c r="Y120" s="618"/>
      <c r="Z120" s="618"/>
      <c r="AA120" s="618"/>
      <c r="AB120" s="618"/>
      <c r="AC120" s="618"/>
      <c r="AD120" s="618"/>
      <c r="AE120" s="618"/>
      <c r="AF120" s="618"/>
      <c r="AG120" s="618"/>
      <c r="AH120" s="618"/>
      <c r="AI120" s="618"/>
      <c r="AJ120" s="618"/>
      <c r="AK120" s="618"/>
      <c r="AL120" s="618"/>
      <c r="AM120" s="618"/>
      <c r="AN120" s="618"/>
      <c r="AO120" s="618"/>
      <c r="AP120" s="618"/>
      <c r="AQ120" s="618"/>
      <c r="AR120" s="618"/>
      <c r="AS120" s="618"/>
      <c r="AT120" s="618"/>
      <c r="AU120" s="618"/>
      <c r="AV120" s="618"/>
      <c r="AW120" s="618"/>
      <c r="AX120" s="618"/>
      <c r="AY120" s="618"/>
      <c r="AZ120" s="618"/>
      <c r="BA120" s="618"/>
      <c r="BB120" s="618"/>
      <c r="BC120" s="618"/>
      <c r="BD120" s="618"/>
      <c r="BE120" s="618"/>
      <c r="BF120" s="618"/>
      <c r="BG120" s="618"/>
      <c r="BH120" s="618"/>
      <c r="BI120" s="618"/>
      <c r="BJ120" s="618"/>
      <c r="BK120" s="618"/>
      <c r="BL120" s="618"/>
      <c r="BM120" s="618"/>
      <c r="BN120" s="618"/>
      <c r="BO120" s="618"/>
      <c r="BP120" s="618"/>
      <c r="BQ120" s="618"/>
      <c r="BR120" s="618"/>
      <c r="BS120" s="618"/>
      <c r="BT120" s="618"/>
      <c r="BU120" s="618"/>
      <c r="BV120" s="618"/>
      <c r="BW120" s="618"/>
      <c r="BX120" s="618"/>
      <c r="BY120" s="618"/>
      <c r="BZ120" s="618"/>
      <c r="CA120" s="618"/>
      <c r="CB120" s="618"/>
      <c r="CC120" s="618"/>
      <c r="CD120" s="618"/>
      <c r="CE120" s="618"/>
      <c r="CF120" s="618"/>
      <c r="CG120" s="618"/>
      <c r="CH120" s="618"/>
      <c r="CI120" s="618"/>
      <c r="CJ120" s="618"/>
      <c r="CK120" s="618"/>
      <c r="CL120" s="618"/>
      <c r="CM120" s="618"/>
      <c r="CN120" s="618"/>
      <c r="CO120" s="618"/>
      <c r="CP120" s="618"/>
      <c r="CQ120" s="618"/>
      <c r="CR120" s="618"/>
      <c r="CS120" s="618"/>
      <c r="CT120" s="618"/>
      <c r="CU120" s="618"/>
      <c r="CV120" s="618"/>
      <c r="CW120" s="618"/>
      <c r="CX120" s="618"/>
      <c r="CY120" s="618"/>
      <c r="CZ120" s="618"/>
      <c r="DA120" s="618"/>
      <c r="DB120" s="618"/>
      <c r="DC120" s="618"/>
      <c r="DD120" s="618"/>
      <c r="DE120" s="618"/>
      <c r="DF120" s="618"/>
      <c r="DG120" s="618"/>
      <c r="DH120" s="618"/>
      <c r="DI120" s="618"/>
    </row>
    <row r="121" spans="1:113" s="487" customFormat="1" ht="12.75" customHeight="1" x14ac:dyDescent="0.2">
      <c r="A121" s="180">
        <v>24670</v>
      </c>
      <c r="B121" s="180" t="s">
        <v>294</v>
      </c>
      <c r="C121" s="181" t="s">
        <v>327</v>
      </c>
      <c r="D121" s="181" t="s">
        <v>295</v>
      </c>
      <c r="E121" s="180">
        <f>31+28+31</f>
        <v>90</v>
      </c>
      <c r="F121" s="182">
        <v>10000</v>
      </c>
      <c r="G121" s="182">
        <f t="shared" ref="G121:G128" si="39">SUM(E121*F121)</f>
        <v>900000</v>
      </c>
      <c r="H121" s="508">
        <f t="shared" ref="H121:H128" si="40">SUM(I121*30.4)</f>
        <v>4.6056000000000008</v>
      </c>
      <c r="I121" s="173">
        <f t="shared" ref="I121:I135" si="41">K121-J121</f>
        <v>0.15150000000000002</v>
      </c>
      <c r="J121" s="170">
        <v>1.8499999999999999E-2</v>
      </c>
      <c r="K121" s="170">
        <v>0.17</v>
      </c>
      <c r="L121" s="484">
        <f t="shared" ref="L121:L135" si="42">(SUM(K121*G121))-N121</f>
        <v>137848</v>
      </c>
      <c r="M121" s="1022">
        <v>0.91</v>
      </c>
      <c r="N121" s="484">
        <f t="shared" ref="N121:N135" si="43">ROUND(J121*G121*M121,0)</f>
        <v>15152</v>
      </c>
      <c r="O121" s="484">
        <f t="shared" ref="O121:O135" si="44">L121+N121</f>
        <v>153000</v>
      </c>
      <c r="P121" s="183" t="s">
        <v>564</v>
      </c>
      <c r="Q121" s="583" t="s">
        <v>565</v>
      </c>
      <c r="R121" s="511" t="s">
        <v>512</v>
      </c>
      <c r="S121" s="511" t="s">
        <v>494</v>
      </c>
      <c r="T121" s="583"/>
      <c r="U121" s="172" t="s">
        <v>515</v>
      </c>
      <c r="V121" s="601"/>
      <c r="W121" s="601"/>
      <c r="X121" s="601"/>
      <c r="Y121" s="601"/>
      <c r="Z121" s="601"/>
      <c r="AA121" s="601"/>
      <c r="AB121" s="601"/>
      <c r="AC121" s="601"/>
      <c r="AD121" s="601"/>
      <c r="AE121" s="601"/>
      <c r="AF121" s="601"/>
      <c r="AG121" s="601"/>
      <c r="AH121" s="601"/>
      <c r="AI121" s="601"/>
      <c r="AJ121" s="601"/>
      <c r="AK121" s="601"/>
      <c r="AL121" s="601"/>
      <c r="AM121" s="601"/>
      <c r="AN121" s="601"/>
      <c r="AO121" s="601"/>
      <c r="AP121" s="601"/>
      <c r="AQ121" s="601"/>
      <c r="AR121" s="601"/>
      <c r="AS121" s="601"/>
      <c r="AT121" s="601"/>
      <c r="AU121" s="601"/>
      <c r="AV121" s="601"/>
      <c r="AW121" s="601"/>
      <c r="AX121" s="601"/>
      <c r="AY121" s="601"/>
      <c r="AZ121" s="601"/>
      <c r="BA121" s="601"/>
      <c r="BB121" s="601"/>
      <c r="BC121" s="601"/>
      <c r="BD121" s="601"/>
      <c r="BE121" s="601"/>
      <c r="BF121" s="601"/>
      <c r="BG121" s="601"/>
      <c r="BH121" s="601"/>
      <c r="BI121" s="601"/>
      <c r="BJ121" s="601"/>
      <c r="BK121" s="601"/>
      <c r="BL121" s="601"/>
      <c r="BM121" s="601"/>
      <c r="BN121" s="601"/>
      <c r="BO121" s="601"/>
      <c r="BP121" s="601"/>
      <c r="BQ121" s="601"/>
      <c r="BR121" s="601"/>
      <c r="BS121" s="601"/>
      <c r="BT121" s="601"/>
      <c r="BU121" s="601"/>
      <c r="BV121" s="601"/>
      <c r="BW121" s="601"/>
      <c r="BX121" s="601"/>
      <c r="BY121" s="601"/>
      <c r="BZ121" s="601"/>
      <c r="CA121" s="601"/>
      <c r="CB121" s="601"/>
      <c r="CC121" s="601"/>
      <c r="CD121" s="601"/>
      <c r="CE121" s="601"/>
      <c r="CF121" s="601"/>
      <c r="CG121" s="601"/>
      <c r="CH121" s="601"/>
      <c r="CI121" s="601"/>
      <c r="CJ121" s="601"/>
      <c r="CK121" s="601"/>
      <c r="CL121" s="601"/>
      <c r="CM121" s="601"/>
      <c r="CN121" s="601"/>
      <c r="CO121" s="601"/>
      <c r="CP121" s="601"/>
      <c r="CQ121" s="601"/>
      <c r="CR121" s="601"/>
      <c r="CS121" s="601"/>
      <c r="CT121" s="601"/>
      <c r="CU121" s="601"/>
      <c r="CV121" s="601"/>
      <c r="CW121" s="601"/>
      <c r="CX121" s="601"/>
      <c r="CY121" s="601"/>
      <c r="CZ121" s="601"/>
      <c r="DA121" s="601"/>
      <c r="DB121" s="601"/>
      <c r="DC121" s="601"/>
      <c r="DD121" s="601"/>
      <c r="DE121" s="601"/>
      <c r="DF121" s="601"/>
      <c r="DG121" s="601"/>
      <c r="DH121" s="601"/>
      <c r="DI121" s="601"/>
    </row>
    <row r="122" spans="1:113" s="487" customFormat="1" ht="12.75" customHeight="1" x14ac:dyDescent="0.2">
      <c r="A122" s="180">
        <v>24670</v>
      </c>
      <c r="B122" s="180" t="s">
        <v>294</v>
      </c>
      <c r="C122" s="181" t="s">
        <v>327</v>
      </c>
      <c r="D122" s="181" t="s">
        <v>295</v>
      </c>
      <c r="E122" s="180">
        <f>365-90</f>
        <v>275</v>
      </c>
      <c r="F122" s="182">
        <v>10000</v>
      </c>
      <c r="G122" s="182">
        <f>SUM(E122*F122)</f>
        <v>2750000</v>
      </c>
      <c r="H122" s="508">
        <f>SUM(I122*30.4)</f>
        <v>4.7576000000000001</v>
      </c>
      <c r="I122" s="173">
        <f>K122-J122</f>
        <v>0.1565</v>
      </c>
      <c r="J122" s="170">
        <v>1.8499999999999999E-2</v>
      </c>
      <c r="K122" s="170">
        <v>0.17499999999999999</v>
      </c>
      <c r="L122" s="484">
        <f>(SUM(K122*G122))-N122</f>
        <v>434953.99999999994</v>
      </c>
      <c r="M122" s="1022">
        <v>0.91</v>
      </c>
      <c r="N122" s="484">
        <f>ROUND(J122*G122*M122,0)</f>
        <v>46296</v>
      </c>
      <c r="O122" s="484">
        <f>L122+N122</f>
        <v>481249.99999999994</v>
      </c>
      <c r="P122" s="183"/>
      <c r="Q122" s="583"/>
      <c r="R122" s="511"/>
      <c r="S122" s="511"/>
      <c r="T122" s="583"/>
      <c r="U122" s="172"/>
      <c r="V122" s="601"/>
      <c r="W122" s="601"/>
      <c r="X122" s="601"/>
      <c r="Y122" s="601"/>
      <c r="Z122" s="601"/>
      <c r="AA122" s="601"/>
      <c r="AB122" s="601"/>
      <c r="AC122" s="601"/>
      <c r="AD122" s="601"/>
      <c r="AE122" s="601"/>
      <c r="AF122" s="601"/>
      <c r="AG122" s="601"/>
      <c r="AH122" s="601"/>
      <c r="AI122" s="601"/>
      <c r="AJ122" s="601"/>
      <c r="AK122" s="601"/>
      <c r="AL122" s="601"/>
      <c r="AM122" s="601"/>
      <c r="AN122" s="601"/>
      <c r="AO122" s="601"/>
      <c r="AP122" s="601"/>
      <c r="AQ122" s="601"/>
      <c r="AR122" s="601"/>
      <c r="AS122" s="601"/>
      <c r="AT122" s="601"/>
      <c r="AU122" s="601"/>
      <c r="AV122" s="601"/>
      <c r="AW122" s="601"/>
      <c r="AX122" s="601"/>
      <c r="AY122" s="601"/>
      <c r="AZ122" s="601"/>
      <c r="BA122" s="601"/>
      <c r="BB122" s="601"/>
      <c r="BC122" s="601"/>
      <c r="BD122" s="601"/>
      <c r="BE122" s="601"/>
      <c r="BF122" s="601"/>
      <c r="BG122" s="601"/>
      <c r="BH122" s="601"/>
      <c r="BI122" s="601"/>
      <c r="BJ122" s="601"/>
      <c r="BK122" s="601"/>
      <c r="BL122" s="601"/>
      <c r="BM122" s="601"/>
      <c r="BN122" s="601"/>
      <c r="BO122" s="601"/>
      <c r="BP122" s="601"/>
      <c r="BQ122" s="601"/>
      <c r="BR122" s="601"/>
      <c r="BS122" s="601"/>
      <c r="BT122" s="601"/>
      <c r="BU122" s="601"/>
      <c r="BV122" s="601"/>
      <c r="BW122" s="601"/>
      <c r="BX122" s="601"/>
      <c r="BY122" s="601"/>
      <c r="BZ122" s="601"/>
      <c r="CA122" s="601"/>
      <c r="CB122" s="601"/>
      <c r="CC122" s="601"/>
      <c r="CD122" s="601"/>
      <c r="CE122" s="601"/>
      <c r="CF122" s="601"/>
      <c r="CG122" s="601"/>
      <c r="CH122" s="601"/>
      <c r="CI122" s="601"/>
      <c r="CJ122" s="601"/>
      <c r="CK122" s="601"/>
      <c r="CL122" s="601"/>
      <c r="CM122" s="601"/>
      <c r="CN122" s="601"/>
      <c r="CO122" s="601"/>
      <c r="CP122" s="601"/>
      <c r="CQ122" s="601"/>
      <c r="CR122" s="601"/>
      <c r="CS122" s="601"/>
      <c r="CT122" s="601"/>
      <c r="CU122" s="601"/>
      <c r="CV122" s="601"/>
      <c r="CW122" s="601"/>
      <c r="CX122" s="601"/>
      <c r="CY122" s="601"/>
      <c r="CZ122" s="601"/>
      <c r="DA122" s="601"/>
      <c r="DB122" s="601"/>
      <c r="DC122" s="601"/>
      <c r="DD122" s="601"/>
      <c r="DE122" s="601"/>
      <c r="DF122" s="601"/>
      <c r="DG122" s="601"/>
      <c r="DH122" s="601"/>
      <c r="DI122" s="601"/>
    </row>
    <row r="123" spans="1:113" s="487" customFormat="1" ht="12.75" customHeight="1" x14ac:dyDescent="0.2">
      <c r="A123" s="180">
        <v>25071</v>
      </c>
      <c r="B123" s="180" t="s">
        <v>297</v>
      </c>
      <c r="C123" s="181" t="s">
        <v>327</v>
      </c>
      <c r="D123" s="181">
        <v>39782</v>
      </c>
      <c r="E123" s="180">
        <v>365</v>
      </c>
      <c r="F123" s="182">
        <v>30000</v>
      </c>
      <c r="G123" s="182">
        <f t="shared" si="39"/>
        <v>10950000</v>
      </c>
      <c r="H123" s="508">
        <f t="shared" si="40"/>
        <v>4.9096000000000002</v>
      </c>
      <c r="I123" s="173">
        <f t="shared" si="41"/>
        <v>0.1615</v>
      </c>
      <c r="J123" s="170">
        <v>1.8499999999999999E-2</v>
      </c>
      <c r="K123" s="170">
        <v>0.18</v>
      </c>
      <c r="L123" s="484">
        <f t="shared" si="42"/>
        <v>1786657</v>
      </c>
      <c r="M123" s="1022">
        <v>0.91</v>
      </c>
      <c r="N123" s="484">
        <f t="shared" si="43"/>
        <v>184343</v>
      </c>
      <c r="O123" s="484">
        <f t="shared" si="44"/>
        <v>1971000</v>
      </c>
      <c r="P123" s="619" t="s">
        <v>562</v>
      </c>
      <c r="Q123" s="175" t="s">
        <v>563</v>
      </c>
      <c r="R123" s="511" t="s">
        <v>507</v>
      </c>
      <c r="S123" s="511" t="s">
        <v>494</v>
      </c>
      <c r="T123" s="175"/>
      <c r="U123" s="172" t="s">
        <v>515</v>
      </c>
      <c r="V123" s="601"/>
      <c r="W123" s="601"/>
      <c r="X123" s="601"/>
      <c r="Y123" s="601"/>
      <c r="Z123" s="601"/>
      <c r="AA123" s="601"/>
      <c r="AB123" s="601"/>
      <c r="AC123" s="601"/>
      <c r="AD123" s="601"/>
      <c r="AE123" s="601"/>
      <c r="AF123" s="601"/>
      <c r="AG123" s="601"/>
      <c r="AH123" s="601"/>
      <c r="AI123" s="601"/>
      <c r="AJ123" s="601"/>
      <c r="AK123" s="601"/>
      <c r="AL123" s="601"/>
      <c r="AM123" s="601"/>
      <c r="AN123" s="601"/>
      <c r="AO123" s="601"/>
      <c r="AP123" s="601"/>
      <c r="AQ123" s="601"/>
      <c r="AR123" s="601"/>
      <c r="AS123" s="601"/>
      <c r="AT123" s="601"/>
      <c r="AU123" s="601"/>
      <c r="AV123" s="601"/>
      <c r="AW123" s="601"/>
      <c r="AX123" s="601"/>
      <c r="AY123" s="601"/>
      <c r="AZ123" s="601"/>
      <c r="BA123" s="601"/>
      <c r="BB123" s="601"/>
      <c r="BC123" s="601"/>
      <c r="BD123" s="601"/>
      <c r="BE123" s="601"/>
      <c r="BF123" s="601"/>
      <c r="BG123" s="601"/>
      <c r="BH123" s="601"/>
      <c r="BI123" s="601"/>
      <c r="BJ123" s="601"/>
      <c r="BK123" s="601"/>
      <c r="BL123" s="601"/>
      <c r="BM123" s="601"/>
      <c r="BN123" s="601"/>
      <c r="BO123" s="601"/>
      <c r="BP123" s="601"/>
      <c r="BQ123" s="601"/>
      <c r="BR123" s="601"/>
      <c r="BS123" s="601"/>
      <c r="BT123" s="601"/>
      <c r="BU123" s="601"/>
      <c r="BV123" s="601"/>
      <c r="BW123" s="601"/>
      <c r="BX123" s="601"/>
      <c r="BY123" s="601"/>
      <c r="BZ123" s="601"/>
      <c r="CA123" s="601"/>
      <c r="CB123" s="601"/>
      <c r="CC123" s="601"/>
      <c r="CD123" s="601"/>
      <c r="CE123" s="601"/>
      <c r="CF123" s="601"/>
      <c r="CG123" s="601"/>
      <c r="CH123" s="601"/>
      <c r="CI123" s="601"/>
      <c r="CJ123" s="601"/>
      <c r="CK123" s="601"/>
      <c r="CL123" s="601"/>
      <c r="CM123" s="601"/>
      <c r="CN123" s="601"/>
      <c r="CO123" s="601"/>
      <c r="CP123" s="601"/>
      <c r="CQ123" s="601"/>
      <c r="CR123" s="601"/>
      <c r="CS123" s="601"/>
      <c r="CT123" s="601"/>
      <c r="CU123" s="601"/>
      <c r="CV123" s="601"/>
      <c r="CW123" s="601"/>
      <c r="CX123" s="601"/>
      <c r="CY123" s="601"/>
      <c r="CZ123" s="601"/>
      <c r="DA123" s="601"/>
      <c r="DB123" s="601"/>
      <c r="DC123" s="601"/>
      <c r="DD123" s="601"/>
      <c r="DE123" s="601"/>
      <c r="DF123" s="601"/>
      <c r="DG123" s="601"/>
      <c r="DH123" s="601"/>
      <c r="DI123" s="601"/>
    </row>
    <row r="124" spans="1:113" s="487" customFormat="1" ht="12.75" customHeight="1" x14ac:dyDescent="0.2">
      <c r="A124" s="180">
        <v>25700</v>
      </c>
      <c r="B124" s="180" t="s">
        <v>297</v>
      </c>
      <c r="C124" s="181">
        <v>36526</v>
      </c>
      <c r="D124" s="181">
        <v>37621</v>
      </c>
      <c r="E124" s="180">
        <v>365</v>
      </c>
      <c r="F124" s="182">
        <v>25000</v>
      </c>
      <c r="G124" s="182">
        <f t="shared" si="39"/>
        <v>9125000</v>
      </c>
      <c r="H124" s="508">
        <f t="shared" si="40"/>
        <v>5.2136000000000005</v>
      </c>
      <c r="I124" s="173">
        <f t="shared" si="41"/>
        <v>0.17150000000000001</v>
      </c>
      <c r="J124" s="170">
        <v>1.8499999999999999E-2</v>
      </c>
      <c r="K124" s="170">
        <v>0.19</v>
      </c>
      <c r="L124" s="484">
        <f t="shared" si="42"/>
        <v>1580131</v>
      </c>
      <c r="M124" s="1022">
        <v>0.91</v>
      </c>
      <c r="N124" s="484">
        <f t="shared" si="43"/>
        <v>153619</v>
      </c>
      <c r="O124" s="484">
        <f t="shared" si="44"/>
        <v>1733750</v>
      </c>
      <c r="P124" s="183" t="s">
        <v>478</v>
      </c>
      <c r="Q124" s="175" t="s">
        <v>566</v>
      </c>
      <c r="R124" s="511" t="s">
        <v>512</v>
      </c>
      <c r="S124" s="511" t="s">
        <v>494</v>
      </c>
      <c r="T124" s="175"/>
      <c r="U124" s="175"/>
    </row>
    <row r="125" spans="1:113" s="487" customFormat="1" ht="12.75" customHeight="1" x14ac:dyDescent="0.2">
      <c r="A125" s="180">
        <v>26125</v>
      </c>
      <c r="B125" s="180" t="s">
        <v>298</v>
      </c>
      <c r="C125" s="181">
        <v>35947</v>
      </c>
      <c r="D125" s="181">
        <v>37772</v>
      </c>
      <c r="E125" s="180">
        <v>365</v>
      </c>
      <c r="F125" s="182">
        <v>8600</v>
      </c>
      <c r="G125" s="182">
        <f t="shared" si="39"/>
        <v>3139000</v>
      </c>
      <c r="H125" s="508">
        <f t="shared" si="40"/>
        <v>3.3895999999999997</v>
      </c>
      <c r="I125" s="173">
        <f t="shared" si="41"/>
        <v>0.1115</v>
      </c>
      <c r="J125" s="170">
        <v>1.8499999999999999E-2</v>
      </c>
      <c r="K125" s="170">
        <v>0.13</v>
      </c>
      <c r="L125" s="484">
        <f t="shared" si="42"/>
        <v>355225</v>
      </c>
      <c r="M125" s="1022">
        <v>0.91</v>
      </c>
      <c r="N125" s="484">
        <f t="shared" si="43"/>
        <v>52845</v>
      </c>
      <c r="O125" s="484">
        <f t="shared" si="44"/>
        <v>408070</v>
      </c>
      <c r="P125" s="183" t="s">
        <v>478</v>
      </c>
      <c r="Q125" s="175" t="s">
        <v>567</v>
      </c>
      <c r="R125" s="511" t="s">
        <v>512</v>
      </c>
      <c r="S125" s="511" t="s">
        <v>494</v>
      </c>
      <c r="T125" s="175"/>
      <c r="U125" s="175"/>
    </row>
    <row r="126" spans="1:113" ht="12.75" customHeight="1" x14ac:dyDescent="0.2">
      <c r="A126" s="180">
        <v>26719</v>
      </c>
      <c r="B126" s="180" t="s">
        <v>568</v>
      </c>
      <c r="C126" s="181" t="s">
        <v>569</v>
      </c>
      <c r="D126" s="181">
        <v>38472</v>
      </c>
      <c r="E126" s="180">
        <v>365</v>
      </c>
      <c r="F126" s="603">
        <v>25000</v>
      </c>
      <c r="G126" s="603">
        <f t="shared" si="39"/>
        <v>9125000</v>
      </c>
      <c r="H126" s="621">
        <f t="shared" si="40"/>
        <v>5.6696</v>
      </c>
      <c r="I126" s="173">
        <f t="shared" si="41"/>
        <v>0.1865</v>
      </c>
      <c r="J126" s="170">
        <v>1.8499999999999999E-2</v>
      </c>
      <c r="K126" s="533">
        <v>0.20499999999999999</v>
      </c>
      <c r="L126" s="484">
        <f t="shared" si="42"/>
        <v>1717006</v>
      </c>
      <c r="M126" s="1022">
        <v>0.91</v>
      </c>
      <c r="N126" s="484">
        <f t="shared" si="43"/>
        <v>153619</v>
      </c>
      <c r="O126" s="484">
        <f t="shared" si="44"/>
        <v>1870625</v>
      </c>
      <c r="P126" s="604" t="s">
        <v>492</v>
      </c>
      <c r="Q126" s="605" t="s">
        <v>570</v>
      </c>
      <c r="R126" s="607" t="s">
        <v>571</v>
      </c>
      <c r="S126" s="607" t="s">
        <v>494</v>
      </c>
      <c r="T126" s="605"/>
      <c r="U126" s="605" t="s">
        <v>558</v>
      </c>
    </row>
    <row r="127" spans="1:113" s="11" customFormat="1" ht="12.75" customHeight="1" x14ac:dyDescent="0.2">
      <c r="A127" s="180">
        <v>26813</v>
      </c>
      <c r="B127" s="180" t="s">
        <v>572</v>
      </c>
      <c r="C127" s="181" t="s">
        <v>569</v>
      </c>
      <c r="D127" s="181">
        <v>39569</v>
      </c>
      <c r="E127" s="180">
        <v>365</v>
      </c>
      <c r="F127" s="603">
        <v>3500</v>
      </c>
      <c r="G127" s="603">
        <f t="shared" si="39"/>
        <v>1277500</v>
      </c>
      <c r="H127" s="621">
        <f t="shared" si="40"/>
        <v>5.2896000000000001</v>
      </c>
      <c r="I127" s="173">
        <f t="shared" si="41"/>
        <v>0.17400000000000002</v>
      </c>
      <c r="J127" s="170">
        <v>1.8499999999999999E-2</v>
      </c>
      <c r="K127" s="533">
        <v>0.1925</v>
      </c>
      <c r="L127" s="484">
        <f t="shared" si="42"/>
        <v>224411.75</v>
      </c>
      <c r="M127" s="1022">
        <v>0.91</v>
      </c>
      <c r="N127" s="484">
        <f t="shared" si="43"/>
        <v>21507</v>
      </c>
      <c r="O127" s="484">
        <f t="shared" si="44"/>
        <v>245918.75</v>
      </c>
      <c r="P127" s="604" t="s">
        <v>492</v>
      </c>
      <c r="Q127" s="605" t="s">
        <v>573</v>
      </c>
      <c r="R127" s="607" t="s">
        <v>571</v>
      </c>
      <c r="S127" s="607" t="s">
        <v>494</v>
      </c>
      <c r="T127" s="605"/>
      <c r="U127" s="605"/>
    </row>
    <row r="128" spans="1:113" s="11" customFormat="1" ht="12.75" customHeight="1" x14ac:dyDescent="0.2">
      <c r="A128" s="180">
        <v>26816</v>
      </c>
      <c r="B128" s="180" t="s">
        <v>27</v>
      </c>
      <c r="C128" s="181" t="s">
        <v>569</v>
      </c>
      <c r="D128" s="181">
        <v>38472</v>
      </c>
      <c r="E128" s="180">
        <v>365</v>
      </c>
      <c r="F128" s="603">
        <v>21500</v>
      </c>
      <c r="G128" s="603">
        <f t="shared" si="39"/>
        <v>7847500</v>
      </c>
      <c r="H128" s="621">
        <f t="shared" si="40"/>
        <v>4.6056000000000008</v>
      </c>
      <c r="I128" s="173">
        <f t="shared" si="41"/>
        <v>0.15150000000000002</v>
      </c>
      <c r="J128" s="170">
        <v>1.8499999999999999E-2</v>
      </c>
      <c r="K128" s="533">
        <v>0.17</v>
      </c>
      <c r="L128" s="484">
        <f t="shared" si="42"/>
        <v>1201962</v>
      </c>
      <c r="M128" s="1022">
        <v>0.91</v>
      </c>
      <c r="N128" s="484">
        <f t="shared" si="43"/>
        <v>132113</v>
      </c>
      <c r="O128" s="484">
        <f t="shared" si="44"/>
        <v>1334075</v>
      </c>
      <c r="P128" s="604" t="s">
        <v>548</v>
      </c>
      <c r="Q128" s="605" t="s">
        <v>574</v>
      </c>
      <c r="R128" s="607" t="s">
        <v>571</v>
      </c>
      <c r="S128" s="607" t="s">
        <v>494</v>
      </c>
      <c r="T128" s="605"/>
      <c r="U128" s="605"/>
    </row>
    <row r="129" spans="1:21" s="11" customFormat="1" ht="12.75" customHeight="1" x14ac:dyDescent="0.2">
      <c r="A129" s="180">
        <v>26884</v>
      </c>
      <c r="B129" s="180" t="s">
        <v>575</v>
      </c>
      <c r="C129" s="181" t="s">
        <v>569</v>
      </c>
      <c r="D129" s="181">
        <v>38656</v>
      </c>
      <c r="E129" s="180">
        <v>365</v>
      </c>
      <c r="F129" s="182">
        <v>40000</v>
      </c>
      <c r="G129" s="182">
        <f t="shared" ref="G129:G135" si="45">SUM(E129*F129)</f>
        <v>14600000</v>
      </c>
      <c r="H129" s="508">
        <f>SUM(I129*30.4)</f>
        <v>5.5936000000000003</v>
      </c>
      <c r="I129" s="173">
        <f t="shared" si="41"/>
        <v>0.18400000000000002</v>
      </c>
      <c r="J129" s="170">
        <v>1.8499999999999999E-2</v>
      </c>
      <c r="K129" s="170">
        <v>0.20250000000000001</v>
      </c>
      <c r="L129" s="484">
        <f t="shared" si="42"/>
        <v>2710709</v>
      </c>
      <c r="M129" s="1022">
        <v>0.91</v>
      </c>
      <c r="N129" s="484">
        <f t="shared" si="43"/>
        <v>245791</v>
      </c>
      <c r="O129" s="484">
        <f t="shared" si="44"/>
        <v>2956500</v>
      </c>
      <c r="P129" s="604" t="s">
        <v>492</v>
      </c>
      <c r="Q129" s="605" t="s">
        <v>573</v>
      </c>
      <c r="R129" s="607" t="s">
        <v>571</v>
      </c>
      <c r="S129" s="607" t="s">
        <v>494</v>
      </c>
      <c r="T129" s="605"/>
      <c r="U129" s="605"/>
    </row>
    <row r="130" spans="1:21" s="11" customFormat="1" ht="12.75" customHeight="1" x14ac:dyDescent="0.2">
      <c r="A130" s="180">
        <v>26960</v>
      </c>
      <c r="B130" s="180" t="s">
        <v>299</v>
      </c>
      <c r="C130" s="181"/>
      <c r="D130" s="181">
        <v>38077</v>
      </c>
      <c r="E130" s="180">
        <f>31+31+28</f>
        <v>90</v>
      </c>
      <c r="F130" s="182">
        <v>20000</v>
      </c>
      <c r="G130" s="182">
        <f t="shared" si="45"/>
        <v>1800000</v>
      </c>
      <c r="H130" s="508">
        <f>SUM(I130*30.4)</f>
        <v>5.2136000000000005</v>
      </c>
      <c r="I130" s="173">
        <f t="shared" si="41"/>
        <v>0.17150000000000001</v>
      </c>
      <c r="J130" s="170">
        <v>1.8499999999999999E-2</v>
      </c>
      <c r="K130" s="170">
        <v>0.19</v>
      </c>
      <c r="L130" s="484">
        <f t="shared" si="42"/>
        <v>311697</v>
      </c>
      <c r="M130" s="1022">
        <v>0.91</v>
      </c>
      <c r="N130" s="484">
        <f t="shared" si="43"/>
        <v>30303</v>
      </c>
      <c r="O130" s="484">
        <f t="shared" si="44"/>
        <v>342000</v>
      </c>
      <c r="P130" s="604" t="s">
        <v>492</v>
      </c>
      <c r="Q130" s="605" t="s">
        <v>573</v>
      </c>
      <c r="R130" s="607" t="s">
        <v>571</v>
      </c>
      <c r="S130" s="607" t="s">
        <v>494</v>
      </c>
      <c r="T130" s="605"/>
      <c r="U130" s="605"/>
    </row>
    <row r="131" spans="1:21" s="11" customFormat="1" ht="12.75" customHeight="1" x14ac:dyDescent="0.2">
      <c r="A131" s="180">
        <v>26960</v>
      </c>
      <c r="B131" s="180" t="s">
        <v>299</v>
      </c>
      <c r="C131" s="181"/>
      <c r="D131" s="181">
        <v>38077</v>
      </c>
      <c r="E131" s="180">
        <f>365-90</f>
        <v>275</v>
      </c>
      <c r="F131" s="182">
        <v>20000</v>
      </c>
      <c r="G131" s="182">
        <f>SUM(E131*F131)</f>
        <v>5500000</v>
      </c>
      <c r="H131" s="508">
        <f>SUM(I131*30.4)</f>
        <v>10.621759999999998</v>
      </c>
      <c r="I131" s="173">
        <f>K131-J131</f>
        <v>0.34939999999999999</v>
      </c>
      <c r="J131" s="170">
        <v>1.8499999999999999E-2</v>
      </c>
      <c r="K131" s="170">
        <v>0.3679</v>
      </c>
      <c r="L131" s="484">
        <f>(SUM(K131*G131))-N131</f>
        <v>1930857</v>
      </c>
      <c r="M131" s="1022">
        <v>0.91</v>
      </c>
      <c r="N131" s="484">
        <f>ROUND(J131*G131*M131,0)</f>
        <v>92593</v>
      </c>
      <c r="O131" s="484">
        <f>L131+N131</f>
        <v>2023450</v>
      </c>
      <c r="P131" s="604"/>
      <c r="Q131" s="605"/>
      <c r="R131" s="607"/>
      <c r="S131" s="607"/>
      <c r="T131" s="605"/>
      <c r="U131" s="605"/>
    </row>
    <row r="132" spans="1:21" s="11" customFormat="1" ht="12.75" customHeight="1" x14ac:dyDescent="0.2">
      <c r="A132" s="180">
        <v>27454</v>
      </c>
      <c r="B132" s="180" t="s">
        <v>289</v>
      </c>
      <c r="C132" s="181">
        <v>37257</v>
      </c>
      <c r="D132" s="181">
        <v>37621</v>
      </c>
      <c r="E132" s="180">
        <v>365</v>
      </c>
      <c r="F132" s="733">
        <v>27500</v>
      </c>
      <c r="G132" s="182">
        <f t="shared" si="45"/>
        <v>10037500</v>
      </c>
      <c r="H132" s="755" t="s">
        <v>618</v>
      </c>
      <c r="I132" s="173">
        <f t="shared" si="41"/>
        <v>1.2515000000000001</v>
      </c>
      <c r="J132" s="170">
        <v>1.8499999999999999E-2</v>
      </c>
      <c r="K132" s="170">
        <v>1.27</v>
      </c>
      <c r="L132" s="484">
        <f t="shared" si="42"/>
        <v>12578644</v>
      </c>
      <c r="M132" s="1022">
        <v>0.91</v>
      </c>
      <c r="N132" s="484">
        <f t="shared" si="43"/>
        <v>168981</v>
      </c>
      <c r="O132" s="484">
        <f t="shared" si="44"/>
        <v>12747625</v>
      </c>
      <c r="P132" s="728" t="s">
        <v>604</v>
      </c>
      <c r="Q132" s="605" t="s">
        <v>573</v>
      </c>
      <c r="R132" s="607" t="s">
        <v>571</v>
      </c>
      <c r="S132" s="607" t="s">
        <v>494</v>
      </c>
      <c r="T132" s="605"/>
      <c r="U132" s="605"/>
    </row>
    <row r="133" spans="1:21" s="11" customFormat="1" ht="12.75" customHeight="1" x14ac:dyDescent="0.2">
      <c r="A133" s="180">
        <v>27456</v>
      </c>
      <c r="B133" s="180" t="s">
        <v>300</v>
      </c>
      <c r="C133" s="181">
        <v>37561</v>
      </c>
      <c r="D133" s="181">
        <v>37621</v>
      </c>
      <c r="E133" s="180">
        <v>61</v>
      </c>
      <c r="F133" s="733">
        <v>21500</v>
      </c>
      <c r="G133" s="182">
        <f t="shared" si="45"/>
        <v>1311500</v>
      </c>
      <c r="H133" s="755" t="s">
        <v>618</v>
      </c>
      <c r="I133" s="173">
        <f t="shared" si="41"/>
        <v>1.0115000000000001</v>
      </c>
      <c r="J133" s="170">
        <v>1.8499999999999999E-2</v>
      </c>
      <c r="K133" s="170">
        <v>1.03</v>
      </c>
      <c r="L133" s="484">
        <f t="shared" si="42"/>
        <v>1328766</v>
      </c>
      <c r="M133" s="1022">
        <v>0.91</v>
      </c>
      <c r="N133" s="484">
        <f t="shared" si="43"/>
        <v>22079</v>
      </c>
      <c r="O133" s="484">
        <f t="shared" si="44"/>
        <v>1350845</v>
      </c>
      <c r="P133" s="728" t="s">
        <v>604</v>
      </c>
      <c r="Q133" s="605" t="s">
        <v>573</v>
      </c>
      <c r="R133" s="607" t="s">
        <v>571</v>
      </c>
      <c r="S133" s="607" t="s">
        <v>494</v>
      </c>
      <c r="T133" s="605"/>
      <c r="U133" s="605"/>
    </row>
    <row r="134" spans="1:21" s="11" customFormat="1" ht="12.75" customHeight="1" x14ac:dyDescent="0.2">
      <c r="A134" s="180">
        <v>27566</v>
      </c>
      <c r="B134" s="180" t="s">
        <v>293</v>
      </c>
      <c r="C134" s="181">
        <v>37316</v>
      </c>
      <c r="D134" s="181">
        <v>39172</v>
      </c>
      <c r="E134" s="180">
        <f>365-61</f>
        <v>304</v>
      </c>
      <c r="F134" s="733">
        <v>20000</v>
      </c>
      <c r="G134" s="182">
        <f t="shared" si="45"/>
        <v>6080000</v>
      </c>
      <c r="H134" s="508">
        <f>SUM(I134*30.4)</f>
        <v>11.18416</v>
      </c>
      <c r="I134" s="173">
        <f>K134-J134</f>
        <v>0.3679</v>
      </c>
      <c r="J134" s="170">
        <v>0</v>
      </c>
      <c r="K134" s="170">
        <v>0.3679</v>
      </c>
      <c r="L134" s="484">
        <f>(SUM(K134*G134))-N134</f>
        <v>2236832</v>
      </c>
      <c r="M134" s="1022">
        <v>0.91</v>
      </c>
      <c r="N134" s="484">
        <f>ROUND(J134*G134*M134,0)</f>
        <v>0</v>
      </c>
      <c r="O134" s="484">
        <f>L134+N134</f>
        <v>2236832</v>
      </c>
      <c r="P134" s="728"/>
      <c r="Q134" s="605"/>
      <c r="R134" s="607"/>
      <c r="S134" s="607"/>
      <c r="T134" s="605"/>
      <c r="U134" s="605"/>
    </row>
    <row r="135" spans="1:21" ht="12.75" customHeight="1" x14ac:dyDescent="0.2">
      <c r="A135" s="180">
        <v>27566</v>
      </c>
      <c r="B135" s="180" t="s">
        <v>293</v>
      </c>
      <c r="C135" s="181" t="s">
        <v>781</v>
      </c>
      <c r="D135" s="181">
        <v>39172</v>
      </c>
      <c r="E135" s="180">
        <f>365-61</f>
        <v>304</v>
      </c>
      <c r="F135" s="736">
        <v>20000</v>
      </c>
      <c r="G135" s="182">
        <f t="shared" si="45"/>
        <v>6080000</v>
      </c>
      <c r="H135" s="508">
        <f>SUM(I135*30.4)</f>
        <v>0.17327999999999999</v>
      </c>
      <c r="I135" s="173">
        <f t="shared" si="41"/>
        <v>5.7000000000000002E-3</v>
      </c>
      <c r="J135" s="170">
        <v>0</v>
      </c>
      <c r="K135" s="170">
        <v>5.7000000000000002E-3</v>
      </c>
      <c r="L135" s="484">
        <f t="shared" si="42"/>
        <v>34656</v>
      </c>
      <c r="M135" s="1022">
        <v>0.91</v>
      </c>
      <c r="N135" s="484">
        <f t="shared" si="43"/>
        <v>0</v>
      </c>
      <c r="O135" s="484">
        <f t="shared" si="44"/>
        <v>34656</v>
      </c>
      <c r="P135" s="728"/>
      <c r="Q135" s="605"/>
      <c r="R135" s="607"/>
      <c r="S135" s="607"/>
      <c r="T135" s="605"/>
      <c r="U135" s="605"/>
    </row>
    <row r="136" spans="1:21" ht="12.75" customHeight="1" x14ac:dyDescent="0.2">
      <c r="A136" s="591"/>
      <c r="B136" s="591"/>
      <c r="C136" s="593"/>
      <c r="D136" s="602"/>
      <c r="F136" s="603"/>
      <c r="G136" s="603"/>
      <c r="H136" s="779"/>
      <c r="I136" s="533"/>
      <c r="J136" s="533"/>
      <c r="K136" s="533"/>
      <c r="L136" s="780"/>
      <c r="M136" s="1025"/>
      <c r="N136" s="616"/>
      <c r="O136" s="616"/>
      <c r="P136" s="536"/>
      <c r="Q136" s="605"/>
      <c r="R136" s="607"/>
      <c r="S136" s="607"/>
      <c r="T136" s="605"/>
      <c r="U136" s="617"/>
    </row>
    <row r="137" spans="1:21" ht="12.75" customHeight="1" x14ac:dyDescent="0.2">
      <c r="A137" s="591"/>
      <c r="B137" s="591"/>
      <c r="C137" s="593"/>
      <c r="D137" s="602"/>
      <c r="F137" s="530"/>
      <c r="G137" s="567"/>
      <c r="H137" s="532"/>
      <c r="I137" s="533"/>
      <c r="J137" s="533"/>
      <c r="K137" s="534"/>
      <c r="L137" s="603"/>
      <c r="M137" s="901"/>
      <c r="N137" s="616"/>
      <c r="O137" s="616"/>
      <c r="P137" s="536"/>
      <c r="Q137" s="605"/>
      <c r="R137" s="607"/>
      <c r="S137" s="607"/>
      <c r="T137" s="605"/>
      <c r="U137" s="617"/>
    </row>
    <row r="138" spans="1:21" x14ac:dyDescent="0.2">
      <c r="A138" s="540" t="s">
        <v>534</v>
      </c>
      <c r="B138" s="540" t="s">
        <v>494</v>
      </c>
      <c r="C138" s="593"/>
      <c r="D138" s="602"/>
      <c r="F138" s="603"/>
      <c r="G138" s="567"/>
      <c r="H138" s="541"/>
      <c r="I138" s="533"/>
      <c r="J138" s="533"/>
      <c r="K138" s="534"/>
      <c r="L138" s="604"/>
      <c r="M138" s="1023"/>
      <c r="N138" s="616"/>
      <c r="O138" s="616"/>
      <c r="P138" s="536"/>
      <c r="Q138" s="605"/>
      <c r="R138" s="607"/>
      <c r="S138" s="607"/>
      <c r="T138" s="605"/>
      <c r="U138" s="617"/>
    </row>
    <row r="139" spans="1:21" ht="12.75" customHeight="1" x14ac:dyDescent="0.2">
      <c r="A139" s="180" t="s">
        <v>780</v>
      </c>
      <c r="B139" s="180" t="s">
        <v>576</v>
      </c>
      <c r="C139" s="579" t="s">
        <v>5</v>
      </c>
      <c r="D139" s="181">
        <v>38835</v>
      </c>
      <c r="E139" s="180">
        <v>365</v>
      </c>
      <c r="F139" s="733">
        <v>20000</v>
      </c>
      <c r="G139" s="182">
        <f t="shared" ref="G139:G149" si="46">SUM(E139*F139)</f>
        <v>7300000</v>
      </c>
      <c r="H139" s="508">
        <f t="shared" ref="H139:H149" si="47">SUM(I139*30.4)</f>
        <v>8.2657600000000002</v>
      </c>
      <c r="I139" s="173">
        <f t="shared" ref="I139:I152" si="48">K139-J139</f>
        <v>0.27190000000000003</v>
      </c>
      <c r="J139" s="565">
        <v>0</v>
      </c>
      <c r="K139" s="170">
        <f>0.2666+0.0053</f>
        <v>0.27190000000000003</v>
      </c>
      <c r="L139" s="484">
        <f t="shared" ref="L139:L152" si="49">(SUM(K139*G139))-N139</f>
        <v>1984870.0000000002</v>
      </c>
      <c r="M139" s="1022">
        <v>1.49</v>
      </c>
      <c r="N139" s="484">
        <f t="shared" ref="N139:N152" si="50">ROUND(J139*G139*M139,0)</f>
        <v>0</v>
      </c>
      <c r="O139" s="484">
        <f t="shared" ref="O139:O152" si="51">L139+N139</f>
        <v>1984870.0000000002</v>
      </c>
      <c r="P139" s="732" t="s">
        <v>292</v>
      </c>
      <c r="Q139" s="583" t="s">
        <v>577</v>
      </c>
      <c r="R139" s="511" t="s">
        <v>534</v>
      </c>
      <c r="S139" s="511" t="s">
        <v>494</v>
      </c>
      <c r="T139" s="168"/>
      <c r="U139" s="168"/>
    </row>
    <row r="140" spans="1:21" ht="12.75" customHeight="1" x14ac:dyDescent="0.2">
      <c r="A140" s="180" t="s">
        <v>780</v>
      </c>
      <c r="B140" s="180" t="s">
        <v>576</v>
      </c>
      <c r="C140" s="579" t="s">
        <v>5</v>
      </c>
      <c r="D140" s="181">
        <v>38835</v>
      </c>
      <c r="E140" s="180">
        <v>61</v>
      </c>
      <c r="F140" s="733">
        <v>20000</v>
      </c>
      <c r="G140" s="182">
        <f>SUM(E140*F140)</f>
        <v>1220000</v>
      </c>
      <c r="H140" s="508">
        <f>SUM(I140*30.4)</f>
        <v>0.16416</v>
      </c>
      <c r="I140" s="173">
        <f>K140-J140</f>
        <v>5.4000000000000003E-3</v>
      </c>
      <c r="J140" s="565">
        <v>0</v>
      </c>
      <c r="K140" s="170">
        <v>5.4000000000000003E-3</v>
      </c>
      <c r="L140" s="484">
        <f>(SUM(K140*G140))-N140</f>
        <v>6588</v>
      </c>
      <c r="M140" s="1022">
        <v>1.49</v>
      </c>
      <c r="N140" s="484">
        <f>ROUND(J140*G140*M140,0)</f>
        <v>0</v>
      </c>
      <c r="O140" s="484">
        <f>L140+N140</f>
        <v>6588</v>
      </c>
      <c r="P140" s="732"/>
      <c r="Q140" s="583"/>
      <c r="R140" s="511"/>
      <c r="S140" s="511"/>
      <c r="T140" s="168"/>
      <c r="U140" s="168"/>
    </row>
    <row r="141" spans="1:21" ht="12.75" customHeight="1" x14ac:dyDescent="0.2">
      <c r="A141" s="180">
        <v>20747</v>
      </c>
      <c r="B141" s="180" t="s">
        <v>578</v>
      </c>
      <c r="C141" s="579" t="s">
        <v>579</v>
      </c>
      <c r="D141" s="181">
        <v>37315</v>
      </c>
      <c r="E141" s="180">
        <f>31+28</f>
        <v>59</v>
      </c>
      <c r="F141" s="733">
        <v>10000</v>
      </c>
      <c r="G141" s="182">
        <f t="shared" si="46"/>
        <v>590000</v>
      </c>
      <c r="H141" s="508">
        <f t="shared" si="47"/>
        <v>8.3174399999999995</v>
      </c>
      <c r="I141" s="173">
        <f t="shared" si="48"/>
        <v>0.27360000000000001</v>
      </c>
      <c r="J141" s="565">
        <v>0</v>
      </c>
      <c r="K141" s="170">
        <f>0.2683+0.0053</f>
        <v>0.27360000000000001</v>
      </c>
      <c r="L141" s="484">
        <f t="shared" si="49"/>
        <v>161424</v>
      </c>
      <c r="M141" s="1022">
        <v>1.49</v>
      </c>
      <c r="N141" s="484">
        <f t="shared" si="50"/>
        <v>0</v>
      </c>
      <c r="O141" s="484">
        <f t="shared" si="51"/>
        <v>161424</v>
      </c>
      <c r="P141" s="732" t="s">
        <v>292</v>
      </c>
      <c r="Q141" s="583" t="s">
        <v>580</v>
      </c>
      <c r="R141" s="511" t="s">
        <v>534</v>
      </c>
      <c r="S141" s="511" t="s">
        <v>494</v>
      </c>
      <c r="T141" s="583"/>
      <c r="U141" s="168"/>
    </row>
    <row r="142" spans="1:21" ht="12.75" customHeight="1" x14ac:dyDescent="0.2">
      <c r="A142" s="180">
        <v>20748</v>
      </c>
      <c r="B142" s="180" t="s">
        <v>578</v>
      </c>
      <c r="C142" s="579" t="s">
        <v>579</v>
      </c>
      <c r="D142" s="181">
        <v>37315</v>
      </c>
      <c r="E142" s="180">
        <v>59</v>
      </c>
      <c r="F142" s="733">
        <v>10000</v>
      </c>
      <c r="G142" s="182">
        <f t="shared" si="46"/>
        <v>590000</v>
      </c>
      <c r="H142" s="508">
        <f t="shared" si="47"/>
        <v>8.3113600000000005</v>
      </c>
      <c r="I142" s="173">
        <f t="shared" si="48"/>
        <v>0.27340000000000003</v>
      </c>
      <c r="J142" s="565">
        <v>0</v>
      </c>
      <c r="K142" s="170">
        <f>0.2681+0.0053</f>
        <v>0.27340000000000003</v>
      </c>
      <c r="L142" s="484">
        <f t="shared" si="49"/>
        <v>161306.00000000003</v>
      </c>
      <c r="M142" s="1022">
        <v>1.49</v>
      </c>
      <c r="N142" s="484">
        <f t="shared" si="50"/>
        <v>0</v>
      </c>
      <c r="O142" s="484">
        <f t="shared" si="51"/>
        <v>161306.00000000003</v>
      </c>
      <c r="P142" s="732" t="s">
        <v>292</v>
      </c>
      <c r="Q142" s="583" t="s">
        <v>580</v>
      </c>
      <c r="R142" s="511" t="s">
        <v>534</v>
      </c>
      <c r="S142" s="511" t="s">
        <v>494</v>
      </c>
      <c r="T142" s="583"/>
      <c r="U142" s="168"/>
    </row>
    <row r="143" spans="1:21" s="487" customFormat="1" ht="12.75" customHeight="1" x14ac:dyDescent="0.2">
      <c r="A143" s="180">
        <v>21165</v>
      </c>
      <c r="B143" s="180" t="s">
        <v>581</v>
      </c>
      <c r="C143" s="579" t="s">
        <v>579</v>
      </c>
      <c r="D143" s="181">
        <v>39172</v>
      </c>
      <c r="E143" s="180">
        <v>365</v>
      </c>
      <c r="F143" s="733">
        <v>150000</v>
      </c>
      <c r="G143" s="182">
        <f t="shared" si="46"/>
        <v>54750000</v>
      </c>
      <c r="H143" s="508">
        <f t="shared" si="47"/>
        <v>8.3235200000000003</v>
      </c>
      <c r="I143" s="173">
        <f t="shared" si="48"/>
        <v>0.27380000000000004</v>
      </c>
      <c r="J143" s="565">
        <v>0</v>
      </c>
      <c r="K143" s="170">
        <f>0.2685+0.0053</f>
        <v>0.27380000000000004</v>
      </c>
      <c r="L143" s="484">
        <f t="shared" si="49"/>
        <v>14990550.000000002</v>
      </c>
      <c r="M143" s="1022">
        <v>1.49</v>
      </c>
      <c r="N143" s="484">
        <f t="shared" si="50"/>
        <v>0</v>
      </c>
      <c r="O143" s="484">
        <f t="shared" si="51"/>
        <v>14990550.000000002</v>
      </c>
      <c r="P143" s="732" t="s">
        <v>292</v>
      </c>
      <c r="Q143" s="583" t="s">
        <v>577</v>
      </c>
      <c r="R143" s="511" t="s">
        <v>534</v>
      </c>
      <c r="S143" s="511" t="s">
        <v>494</v>
      </c>
      <c r="T143" s="583"/>
      <c r="U143" s="168"/>
    </row>
    <row r="144" spans="1:21" s="487" customFormat="1" ht="12.75" customHeight="1" x14ac:dyDescent="0.2">
      <c r="A144" s="180">
        <v>21165</v>
      </c>
      <c r="B144" s="180" t="s">
        <v>581</v>
      </c>
      <c r="C144" s="579" t="s">
        <v>579</v>
      </c>
      <c r="D144" s="181">
        <v>39172</v>
      </c>
      <c r="E144" s="180">
        <v>61</v>
      </c>
      <c r="F144" s="733">
        <v>150000</v>
      </c>
      <c r="G144" s="182">
        <f>SUM(E144*F144)</f>
        <v>9150000</v>
      </c>
      <c r="H144" s="508">
        <f>SUM(I144*30.4)</f>
        <v>0.16416</v>
      </c>
      <c r="I144" s="173">
        <f>K144-J144</f>
        <v>5.4000000000000003E-3</v>
      </c>
      <c r="J144" s="565">
        <v>0</v>
      </c>
      <c r="K144" s="170">
        <v>5.4000000000000003E-3</v>
      </c>
      <c r="L144" s="484">
        <f>(SUM(K144*G144))-N144</f>
        <v>49410</v>
      </c>
      <c r="M144" s="1022">
        <v>1.49</v>
      </c>
      <c r="N144" s="484">
        <f>ROUND(J144*G144*M144,0)</f>
        <v>0</v>
      </c>
      <c r="O144" s="484">
        <f>L144+N144</f>
        <v>49410</v>
      </c>
      <c r="P144" s="732"/>
      <c r="Q144" s="583"/>
      <c r="R144" s="511"/>
      <c r="S144" s="511"/>
      <c r="T144" s="583"/>
      <c r="U144" s="168"/>
    </row>
    <row r="145" spans="1:113" s="601" customFormat="1" ht="12.75" customHeight="1" x14ac:dyDescent="0.2">
      <c r="A145" s="180">
        <v>26372</v>
      </c>
      <c r="B145" s="588" t="s">
        <v>542</v>
      </c>
      <c r="C145" s="579" t="s">
        <v>579</v>
      </c>
      <c r="D145" s="181">
        <v>39172</v>
      </c>
      <c r="E145" s="180">
        <v>365</v>
      </c>
      <c r="F145" s="733">
        <v>25000</v>
      </c>
      <c r="G145" s="182">
        <f t="shared" si="46"/>
        <v>9125000</v>
      </c>
      <c r="H145" s="508">
        <f t="shared" si="47"/>
        <v>8.3204800000000017</v>
      </c>
      <c r="I145" s="173">
        <f t="shared" si="48"/>
        <v>0.27370000000000005</v>
      </c>
      <c r="J145" s="565">
        <v>0</v>
      </c>
      <c r="K145" s="170">
        <f>0.2684+0.0053</f>
        <v>0.27370000000000005</v>
      </c>
      <c r="L145" s="484">
        <f t="shared" si="49"/>
        <v>2497512.5000000005</v>
      </c>
      <c r="M145" s="1022">
        <v>1.49</v>
      </c>
      <c r="N145" s="484">
        <f t="shared" si="50"/>
        <v>0</v>
      </c>
      <c r="O145" s="484">
        <f t="shared" si="51"/>
        <v>2497512.5000000005</v>
      </c>
      <c r="P145" s="732" t="s">
        <v>292</v>
      </c>
      <c r="Q145" s="583" t="s">
        <v>577</v>
      </c>
      <c r="R145" s="511" t="s">
        <v>534</v>
      </c>
      <c r="S145" s="511" t="s">
        <v>494</v>
      </c>
      <c r="T145" s="583"/>
      <c r="U145" s="168"/>
    </row>
    <row r="146" spans="1:113" s="601" customFormat="1" ht="12.75" customHeight="1" x14ac:dyDescent="0.2">
      <c r="A146" s="180">
        <v>26372</v>
      </c>
      <c r="B146" s="588" t="s">
        <v>542</v>
      </c>
      <c r="C146" s="579" t="s">
        <v>579</v>
      </c>
      <c r="D146" s="181">
        <v>39172</v>
      </c>
      <c r="E146" s="180">
        <v>61</v>
      </c>
      <c r="F146" s="733">
        <v>25000</v>
      </c>
      <c r="G146" s="182">
        <f>SUM(E146*F146)</f>
        <v>1525000</v>
      </c>
      <c r="H146" s="508">
        <f>SUM(I146*30.4)</f>
        <v>0.16416</v>
      </c>
      <c r="I146" s="173">
        <f>K146-J146</f>
        <v>5.4000000000000003E-3</v>
      </c>
      <c r="J146" s="565">
        <v>0</v>
      </c>
      <c r="K146" s="170">
        <v>5.4000000000000003E-3</v>
      </c>
      <c r="L146" s="484">
        <f>(SUM(K146*G146))-N146</f>
        <v>8235</v>
      </c>
      <c r="M146" s="1022">
        <v>1.49</v>
      </c>
      <c r="N146" s="484">
        <f>ROUND(J146*G146*M146,0)</f>
        <v>0</v>
      </c>
      <c r="O146" s="484">
        <f>L146+N146</f>
        <v>8235</v>
      </c>
      <c r="P146" s="732"/>
      <c r="Q146" s="583"/>
      <c r="R146" s="511"/>
      <c r="S146" s="511"/>
      <c r="T146" s="583"/>
      <c r="U146" s="168"/>
    </row>
    <row r="147" spans="1:113" s="601" customFormat="1" ht="12.75" customHeight="1" x14ac:dyDescent="0.2">
      <c r="A147" s="180">
        <v>20822</v>
      </c>
      <c r="B147" s="180" t="s">
        <v>582</v>
      </c>
      <c r="C147" s="579" t="s">
        <v>579</v>
      </c>
      <c r="D147" s="181">
        <v>39141</v>
      </c>
      <c r="E147" s="180">
        <v>365</v>
      </c>
      <c r="F147" s="733">
        <v>25000</v>
      </c>
      <c r="G147" s="182">
        <f t="shared" si="46"/>
        <v>9125000</v>
      </c>
      <c r="H147" s="508">
        <f t="shared" si="47"/>
        <v>5.4111999999999991</v>
      </c>
      <c r="I147" s="173">
        <f t="shared" si="48"/>
        <v>0.17799999999999999</v>
      </c>
      <c r="J147" s="565">
        <v>0</v>
      </c>
      <c r="K147" s="170">
        <f>0.1727+0.0053</f>
        <v>0.17799999999999999</v>
      </c>
      <c r="L147" s="484">
        <f t="shared" si="49"/>
        <v>1624250</v>
      </c>
      <c r="M147" s="1022">
        <v>1.49</v>
      </c>
      <c r="N147" s="484">
        <f t="shared" si="50"/>
        <v>0</v>
      </c>
      <c r="O147" s="484">
        <f t="shared" si="51"/>
        <v>1624250</v>
      </c>
      <c r="P147" s="732" t="s">
        <v>292</v>
      </c>
      <c r="Q147" s="175" t="s">
        <v>583</v>
      </c>
      <c r="R147" s="511" t="s">
        <v>534</v>
      </c>
      <c r="S147" s="511" t="s">
        <v>494</v>
      </c>
      <c r="T147" s="175"/>
      <c r="U147" s="168"/>
    </row>
    <row r="148" spans="1:113" s="601" customFormat="1" ht="12.75" customHeight="1" x14ac:dyDescent="0.2">
      <c r="A148" s="180">
        <v>20822</v>
      </c>
      <c r="B148" s="180" t="s">
        <v>582</v>
      </c>
      <c r="C148" s="579" t="s">
        <v>579</v>
      </c>
      <c r="D148" s="181">
        <v>39141</v>
      </c>
      <c r="E148" s="180">
        <v>61</v>
      </c>
      <c r="F148" s="733">
        <v>25000</v>
      </c>
      <c r="G148" s="182">
        <f>SUM(E148*F148)</f>
        <v>1525000</v>
      </c>
      <c r="H148" s="508">
        <f>SUM(I148*30.4)</f>
        <v>0.16416</v>
      </c>
      <c r="I148" s="173">
        <f>K148-J148</f>
        <v>5.4000000000000003E-3</v>
      </c>
      <c r="J148" s="565">
        <v>0</v>
      </c>
      <c r="K148" s="170">
        <v>5.4000000000000003E-3</v>
      </c>
      <c r="L148" s="484">
        <f>(SUM(K148*G148))-N148</f>
        <v>8235</v>
      </c>
      <c r="M148" s="1022">
        <v>1.49</v>
      </c>
      <c r="N148" s="484">
        <f>ROUND(J148*G148*M148,0)</f>
        <v>0</v>
      </c>
      <c r="O148" s="484">
        <f>L148+N148</f>
        <v>8235</v>
      </c>
      <c r="P148" s="732"/>
      <c r="Q148" s="175"/>
      <c r="R148" s="511"/>
      <c r="S148" s="511"/>
      <c r="T148" s="175"/>
      <c r="U148" s="168"/>
    </row>
    <row r="149" spans="1:113" s="601" customFormat="1" ht="12.75" customHeight="1" x14ac:dyDescent="0.2">
      <c r="A149" s="180">
        <v>26678</v>
      </c>
      <c r="B149" s="510" t="s">
        <v>544</v>
      </c>
      <c r="C149" s="579" t="s">
        <v>579</v>
      </c>
      <c r="D149" s="181">
        <v>39172</v>
      </c>
      <c r="E149" s="180">
        <v>365</v>
      </c>
      <c r="F149" s="733">
        <v>25000</v>
      </c>
      <c r="G149" s="182">
        <f t="shared" si="46"/>
        <v>9125000</v>
      </c>
      <c r="H149" s="508">
        <f t="shared" si="47"/>
        <v>8.2809600000000003</v>
      </c>
      <c r="I149" s="173">
        <f t="shared" si="48"/>
        <v>0.27240000000000003</v>
      </c>
      <c r="J149" s="565">
        <v>0</v>
      </c>
      <c r="K149" s="170">
        <f>0.2671+0.0053</f>
        <v>0.27240000000000003</v>
      </c>
      <c r="L149" s="484">
        <f t="shared" si="49"/>
        <v>2485650.0000000005</v>
      </c>
      <c r="M149" s="1022">
        <v>1.49</v>
      </c>
      <c r="N149" s="484">
        <f t="shared" si="50"/>
        <v>0</v>
      </c>
      <c r="O149" s="484">
        <f t="shared" si="51"/>
        <v>2485650.0000000005</v>
      </c>
      <c r="P149" s="732" t="s">
        <v>292</v>
      </c>
      <c r="Q149" s="583" t="s">
        <v>577</v>
      </c>
      <c r="R149" s="511" t="s">
        <v>534</v>
      </c>
      <c r="S149" s="511" t="s">
        <v>494</v>
      </c>
      <c r="T149" s="583"/>
      <c r="U149" s="168"/>
    </row>
    <row r="150" spans="1:113" s="601" customFormat="1" ht="12.75" customHeight="1" x14ac:dyDescent="0.2">
      <c r="A150" s="180">
        <v>26678</v>
      </c>
      <c r="B150" s="510" t="s">
        <v>544</v>
      </c>
      <c r="C150" s="579" t="s">
        <v>579</v>
      </c>
      <c r="D150" s="181">
        <v>39172</v>
      </c>
      <c r="E150" s="180">
        <v>61</v>
      </c>
      <c r="F150" s="733">
        <v>25000</v>
      </c>
      <c r="G150" s="182">
        <f>SUM(E150*F150)</f>
        <v>1525000</v>
      </c>
      <c r="H150" s="508">
        <f>SUM(I150*30.4)</f>
        <v>0.16416</v>
      </c>
      <c r="I150" s="173">
        <f>K150-J150</f>
        <v>5.4000000000000003E-3</v>
      </c>
      <c r="J150" s="565">
        <v>0</v>
      </c>
      <c r="K150" s="170">
        <v>5.4000000000000003E-3</v>
      </c>
      <c r="L150" s="484">
        <f>(SUM(K150*G150))-N150</f>
        <v>8235</v>
      </c>
      <c r="M150" s="1022">
        <v>1.49</v>
      </c>
      <c r="N150" s="484">
        <f>ROUND(J150*G150*M150,0)</f>
        <v>0</v>
      </c>
      <c r="O150" s="484">
        <f>L150+N150</f>
        <v>8235</v>
      </c>
      <c r="P150" s="732" t="s">
        <v>292</v>
      </c>
      <c r="Q150" s="583"/>
      <c r="R150" s="511"/>
      <c r="S150" s="511"/>
      <c r="T150" s="583"/>
      <c r="U150" s="168"/>
    </row>
    <row r="151" spans="1:113" s="601" customFormat="1" ht="12.75" customHeight="1" x14ac:dyDescent="0.2">
      <c r="A151" s="180">
        <v>27583</v>
      </c>
      <c r="B151" s="510" t="s">
        <v>584</v>
      </c>
      <c r="C151" s="623" t="s">
        <v>585</v>
      </c>
      <c r="D151" s="624" t="s">
        <v>586</v>
      </c>
      <c r="E151" s="180">
        <f>31+28+31+30+31</f>
        <v>151</v>
      </c>
      <c r="F151" s="733">
        <v>1300</v>
      </c>
      <c r="G151" s="182">
        <f>SUM(E151*F151)</f>
        <v>196300</v>
      </c>
      <c r="H151" s="508">
        <f>SUM(I151*30.4)</f>
        <v>6.9585599999999994</v>
      </c>
      <c r="I151" s="173">
        <f>K151-J151</f>
        <v>0.22889999999999999</v>
      </c>
      <c r="J151" s="565">
        <v>0</v>
      </c>
      <c r="K151" s="170">
        <v>0.22889999999999999</v>
      </c>
      <c r="L151" s="484">
        <f>(SUM(K151*G151))-N151</f>
        <v>44933.07</v>
      </c>
      <c r="M151" s="1022">
        <v>1.49</v>
      </c>
      <c r="N151" s="484">
        <f>ROUND(J151*G151*M151,0)</f>
        <v>0</v>
      </c>
      <c r="O151" s="484">
        <f>L151+N151</f>
        <v>44933.07</v>
      </c>
      <c r="P151" s="732"/>
      <c r="Q151" s="583"/>
      <c r="R151" s="511"/>
      <c r="S151" s="511"/>
      <c r="T151" s="583"/>
      <c r="U151" s="168"/>
    </row>
    <row r="152" spans="1:113" s="601" customFormat="1" ht="12.75" customHeight="1" x14ac:dyDescent="0.2">
      <c r="A152" s="998">
        <v>27583</v>
      </c>
      <c r="B152" s="1060" t="s">
        <v>584</v>
      </c>
      <c r="C152" s="1061" t="s">
        <v>585</v>
      </c>
      <c r="D152" s="1062" t="s">
        <v>586</v>
      </c>
      <c r="E152" s="998">
        <f>365-151</f>
        <v>214</v>
      </c>
      <c r="F152" s="1063">
        <v>1300</v>
      </c>
      <c r="G152" s="1009">
        <f>SUM(E152*F152)</f>
        <v>278200</v>
      </c>
      <c r="H152" s="1010">
        <f>SUM(I152*30.4)</f>
        <v>0.68703999999999998</v>
      </c>
      <c r="I152" s="1001">
        <f t="shared" si="48"/>
        <v>2.2600000000000002E-2</v>
      </c>
      <c r="J152" s="1040">
        <v>1.7399999999999999E-2</v>
      </c>
      <c r="K152" s="1011">
        <v>0.04</v>
      </c>
      <c r="L152" s="1003">
        <f t="shared" si="49"/>
        <v>3915</v>
      </c>
      <c r="M152" s="1022">
        <v>1.49</v>
      </c>
      <c r="N152" s="484">
        <f t="shared" si="50"/>
        <v>7213</v>
      </c>
      <c r="O152" s="484">
        <f t="shared" si="51"/>
        <v>11128</v>
      </c>
      <c r="P152" s="732"/>
      <c r="Q152" s="583"/>
      <c r="R152" s="511"/>
      <c r="S152" s="511"/>
      <c r="T152" s="583"/>
      <c r="U152" s="168"/>
    </row>
    <row r="153" spans="1:113" s="601" customFormat="1" ht="12.75" customHeight="1" x14ac:dyDescent="0.2">
      <c r="A153" s="591"/>
      <c r="B153" s="591"/>
      <c r="C153" s="489"/>
      <c r="D153" s="602"/>
      <c r="E153" s="35"/>
      <c r="F153" s="603"/>
      <c r="G153" s="603"/>
      <c r="H153" s="779"/>
      <c r="I153" s="533"/>
      <c r="J153" s="533"/>
      <c r="K153" s="533"/>
      <c r="L153" s="604"/>
      <c r="M153" s="1023"/>
      <c r="N153" s="616"/>
      <c r="O153" s="616"/>
      <c r="P153" s="536"/>
      <c r="Q153" s="605"/>
      <c r="R153" s="607"/>
      <c r="S153" s="607"/>
      <c r="T153" s="605"/>
      <c r="U153" s="617"/>
    </row>
    <row r="154" spans="1:113" s="601" customFormat="1" ht="12.75" customHeight="1" x14ac:dyDescent="0.2">
      <c r="A154" s="591"/>
      <c r="B154" s="591"/>
      <c r="C154" s="489"/>
      <c r="D154" s="602"/>
      <c r="E154" s="35"/>
      <c r="F154" s="530"/>
      <c r="G154" s="567"/>
      <c r="H154" s="532"/>
      <c r="I154" s="533"/>
      <c r="J154" s="533"/>
      <c r="K154" s="534"/>
      <c r="L154" s="604"/>
      <c r="M154" s="1023"/>
      <c r="N154" s="616"/>
      <c r="O154" s="616"/>
      <c r="P154" s="536"/>
      <c r="Q154" s="605"/>
      <c r="R154" s="607"/>
      <c r="S154" s="607"/>
      <c r="T154" s="605"/>
      <c r="U154" s="617"/>
    </row>
    <row r="155" spans="1:113" s="512" customFormat="1" ht="12.75" customHeight="1" x14ac:dyDescent="0.2">
      <c r="A155" s="591"/>
      <c r="B155" s="591"/>
      <c r="C155" s="489"/>
      <c r="D155" s="602"/>
      <c r="E155" s="35"/>
      <c r="F155" s="530"/>
      <c r="G155" s="567"/>
      <c r="H155" s="532"/>
      <c r="I155" s="533"/>
      <c r="J155" s="533"/>
      <c r="K155" s="534"/>
      <c r="L155" s="604"/>
      <c r="M155" s="1023"/>
      <c r="N155" s="616"/>
      <c r="O155" s="616"/>
      <c r="P155" s="536"/>
      <c r="Q155" s="605"/>
      <c r="R155" s="607"/>
      <c r="S155" s="607"/>
      <c r="T155" s="605"/>
      <c r="U155" s="617"/>
      <c r="V155" s="601"/>
      <c r="W155" s="601"/>
      <c r="X155" s="601"/>
      <c r="Y155" s="601"/>
      <c r="Z155" s="601"/>
      <c r="AA155" s="601"/>
    </row>
    <row r="156" spans="1:113" s="11" customFormat="1" ht="12.75" customHeight="1" x14ac:dyDescent="0.2">
      <c r="A156" s="488">
        <v>25394</v>
      </c>
      <c r="B156" s="488" t="s">
        <v>297</v>
      </c>
      <c r="C156" s="489" t="s">
        <v>587</v>
      </c>
      <c r="D156" s="489">
        <v>37802</v>
      </c>
      <c r="E156" s="180">
        <f>$E$2</f>
        <v>0</v>
      </c>
      <c r="F156" s="490">
        <v>0</v>
      </c>
      <c r="G156" s="490">
        <f>SUM(E156*F156)</f>
        <v>0</v>
      </c>
      <c r="H156" s="502">
        <f>SUM(I156*30.4)</f>
        <v>0</v>
      </c>
      <c r="I156" s="493">
        <v>0</v>
      </c>
      <c r="J156" s="493">
        <v>0</v>
      </c>
      <c r="K156" s="493">
        <f>SUM(I156+J156)</f>
        <v>0</v>
      </c>
      <c r="L156" s="183">
        <f>SUM(I156*G156)</f>
        <v>0</v>
      </c>
      <c r="M156" s="516"/>
      <c r="N156" s="503">
        <f>SUM(J156*G156)</f>
        <v>0</v>
      </c>
      <c r="O156" s="484">
        <f>L156+N156</f>
        <v>0</v>
      </c>
      <c r="P156" s="503"/>
      <c r="Q156" s="625"/>
      <c r="R156" s="509"/>
      <c r="S156" s="509"/>
      <c r="T156" s="504"/>
      <c r="U156" s="499"/>
    </row>
    <row r="157" spans="1:113" s="11" customFormat="1" ht="12.75" customHeight="1" x14ac:dyDescent="0.2">
      <c r="A157" s="488"/>
      <c r="B157" s="488"/>
      <c r="C157" s="489"/>
      <c r="D157" s="528"/>
      <c r="E157" s="626"/>
      <c r="F157" s="531"/>
      <c r="G157" s="567"/>
      <c r="H157" s="541"/>
      <c r="I157" s="533"/>
      <c r="J157" s="533"/>
      <c r="K157" s="568"/>
      <c r="L157" s="622"/>
      <c r="M157" s="1023"/>
      <c r="N157" s="1059"/>
      <c r="O157" s="1059"/>
      <c r="P157" s="536"/>
      <c r="Q157" s="537"/>
      <c r="R157" s="538"/>
      <c r="S157" s="538"/>
      <c r="T157" s="537"/>
      <c r="U157" s="537"/>
    </row>
    <row r="158" spans="1:113" s="11" customFormat="1" ht="12.75" customHeight="1" x14ac:dyDescent="0.2">
      <c r="A158" s="627"/>
      <c r="B158" s="488"/>
      <c r="C158" s="489"/>
      <c r="D158" s="528"/>
      <c r="E158" s="626"/>
      <c r="F158" s="531"/>
      <c r="G158" s="531"/>
      <c r="H158" s="541"/>
      <c r="I158" s="534"/>
      <c r="J158" s="534"/>
      <c r="K158" s="534"/>
      <c r="L158" s="536">
        <f>SUM(L5:L156)</f>
        <v>156593359.49599999</v>
      </c>
      <c r="M158" s="1023"/>
      <c r="N158" s="536">
        <f>SUM(N5:N156)</f>
        <v>4465794</v>
      </c>
      <c r="O158" s="536">
        <f>SUM(O5:O156)</f>
        <v>161059153.49599999</v>
      </c>
      <c r="P158" s="536"/>
      <c r="Q158" s="537"/>
      <c r="R158" s="538"/>
      <c r="S158" s="538"/>
      <c r="T158" s="537"/>
      <c r="U158" s="537"/>
    </row>
    <row r="159" spans="1:113" s="11" customFormat="1" ht="12.75" customHeight="1" x14ac:dyDescent="0.2">
      <c r="A159" s="488"/>
      <c r="B159" s="488"/>
      <c r="C159" s="489"/>
      <c r="D159" s="489"/>
      <c r="E159" s="488"/>
      <c r="F159" s="490"/>
      <c r="G159" s="490"/>
      <c r="H159" s="502"/>
      <c r="I159" s="493"/>
      <c r="J159" s="493"/>
      <c r="K159" s="493"/>
      <c r="L159" s="183"/>
      <c r="M159" s="516"/>
      <c r="N159" s="503"/>
      <c r="O159" s="503"/>
      <c r="P159" s="503"/>
      <c r="Q159" s="625"/>
      <c r="R159" s="509"/>
      <c r="S159" s="509"/>
      <c r="T159" s="504"/>
      <c r="U159" s="499"/>
    </row>
    <row r="160" spans="1:113" s="570" customFormat="1" ht="12.75" customHeight="1" x14ac:dyDescent="0.2">
      <c r="A160" s="488"/>
      <c r="B160" s="488"/>
      <c r="C160" s="489"/>
      <c r="D160" s="528"/>
      <c r="E160" s="626"/>
      <c r="F160" s="531"/>
      <c r="G160" s="567"/>
      <c r="H160" s="541"/>
      <c r="I160" s="533"/>
      <c r="J160" s="533"/>
      <c r="K160" s="568"/>
      <c r="L160" s="604"/>
      <c r="M160" s="1023"/>
      <c r="N160" s="536"/>
      <c r="O160" s="536"/>
      <c r="P160" s="536"/>
      <c r="Q160" s="537"/>
      <c r="R160" s="538"/>
      <c r="S160" s="538"/>
      <c r="T160" s="537"/>
      <c r="U160" s="537"/>
      <c r="V160" s="618"/>
      <c r="W160" s="618"/>
      <c r="X160" s="618"/>
      <c r="Y160" s="618"/>
      <c r="Z160" s="618"/>
      <c r="AA160" s="618"/>
      <c r="AB160" s="618"/>
      <c r="AC160" s="618"/>
      <c r="AD160" s="618"/>
      <c r="AE160" s="618"/>
      <c r="AF160" s="618"/>
      <c r="AG160" s="618"/>
      <c r="AH160" s="618"/>
      <c r="AI160" s="618"/>
      <c r="AJ160" s="618"/>
      <c r="AK160" s="618"/>
      <c r="AL160" s="618"/>
      <c r="AM160" s="618"/>
      <c r="AN160" s="618"/>
      <c r="AO160" s="618"/>
      <c r="AP160" s="618"/>
      <c r="AQ160" s="618"/>
      <c r="AR160" s="618"/>
      <c r="AS160" s="618"/>
      <c r="AT160" s="618"/>
      <c r="AU160" s="618"/>
      <c r="AV160" s="618"/>
      <c r="AW160" s="618"/>
      <c r="AX160" s="618"/>
      <c r="AY160" s="618"/>
      <c r="AZ160" s="618"/>
      <c r="BA160" s="618"/>
      <c r="BB160" s="618"/>
      <c r="BC160" s="618"/>
      <c r="BD160" s="618"/>
      <c r="BE160" s="618"/>
      <c r="BF160" s="618"/>
      <c r="BG160" s="618"/>
      <c r="BH160" s="618"/>
      <c r="BI160" s="618"/>
      <c r="BJ160" s="618"/>
      <c r="BK160" s="618"/>
      <c r="BL160" s="618"/>
      <c r="BM160" s="618"/>
      <c r="BN160" s="618"/>
      <c r="BO160" s="618"/>
      <c r="BP160" s="618"/>
      <c r="BQ160" s="618"/>
      <c r="BR160" s="618"/>
      <c r="BS160" s="618"/>
      <c r="BT160" s="618"/>
      <c r="BU160" s="618"/>
      <c r="BV160" s="618"/>
      <c r="BW160" s="618"/>
      <c r="BX160" s="618"/>
      <c r="BY160" s="618"/>
      <c r="BZ160" s="618"/>
      <c r="CA160" s="618"/>
      <c r="CB160" s="618"/>
      <c r="CC160" s="618"/>
      <c r="CD160" s="618"/>
      <c r="CE160" s="618"/>
      <c r="CF160" s="618"/>
      <c r="CG160" s="618"/>
      <c r="CH160" s="618"/>
      <c r="CI160" s="618"/>
      <c r="CJ160" s="618"/>
      <c r="CK160" s="618"/>
      <c r="CL160" s="618"/>
      <c r="CM160" s="618"/>
      <c r="CN160" s="618"/>
      <c r="CO160" s="618"/>
      <c r="CP160" s="618"/>
      <c r="CQ160" s="618"/>
      <c r="CR160" s="618"/>
      <c r="CS160" s="618"/>
      <c r="CT160" s="618"/>
      <c r="CU160" s="618"/>
      <c r="CV160" s="618"/>
      <c r="CW160" s="618"/>
      <c r="CX160" s="618"/>
      <c r="CY160" s="618"/>
      <c r="CZ160" s="618"/>
      <c r="DA160" s="618"/>
      <c r="DB160" s="618"/>
      <c r="DC160" s="618"/>
      <c r="DD160" s="618"/>
      <c r="DE160" s="618"/>
      <c r="DF160" s="618"/>
      <c r="DG160" s="618"/>
      <c r="DH160" s="618"/>
      <c r="DI160" s="618"/>
    </row>
    <row r="161" spans="1:113" s="570" customFormat="1" ht="12.75" customHeight="1" x14ac:dyDescent="0.2">
      <c r="A161" s="627"/>
      <c r="B161" s="488"/>
      <c r="C161" s="489"/>
      <c r="D161" s="528"/>
      <c r="E161" s="626"/>
      <c r="F161" s="531"/>
      <c r="G161" s="531"/>
      <c r="H161" s="541"/>
      <c r="I161" s="534"/>
      <c r="J161" s="534"/>
      <c r="K161" s="534"/>
      <c r="L161" s="604"/>
      <c r="M161" s="1023"/>
      <c r="N161" s="536"/>
      <c r="O161" s="536"/>
      <c r="P161" s="536"/>
      <c r="Q161" s="537"/>
      <c r="R161" s="538"/>
      <c r="S161" s="538"/>
      <c r="T161" s="537"/>
      <c r="U161" s="537"/>
      <c r="V161" s="618"/>
      <c r="W161" s="618"/>
      <c r="X161" s="618"/>
      <c r="Y161" s="618"/>
      <c r="Z161" s="618"/>
      <c r="AA161" s="618"/>
      <c r="AB161" s="618"/>
      <c r="AC161" s="618"/>
      <c r="AD161" s="618"/>
      <c r="AE161" s="618"/>
      <c r="AF161" s="618"/>
      <c r="AG161" s="618"/>
      <c r="AH161" s="618"/>
      <c r="AI161" s="618"/>
      <c r="AJ161" s="618"/>
      <c r="AK161" s="618"/>
      <c r="AL161" s="618"/>
      <c r="AM161" s="618"/>
      <c r="AN161" s="618"/>
      <c r="AO161" s="618"/>
      <c r="AP161" s="618"/>
      <c r="AQ161" s="618"/>
      <c r="AR161" s="618"/>
      <c r="AS161" s="618"/>
      <c r="AT161" s="618"/>
      <c r="AU161" s="618"/>
      <c r="AV161" s="618"/>
      <c r="AW161" s="618"/>
      <c r="AX161" s="618"/>
      <c r="AY161" s="618"/>
      <c r="AZ161" s="618"/>
      <c r="BA161" s="618"/>
      <c r="BB161" s="618"/>
      <c r="BC161" s="618"/>
      <c r="BD161" s="618"/>
      <c r="BE161" s="618"/>
      <c r="BF161" s="618"/>
      <c r="BG161" s="618"/>
      <c r="BH161" s="618"/>
      <c r="BI161" s="618"/>
      <c r="BJ161" s="618"/>
      <c r="BK161" s="618"/>
      <c r="BL161" s="618"/>
      <c r="BM161" s="618"/>
      <c r="BN161" s="618"/>
      <c r="BO161" s="618"/>
      <c r="BP161" s="618"/>
      <c r="BQ161" s="618"/>
      <c r="BR161" s="618"/>
      <c r="BS161" s="618"/>
      <c r="BT161" s="618"/>
      <c r="BU161" s="618"/>
      <c r="BV161" s="618"/>
      <c r="BW161" s="618"/>
      <c r="BX161" s="618"/>
      <c r="BY161" s="618"/>
      <c r="BZ161" s="618"/>
      <c r="CA161" s="618"/>
      <c r="CB161" s="618"/>
      <c r="CC161" s="618"/>
      <c r="CD161" s="618"/>
      <c r="CE161" s="618"/>
      <c r="CF161" s="618"/>
      <c r="CG161" s="618"/>
      <c r="CH161" s="618"/>
      <c r="CI161" s="618"/>
      <c r="CJ161" s="618"/>
      <c r="CK161" s="618"/>
      <c r="CL161" s="618"/>
      <c r="CM161" s="618"/>
      <c r="CN161" s="618"/>
      <c r="CO161" s="618"/>
      <c r="CP161" s="618"/>
      <c r="CQ161" s="618"/>
      <c r="CR161" s="618"/>
      <c r="CS161" s="618"/>
      <c r="CT161" s="618"/>
      <c r="CU161" s="618"/>
      <c r="CV161" s="618"/>
      <c r="CW161" s="618"/>
      <c r="CX161" s="618"/>
      <c r="CY161" s="618"/>
      <c r="CZ161" s="618"/>
      <c r="DA161" s="618"/>
      <c r="DB161" s="618"/>
      <c r="DC161" s="618"/>
      <c r="DD161" s="618"/>
      <c r="DE161" s="618"/>
      <c r="DF161" s="618"/>
      <c r="DG161" s="618"/>
      <c r="DH161" s="618"/>
      <c r="DI161" s="618"/>
    </row>
    <row r="162" spans="1:113" x14ac:dyDescent="0.2">
      <c r="A162" s="11"/>
      <c r="B162" s="628"/>
      <c r="C162" s="591"/>
      <c r="D162" s="529"/>
      <c r="E162" s="529"/>
      <c r="F162" s="567"/>
      <c r="G162" s="567"/>
      <c r="H162" s="541"/>
      <c r="I162" s="568"/>
      <c r="J162" s="568"/>
      <c r="K162" s="568"/>
      <c r="L162" s="604"/>
      <c r="M162" s="1023"/>
      <c r="N162" s="616"/>
      <c r="O162" s="616"/>
      <c r="P162" s="616"/>
      <c r="R162" s="549"/>
      <c r="S162" s="549"/>
      <c r="U162" s="629"/>
    </row>
    <row r="163" spans="1:113" x14ac:dyDescent="0.2">
      <c r="A163" s="11"/>
      <c r="B163" s="628"/>
      <c r="C163" s="591"/>
      <c r="D163" s="529"/>
      <c r="E163" s="529"/>
      <c r="F163" s="567"/>
      <c r="G163" s="567"/>
      <c r="H163" s="541"/>
      <c r="I163" s="568"/>
      <c r="J163" s="568"/>
      <c r="K163" s="568"/>
      <c r="L163" s="604"/>
      <c r="M163" s="1023"/>
      <c r="N163" s="616"/>
      <c r="O163" s="616"/>
      <c r="P163" s="616"/>
      <c r="R163" s="549"/>
      <c r="S163" s="549"/>
      <c r="U163" s="629"/>
    </row>
    <row r="164" spans="1:113" x14ac:dyDescent="0.2">
      <c r="A164" s="630"/>
      <c r="B164" s="628"/>
      <c r="C164" s="591"/>
      <c r="D164" s="529"/>
      <c r="E164" s="529"/>
      <c r="F164" s="567"/>
      <c r="G164" s="567"/>
      <c r="H164" s="541"/>
      <c r="I164" s="568"/>
      <c r="J164" s="568"/>
      <c r="K164" s="568"/>
      <c r="L164" s="604"/>
      <c r="M164" s="1023"/>
      <c r="N164" s="616"/>
      <c r="O164" s="616"/>
      <c r="P164" s="616"/>
      <c r="R164" s="549"/>
      <c r="S164" s="549"/>
      <c r="U164" s="629"/>
    </row>
    <row r="165" spans="1:113" x14ac:dyDescent="0.2">
      <c r="A165" s="506"/>
      <c r="B165" s="506"/>
      <c r="C165" s="506"/>
      <c r="D165" s="529"/>
      <c r="E165" s="529"/>
      <c r="F165" s="567"/>
      <c r="G165" s="567"/>
      <c r="H165" s="541"/>
      <c r="I165" s="568"/>
      <c r="J165" s="568"/>
      <c r="L165" s="604"/>
      <c r="M165" s="1023"/>
      <c r="N165" s="616"/>
      <c r="O165" s="616"/>
      <c r="P165" s="616"/>
      <c r="R165" s="549"/>
      <c r="S165" s="549"/>
      <c r="U165" s="629"/>
    </row>
    <row r="166" spans="1:113" x14ac:dyDescent="0.2">
      <c r="A166" s="569"/>
      <c r="B166" s="506"/>
      <c r="C166" s="506"/>
      <c r="D166" s="529"/>
      <c r="E166" s="529"/>
      <c r="F166" s="631"/>
      <c r="G166" s="632"/>
      <c r="H166" s="541"/>
      <c r="I166" s="633"/>
      <c r="J166" s="634"/>
      <c r="K166" s="547"/>
      <c r="L166" s="620"/>
      <c r="M166" s="1026"/>
      <c r="N166" s="536"/>
      <c r="O166" s="635"/>
      <c r="P166" s="536"/>
      <c r="R166" s="549"/>
      <c r="S166" s="549"/>
      <c r="U166" s="629"/>
    </row>
    <row r="167" spans="1:113" x14ac:dyDescent="0.2">
      <c r="A167" s="506"/>
      <c r="B167" s="506"/>
      <c r="C167" s="506"/>
      <c r="D167" s="529"/>
      <c r="E167" s="529"/>
      <c r="F167" s="567"/>
      <c r="G167" s="632"/>
      <c r="H167" s="541"/>
      <c r="I167" s="568"/>
      <c r="J167" s="568"/>
      <c r="L167" s="604"/>
      <c r="M167" s="1023"/>
      <c r="N167" s="616"/>
      <c r="O167" s="616"/>
      <c r="P167" s="616"/>
      <c r="R167" s="549"/>
      <c r="S167" s="549"/>
      <c r="U167" s="629"/>
    </row>
    <row r="168" spans="1:113" x14ac:dyDescent="0.2">
      <c r="A168" s="630"/>
      <c r="B168" s="591"/>
      <c r="C168" s="506"/>
      <c r="D168" s="529"/>
      <c r="E168" s="529"/>
      <c r="F168" s="567"/>
      <c r="G168" s="567"/>
      <c r="H168" s="568"/>
      <c r="I168" s="568"/>
      <c r="J168" s="568"/>
      <c r="L168" s="779"/>
      <c r="M168" s="1027"/>
      <c r="N168" s="636"/>
      <c r="O168" s="636"/>
      <c r="P168" s="636"/>
      <c r="R168" s="549"/>
      <c r="S168" s="549"/>
      <c r="U168" s="629"/>
    </row>
    <row r="169" spans="1:113" x14ac:dyDescent="0.2">
      <c r="A169" s="630"/>
      <c r="B169" s="591"/>
      <c r="C169" s="506"/>
      <c r="D169" s="529"/>
      <c r="E169" s="529"/>
      <c r="F169" s="567"/>
      <c r="G169" s="567"/>
      <c r="H169" s="568"/>
      <c r="I169" s="568"/>
      <c r="J169" s="568"/>
      <c r="L169" s="633"/>
      <c r="M169" s="1028"/>
      <c r="N169" s="634"/>
      <c r="O169" s="534"/>
      <c r="P169" s="534"/>
      <c r="R169" s="549"/>
      <c r="S169" s="549"/>
      <c r="U169" s="629"/>
    </row>
    <row r="170" spans="1:113" x14ac:dyDescent="0.2">
      <c r="A170" s="630"/>
      <c r="B170" s="591"/>
      <c r="C170" s="591"/>
      <c r="D170" s="529"/>
      <c r="E170" s="529"/>
      <c r="F170" s="567"/>
      <c r="G170" s="567"/>
      <c r="H170" s="568"/>
      <c r="I170" s="568"/>
      <c r="J170" s="568"/>
      <c r="L170" s="533"/>
      <c r="M170" s="902"/>
      <c r="N170" s="568"/>
      <c r="O170" s="568"/>
      <c r="P170" s="568"/>
      <c r="R170" s="549"/>
      <c r="S170" s="549"/>
      <c r="U170" s="629"/>
    </row>
    <row r="171" spans="1:113" x14ac:dyDescent="0.2">
      <c r="A171" s="630"/>
      <c r="B171" s="591"/>
      <c r="C171" s="591"/>
      <c r="D171" s="529"/>
      <c r="E171" s="529"/>
      <c r="F171" s="567"/>
      <c r="G171" s="567"/>
      <c r="H171" s="568"/>
      <c r="I171" s="568"/>
      <c r="J171" s="568"/>
      <c r="L171" s="533"/>
      <c r="M171" s="902"/>
      <c r="N171" s="568"/>
      <c r="O171" s="568"/>
      <c r="P171" s="568"/>
      <c r="R171" s="549"/>
      <c r="S171" s="549"/>
      <c r="U171" s="629"/>
    </row>
    <row r="172" spans="1:113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/>
      <c r="L172" s="29"/>
      <c r="M172" s="906"/>
      <c r="N172"/>
      <c r="O172"/>
      <c r="P172"/>
      <c r="Q172"/>
      <c r="R172" s="549"/>
      <c r="S172" s="549"/>
      <c r="U172" s="629"/>
    </row>
    <row r="173" spans="1:113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/>
      <c r="L173" s="29"/>
      <c r="M173" s="906"/>
      <c r="N173"/>
      <c r="O173"/>
      <c r="P173"/>
      <c r="Q173"/>
      <c r="R173" s="549"/>
      <c r="S173" s="549"/>
      <c r="U173" s="629"/>
    </row>
    <row r="174" spans="1:113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/>
      <c r="L174" s="29"/>
      <c r="M174" s="906"/>
      <c r="N174"/>
      <c r="O174"/>
      <c r="P174"/>
      <c r="Q174"/>
      <c r="R174" s="549"/>
      <c r="S174" s="549"/>
      <c r="U174" s="629"/>
    </row>
    <row r="175" spans="1:113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/>
      <c r="L175" s="29"/>
      <c r="M175" s="906"/>
      <c r="N175"/>
      <c r="O175"/>
      <c r="P175"/>
      <c r="Q175"/>
      <c r="R175" s="549"/>
      <c r="S175" s="549"/>
      <c r="U175" s="629"/>
    </row>
    <row r="176" spans="1:113" x14ac:dyDescent="0.2">
      <c r="A176" s="591"/>
      <c r="B176" s="591"/>
      <c r="C176" s="591"/>
      <c r="D176" s="529"/>
      <c r="E176" s="529"/>
      <c r="F176" s="567"/>
      <c r="G176" s="567"/>
      <c r="H176" s="568"/>
      <c r="I176" s="568"/>
      <c r="J176" s="568"/>
      <c r="R176" s="549"/>
      <c r="S176" s="549"/>
      <c r="U176" s="629"/>
    </row>
    <row r="177" spans="1:113" ht="20.25" x14ac:dyDescent="0.3">
      <c r="A177" s="637"/>
      <c r="B177" s="591"/>
      <c r="C177" s="591"/>
      <c r="D177" s="529"/>
      <c r="E177" s="529"/>
      <c r="F177" s="567"/>
      <c r="G177" s="567"/>
      <c r="H177" s="568"/>
      <c r="I177" s="568"/>
      <c r="J177" s="568"/>
      <c r="Q177" s="459">
        <f ca="1">NOW()</f>
        <v>41885.92788761574</v>
      </c>
      <c r="R177" s="638"/>
      <c r="S177" s="638"/>
      <c r="U177" s="629"/>
    </row>
    <row r="178" spans="1:113" x14ac:dyDescent="0.2">
      <c r="A178" s="639"/>
      <c r="B178" s="591"/>
      <c r="C178" s="591"/>
      <c r="D178" s="529"/>
      <c r="E178" s="529"/>
      <c r="F178" s="567"/>
      <c r="G178" s="567"/>
      <c r="H178" s="568"/>
      <c r="I178" s="568"/>
      <c r="J178" s="568"/>
      <c r="R178" s="549"/>
      <c r="S178" s="549"/>
      <c r="U178" s="629"/>
    </row>
    <row r="179" spans="1:113" x14ac:dyDescent="0.2">
      <c r="A179" s="478"/>
      <c r="B179" s="640"/>
      <c r="C179" s="478"/>
      <c r="D179" s="478"/>
      <c r="E179" s="478"/>
      <c r="F179" s="481"/>
      <c r="G179" s="641"/>
      <c r="H179" s="642"/>
      <c r="I179" s="642"/>
      <c r="J179" s="482"/>
      <c r="K179" s="643"/>
      <c r="L179" s="644"/>
      <c r="M179" s="1029"/>
      <c r="N179" s="644"/>
      <c r="O179" s="644"/>
      <c r="P179" s="644"/>
      <c r="Q179" s="479"/>
      <c r="R179" s="645"/>
      <c r="S179" s="645"/>
      <c r="T179" s="479"/>
      <c r="U179" s="646"/>
    </row>
    <row r="180" spans="1:113" x14ac:dyDescent="0.2">
      <c r="A180" s="478"/>
      <c r="B180" s="478"/>
      <c r="C180" s="478"/>
      <c r="D180" s="478"/>
      <c r="E180" s="478"/>
      <c r="F180" s="481"/>
      <c r="G180" s="481"/>
      <c r="H180" s="482"/>
      <c r="I180" s="482"/>
      <c r="J180" s="482"/>
      <c r="K180" s="482"/>
      <c r="L180" s="1034"/>
      <c r="M180" s="1021"/>
      <c r="N180" s="482"/>
      <c r="O180" s="482"/>
      <c r="P180" s="482"/>
      <c r="Q180" s="479"/>
      <c r="R180" s="645"/>
      <c r="S180" s="645"/>
      <c r="T180" s="479"/>
      <c r="U180" s="11"/>
    </row>
    <row r="181" spans="1:113" s="11" customFormat="1" ht="12.75" customHeight="1" x14ac:dyDescent="0.2">
      <c r="A181" s="591"/>
      <c r="B181" s="591"/>
      <c r="C181" s="593"/>
      <c r="D181" s="602"/>
      <c r="E181" s="529"/>
      <c r="F181" s="603"/>
      <c r="G181" s="567"/>
      <c r="H181" s="541"/>
      <c r="I181" s="533"/>
      <c r="J181" s="533"/>
      <c r="K181" s="534"/>
      <c r="L181" s="604"/>
      <c r="M181" s="1023"/>
      <c r="N181" s="616"/>
      <c r="O181" s="616"/>
      <c r="P181" s="536"/>
      <c r="Q181" s="605"/>
      <c r="R181" s="607"/>
      <c r="S181" s="607"/>
      <c r="T181" s="605"/>
      <c r="U181" s="617"/>
    </row>
    <row r="182" spans="1:113" s="11" customFormat="1" ht="12.75" customHeight="1" x14ac:dyDescent="0.2">
      <c r="A182" s="591"/>
      <c r="B182" s="591"/>
      <c r="C182" s="489"/>
      <c r="D182" s="602"/>
      <c r="E182" s="529"/>
      <c r="F182" s="603"/>
      <c r="G182" s="567"/>
      <c r="H182" s="541"/>
      <c r="I182" s="533"/>
      <c r="J182" s="533"/>
      <c r="K182" s="534"/>
      <c r="L182" s="604"/>
      <c r="M182" s="1023"/>
      <c r="N182" s="616"/>
      <c r="O182" s="616"/>
      <c r="P182" s="536"/>
      <c r="Q182" s="605"/>
      <c r="R182" s="607"/>
      <c r="S182" s="607"/>
      <c r="T182" s="605"/>
      <c r="U182" s="617"/>
    </row>
    <row r="183" spans="1:113" s="11" customFormat="1" ht="12.75" customHeight="1" x14ac:dyDescent="0.2">
      <c r="A183" s="591"/>
      <c r="B183" s="591"/>
      <c r="C183" s="593"/>
      <c r="D183" s="602"/>
      <c r="E183" s="529"/>
      <c r="F183" s="530"/>
      <c r="G183" s="567"/>
      <c r="H183" s="541"/>
      <c r="I183" s="533"/>
      <c r="J183" s="533"/>
      <c r="K183" s="534"/>
      <c r="L183" s="604"/>
      <c r="M183" s="1023"/>
      <c r="N183" s="616"/>
      <c r="O183" s="616"/>
      <c r="P183" s="536"/>
      <c r="Q183" s="605"/>
      <c r="R183" s="607"/>
      <c r="S183" s="607"/>
      <c r="T183" s="605"/>
      <c r="U183" s="617"/>
    </row>
    <row r="184" spans="1:113" s="11" customFormat="1" ht="12.75" customHeight="1" x14ac:dyDescent="0.2">
      <c r="A184" s="591"/>
      <c r="B184" s="591"/>
      <c r="C184" s="593"/>
      <c r="D184" s="602"/>
      <c r="E184" s="529"/>
      <c r="F184" s="603"/>
      <c r="G184" s="567"/>
      <c r="H184" s="541"/>
      <c r="I184" s="533"/>
      <c r="J184" s="533"/>
      <c r="K184" s="534"/>
      <c r="L184" s="604"/>
      <c r="M184" s="1023"/>
      <c r="N184" s="616"/>
      <c r="O184" s="616"/>
      <c r="P184" s="536"/>
      <c r="Q184" s="605"/>
      <c r="R184" s="607"/>
      <c r="S184" s="607"/>
      <c r="T184" s="605"/>
      <c r="U184" s="617"/>
    </row>
    <row r="185" spans="1:113" x14ac:dyDescent="0.2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533"/>
      <c r="M185" s="902"/>
      <c r="N185" s="568"/>
      <c r="O185" s="568"/>
      <c r="P185" s="568"/>
      <c r="Q185" s="647"/>
      <c r="R185" s="529"/>
      <c r="S185" s="529"/>
      <c r="T185" s="647"/>
      <c r="U185" s="529"/>
    </row>
    <row r="186" spans="1:113" s="570" customFormat="1" ht="12.75" customHeight="1" x14ac:dyDescent="0.2">
      <c r="A186" s="488"/>
      <c r="B186" s="488"/>
      <c r="C186" s="489"/>
      <c r="D186" s="528"/>
      <c r="E186" s="529"/>
      <c r="F186" s="531"/>
      <c r="G186" s="531"/>
      <c r="H186" s="541"/>
      <c r="I186" s="534"/>
      <c r="J186" s="534"/>
      <c r="K186" s="534"/>
      <c r="L186" s="604"/>
      <c r="M186" s="1023"/>
      <c r="N186" s="536"/>
      <c r="O186" s="536"/>
      <c r="P186" s="536"/>
      <c r="Q186" s="537"/>
      <c r="R186" s="538"/>
      <c r="S186" s="538"/>
      <c r="T186" s="537"/>
      <c r="U186" s="537"/>
      <c r="V186" s="618"/>
      <c r="W186" s="618"/>
      <c r="X186" s="618"/>
      <c r="Y186" s="618"/>
      <c r="Z186" s="618"/>
      <c r="AA186" s="618"/>
      <c r="AB186" s="618"/>
      <c r="AC186" s="618"/>
      <c r="AD186" s="618"/>
      <c r="AE186" s="618"/>
      <c r="AF186" s="618"/>
      <c r="AG186" s="618"/>
      <c r="AH186" s="618"/>
      <c r="AI186" s="618"/>
      <c r="AJ186" s="618"/>
      <c r="AK186" s="618"/>
      <c r="AL186" s="618"/>
      <c r="AM186" s="618"/>
      <c r="AN186" s="618"/>
      <c r="AO186" s="618"/>
      <c r="AP186" s="618"/>
      <c r="AQ186" s="618"/>
      <c r="AR186" s="618"/>
      <c r="AS186" s="618"/>
      <c r="AT186" s="618"/>
      <c r="AU186" s="618"/>
      <c r="AV186" s="618"/>
      <c r="AW186" s="618"/>
      <c r="AX186" s="618"/>
      <c r="AY186" s="618"/>
      <c r="AZ186" s="618"/>
      <c r="BA186" s="618"/>
      <c r="BB186" s="618"/>
      <c r="BC186" s="618"/>
      <c r="BD186" s="618"/>
      <c r="BE186" s="618"/>
      <c r="BF186" s="618"/>
      <c r="BG186" s="618"/>
      <c r="BH186" s="618"/>
      <c r="BI186" s="618"/>
      <c r="BJ186" s="618"/>
      <c r="BK186" s="618"/>
      <c r="BL186" s="618"/>
      <c r="BM186" s="618"/>
      <c r="BN186" s="618"/>
      <c r="BO186" s="618"/>
      <c r="BP186" s="618"/>
      <c r="BQ186" s="618"/>
      <c r="BR186" s="618"/>
      <c r="BS186" s="618"/>
      <c r="BT186" s="618"/>
      <c r="BU186" s="618"/>
      <c r="BV186" s="618"/>
      <c r="BW186" s="618"/>
      <c r="BX186" s="618"/>
      <c r="BY186" s="618"/>
      <c r="BZ186" s="618"/>
      <c r="CA186" s="618"/>
      <c r="CB186" s="618"/>
      <c r="CC186" s="618"/>
      <c r="CD186" s="618"/>
      <c r="CE186" s="618"/>
      <c r="CF186" s="618"/>
      <c r="CG186" s="618"/>
      <c r="CH186" s="618"/>
      <c r="CI186" s="618"/>
      <c r="CJ186" s="618"/>
      <c r="CK186" s="618"/>
      <c r="CL186" s="618"/>
      <c r="CM186" s="618"/>
      <c r="CN186" s="618"/>
      <c r="CO186" s="618"/>
      <c r="CP186" s="618"/>
      <c r="CQ186" s="618"/>
      <c r="CR186" s="618"/>
      <c r="CS186" s="618"/>
      <c r="CT186" s="618"/>
      <c r="CU186" s="618"/>
      <c r="CV186" s="618"/>
      <c r="CW186" s="618"/>
      <c r="CX186" s="618"/>
      <c r="CY186" s="618"/>
      <c r="CZ186" s="618"/>
      <c r="DA186" s="618"/>
      <c r="DB186" s="618"/>
      <c r="DC186" s="618"/>
      <c r="DD186" s="618"/>
      <c r="DE186" s="618"/>
      <c r="DF186" s="618"/>
      <c r="DG186" s="618"/>
      <c r="DH186" s="618"/>
      <c r="DI186" s="618"/>
    </row>
    <row r="187" spans="1:113" s="11" customFormat="1" ht="12.75" customHeight="1" x14ac:dyDescent="0.2">
      <c r="A187" s="648"/>
      <c r="B187" s="591"/>
      <c r="C187" s="593"/>
      <c r="D187" s="602"/>
      <c r="E187" s="529"/>
      <c r="F187" s="603"/>
      <c r="G187" s="567"/>
      <c r="H187" s="541"/>
      <c r="I187" s="533"/>
      <c r="J187" s="533"/>
      <c r="K187" s="534"/>
      <c r="L187" s="604"/>
      <c r="M187" s="1023"/>
      <c r="N187" s="616"/>
      <c r="O187" s="616"/>
      <c r="P187" s="536"/>
      <c r="Q187" s="605"/>
      <c r="R187" s="607"/>
      <c r="S187" s="607"/>
      <c r="T187" s="605"/>
      <c r="U187" s="617"/>
    </row>
    <row r="188" spans="1:113" s="11" customFormat="1" ht="12.75" customHeight="1" x14ac:dyDescent="0.2">
      <c r="A188" s="648"/>
      <c r="B188" s="591"/>
      <c r="C188" s="593"/>
      <c r="D188" s="602"/>
      <c r="E188" s="529"/>
      <c r="F188" s="603"/>
      <c r="G188" s="567"/>
      <c r="H188" s="541"/>
      <c r="I188" s="533"/>
      <c r="J188" s="533"/>
      <c r="K188" s="534"/>
      <c r="L188" s="604"/>
      <c r="M188" s="1023"/>
      <c r="N188" s="616"/>
      <c r="O188" s="616"/>
      <c r="P188" s="536"/>
      <c r="Q188" s="605"/>
      <c r="R188" s="607"/>
      <c r="S188" s="607"/>
      <c r="T188" s="605"/>
      <c r="U188" s="617"/>
    </row>
    <row r="189" spans="1:113" x14ac:dyDescent="0.2">
      <c r="A189" s="529"/>
      <c r="B189" s="529"/>
      <c r="C189" s="529"/>
      <c r="D189" s="529"/>
      <c r="E189" s="529"/>
      <c r="F189" s="567"/>
      <c r="G189" s="11"/>
      <c r="H189" s="568"/>
      <c r="I189" s="568"/>
      <c r="J189" s="568"/>
      <c r="K189" s="568"/>
      <c r="L189" s="604"/>
      <c r="M189" s="1023"/>
      <c r="N189" s="616"/>
      <c r="O189" s="616"/>
      <c r="P189" s="568"/>
      <c r="Q189" s="647"/>
      <c r="R189" s="538"/>
      <c r="S189" s="538"/>
      <c r="T189" s="647"/>
      <c r="U189" s="617"/>
    </row>
    <row r="190" spans="1:113" x14ac:dyDescent="0.2">
      <c r="A190" s="529"/>
      <c r="B190" s="529"/>
      <c r="C190" s="529"/>
      <c r="D190" s="529"/>
      <c r="E190" s="529"/>
      <c r="F190" s="567"/>
      <c r="G190" s="11"/>
      <c r="H190" s="568"/>
      <c r="I190" s="568"/>
      <c r="J190" s="568"/>
      <c r="K190" s="568"/>
      <c r="L190" s="604"/>
      <c r="M190" s="1023"/>
      <c r="N190" s="616"/>
      <c r="O190" s="616"/>
      <c r="P190" s="568"/>
      <c r="Q190" s="647"/>
      <c r="R190" s="538"/>
      <c r="S190" s="538"/>
      <c r="T190" s="647"/>
      <c r="U190" s="617"/>
    </row>
    <row r="191" spans="1:113" x14ac:dyDescent="0.2">
      <c r="A191" s="529"/>
      <c r="B191" s="529"/>
      <c r="C191" s="529"/>
      <c r="D191" s="529"/>
      <c r="E191" s="529"/>
      <c r="F191" s="567"/>
      <c r="G191" s="11"/>
      <c r="H191" s="568"/>
      <c r="I191" s="568"/>
      <c r="J191" s="568"/>
      <c r="K191" s="568"/>
      <c r="L191" s="604"/>
      <c r="M191" s="1023"/>
      <c r="N191" s="616"/>
      <c r="O191" s="616"/>
      <c r="P191" s="568"/>
      <c r="Q191" s="647"/>
      <c r="R191" s="538"/>
      <c r="S191" s="538"/>
      <c r="T191" s="647"/>
      <c r="U191" s="617"/>
    </row>
    <row r="192" spans="1:113" x14ac:dyDescent="0.2">
      <c r="A192" s="529"/>
      <c r="B192" s="529"/>
      <c r="C192" s="529"/>
      <c r="D192" s="529"/>
      <c r="E192" s="529"/>
      <c r="F192" s="567"/>
      <c r="G192" s="567"/>
      <c r="H192" s="568"/>
      <c r="I192" s="568"/>
      <c r="J192" s="568"/>
      <c r="K192" s="568"/>
      <c r="L192" s="1036"/>
      <c r="M192" s="1030"/>
      <c r="N192" s="616"/>
      <c r="O192" s="616"/>
      <c r="P192" s="568"/>
      <c r="Q192" s="647"/>
      <c r="R192" s="538"/>
      <c r="S192" s="538"/>
      <c r="T192" s="647"/>
      <c r="U192" s="617"/>
    </row>
    <row r="193" spans="1:21" x14ac:dyDescent="0.2">
      <c r="A193" s="529"/>
      <c r="B193" s="529"/>
      <c r="C193" s="529"/>
      <c r="D193" s="529"/>
      <c r="E193" s="529"/>
      <c r="F193" s="567"/>
      <c r="G193" s="632"/>
      <c r="H193" s="568"/>
      <c r="I193" s="568"/>
      <c r="J193" s="568"/>
      <c r="K193" s="568"/>
      <c r="L193" s="620"/>
      <c r="M193" s="1026"/>
      <c r="N193" s="536"/>
      <c r="O193" s="635"/>
      <c r="P193" s="568"/>
      <c r="Q193" s="647"/>
      <c r="R193" s="538"/>
      <c r="S193" s="538"/>
      <c r="T193" s="647"/>
      <c r="U193" s="617"/>
    </row>
    <row r="194" spans="1:21" ht="15.75" x14ac:dyDescent="0.25">
      <c r="A194" s="650"/>
      <c r="B194" s="529"/>
      <c r="C194" s="529"/>
      <c r="D194" s="529"/>
      <c r="E194" s="529"/>
      <c r="F194" s="567"/>
      <c r="G194" s="632"/>
      <c r="H194" s="568"/>
      <c r="I194" s="568"/>
      <c r="J194" s="568"/>
      <c r="K194" s="568"/>
      <c r="L194" s="604"/>
      <c r="M194" s="1023"/>
      <c r="N194" s="616"/>
      <c r="O194" s="616"/>
      <c r="P194" s="568"/>
      <c r="Q194" s="647"/>
      <c r="R194" s="538"/>
      <c r="S194" s="538"/>
      <c r="T194" s="647"/>
      <c r="U194" s="617"/>
    </row>
    <row r="195" spans="1:21" x14ac:dyDescent="0.2">
      <c r="A195" s="529"/>
      <c r="B195" s="529"/>
      <c r="C195" s="529"/>
      <c r="D195" s="529"/>
      <c r="E195" s="529"/>
      <c r="F195" s="567"/>
      <c r="G195" s="632"/>
      <c r="H195" s="568"/>
      <c r="I195" s="568"/>
      <c r="J195" s="568"/>
      <c r="K195" s="568"/>
      <c r="L195" s="779"/>
      <c r="M195" s="1027"/>
      <c r="N195" s="636"/>
      <c r="O195" s="636"/>
      <c r="P195" s="568"/>
      <c r="Q195" s="647"/>
      <c r="R195" s="538"/>
      <c r="S195" s="538"/>
      <c r="T195" s="647"/>
      <c r="U195" s="617"/>
    </row>
    <row r="196" spans="1:21" x14ac:dyDescent="0.2">
      <c r="A196" s="529"/>
      <c r="B196" s="529"/>
      <c r="C196" s="529"/>
      <c r="D196" s="529"/>
      <c r="E196" s="529"/>
      <c r="F196" s="567"/>
      <c r="G196" s="632"/>
      <c r="H196" s="568"/>
      <c r="I196" s="568"/>
      <c r="J196" s="568"/>
      <c r="K196" s="568"/>
      <c r="L196" s="633"/>
      <c r="M196" s="1028"/>
      <c r="N196" s="634"/>
      <c r="O196" s="534"/>
      <c r="P196" s="568"/>
      <c r="Q196" s="647"/>
      <c r="R196" s="538"/>
      <c r="S196" s="538"/>
      <c r="T196" s="647"/>
      <c r="U196" s="617"/>
    </row>
    <row r="197" spans="1:21" x14ac:dyDescent="0.2">
      <c r="A197" s="529"/>
      <c r="B197" s="529"/>
      <c r="C197" s="529"/>
      <c r="D197" s="529"/>
      <c r="E197" s="529"/>
      <c r="F197" s="567"/>
      <c r="G197" s="567"/>
      <c r="H197" s="568"/>
      <c r="I197" s="568"/>
      <c r="J197" s="568"/>
      <c r="K197" s="568"/>
      <c r="L197" s="533"/>
      <c r="M197" s="902"/>
      <c r="N197" s="568"/>
      <c r="O197" s="568"/>
      <c r="P197" s="568"/>
      <c r="Q197" s="647"/>
      <c r="R197" s="538"/>
      <c r="S197" s="538"/>
      <c r="T197" s="647"/>
      <c r="U197" s="617"/>
    </row>
    <row r="198" spans="1:21" x14ac:dyDescent="0.2">
      <c r="A198" s="529"/>
      <c r="B198" s="529"/>
      <c r="C198" s="529"/>
      <c r="D198" s="529"/>
      <c r="E198" s="529"/>
      <c r="F198" s="567"/>
      <c r="G198" s="567"/>
      <c r="H198" s="568"/>
      <c r="I198" s="568"/>
      <c r="J198" s="568"/>
      <c r="K198" s="568"/>
      <c r="L198" s="533"/>
      <c r="M198" s="902"/>
      <c r="N198" s="568"/>
      <c r="O198" s="568"/>
      <c r="P198" s="568"/>
      <c r="Q198" s="647"/>
      <c r="R198" s="538"/>
      <c r="S198" s="538"/>
      <c r="T198" s="647"/>
      <c r="U198" s="617"/>
    </row>
    <row r="199" spans="1:21" x14ac:dyDescent="0.2">
      <c r="A199" s="529"/>
      <c r="B199" s="529"/>
      <c r="C199" s="529"/>
      <c r="D199" s="529"/>
      <c r="E199" s="529"/>
      <c r="F199" s="567"/>
      <c r="G199" s="567"/>
      <c r="H199" s="568"/>
      <c r="I199" s="568"/>
      <c r="J199" s="568"/>
      <c r="K199" s="568"/>
      <c r="L199" s="533"/>
      <c r="M199" s="902"/>
      <c r="N199" s="568"/>
      <c r="O199" s="568"/>
      <c r="P199" s="568"/>
      <c r="Q199" s="647"/>
      <c r="R199" s="538"/>
      <c r="S199" s="538"/>
      <c r="T199" s="647"/>
      <c r="U199" s="617"/>
    </row>
    <row r="200" spans="1:21" x14ac:dyDescent="0.2">
      <c r="A200" s="529"/>
      <c r="B200" s="529"/>
      <c r="C200" s="529"/>
      <c r="D200" s="529"/>
      <c r="E200" s="529"/>
      <c r="F200" s="567"/>
      <c r="G200" s="567"/>
      <c r="H200" s="568"/>
      <c r="I200" s="568"/>
      <c r="J200" s="568"/>
      <c r="K200" s="568"/>
      <c r="L200" s="1037"/>
      <c r="M200" s="1031"/>
      <c r="N200" s="568"/>
      <c r="O200" s="568"/>
      <c r="P200" s="568"/>
      <c r="Q200" s="647"/>
      <c r="R200" s="538"/>
      <c r="S200" s="538"/>
      <c r="T200" s="647"/>
      <c r="U200" s="617"/>
    </row>
    <row r="201" spans="1:21" ht="20.25" x14ac:dyDescent="0.3">
      <c r="A201" s="652"/>
      <c r="B201" s="529"/>
      <c r="C201" s="529"/>
      <c r="D201" s="529"/>
      <c r="E201" s="529"/>
      <c r="F201" s="567"/>
      <c r="G201" s="567"/>
      <c r="H201" s="568"/>
      <c r="I201" s="568"/>
      <c r="J201" s="568"/>
      <c r="K201" s="568"/>
      <c r="L201" s="533"/>
      <c r="M201" s="902"/>
      <c r="N201" s="568"/>
      <c r="O201" s="568"/>
      <c r="P201" s="568"/>
      <c r="Q201" s="647"/>
      <c r="R201" s="538"/>
      <c r="S201" s="538"/>
      <c r="T201" s="647"/>
      <c r="U201" s="617"/>
    </row>
    <row r="202" spans="1:21" x14ac:dyDescent="0.2">
      <c r="A202" s="529"/>
      <c r="B202" s="529"/>
      <c r="C202" s="529"/>
      <c r="D202" s="529"/>
      <c r="E202" s="529"/>
      <c r="F202" s="567"/>
      <c r="G202" s="567"/>
      <c r="H202" s="568"/>
      <c r="I202" s="568"/>
      <c r="J202" s="568"/>
      <c r="R202" s="549"/>
      <c r="S202" s="549"/>
      <c r="U202" s="629"/>
    </row>
    <row r="203" spans="1:21" x14ac:dyDescent="0.2">
      <c r="A203" s="529"/>
      <c r="B203" s="529"/>
      <c r="C203" s="529"/>
      <c r="D203" s="529"/>
      <c r="E203" s="529"/>
      <c r="F203" s="567"/>
      <c r="G203" s="567"/>
      <c r="H203" s="568"/>
      <c r="I203" s="568"/>
      <c r="J203" s="568"/>
      <c r="R203" s="549"/>
      <c r="S203" s="549"/>
      <c r="U203" s="629"/>
    </row>
    <row r="204" spans="1:21" x14ac:dyDescent="0.2">
      <c r="A204" s="529"/>
      <c r="B204" s="616"/>
      <c r="C204" s="616"/>
      <c r="D204" s="616"/>
      <c r="E204" s="529"/>
      <c r="F204" s="567"/>
      <c r="G204" s="567"/>
      <c r="H204" s="568"/>
      <c r="I204" s="568"/>
      <c r="J204" s="568"/>
      <c r="R204" s="549"/>
      <c r="S204" s="549"/>
      <c r="U204" s="629"/>
    </row>
    <row r="205" spans="1:21" x14ac:dyDescent="0.2">
      <c r="A205" s="529"/>
      <c r="B205" s="616"/>
      <c r="C205" s="616"/>
      <c r="D205" s="616"/>
      <c r="E205" s="529"/>
      <c r="F205" s="567"/>
      <c r="G205" s="567"/>
      <c r="H205" s="568"/>
      <c r="I205" s="568"/>
      <c r="J205" s="568"/>
      <c r="R205" s="549"/>
      <c r="S205" s="549"/>
      <c r="U205" s="629"/>
    </row>
    <row r="206" spans="1:21" x14ac:dyDescent="0.2">
      <c r="A206" s="529"/>
      <c r="B206" s="616"/>
      <c r="C206" s="616"/>
      <c r="D206" s="616"/>
      <c r="E206" s="529"/>
      <c r="F206" s="567"/>
      <c r="G206" s="567"/>
      <c r="H206" s="568"/>
      <c r="I206" s="568"/>
      <c r="J206" s="568"/>
      <c r="R206" s="549"/>
      <c r="S206" s="549"/>
      <c r="U206" s="629"/>
    </row>
    <row r="207" spans="1:21" x14ac:dyDescent="0.2">
      <c r="A207" s="529"/>
      <c r="B207" s="649"/>
      <c r="C207" s="616"/>
      <c r="D207" s="616"/>
      <c r="E207" s="529"/>
      <c r="F207" s="567"/>
      <c r="G207" s="567"/>
      <c r="H207" s="568"/>
      <c r="I207" s="568"/>
      <c r="J207" s="568"/>
      <c r="R207" s="549"/>
      <c r="S207" s="549"/>
      <c r="U207" s="629"/>
    </row>
    <row r="208" spans="1:21" x14ac:dyDescent="0.2">
      <c r="A208" s="529"/>
      <c r="B208" s="620"/>
      <c r="C208" s="536"/>
      <c r="D208" s="635"/>
      <c r="E208" s="529"/>
      <c r="F208" s="567"/>
      <c r="G208" s="567"/>
      <c r="H208" s="568"/>
      <c r="I208" s="568"/>
      <c r="J208" s="568"/>
      <c r="R208" s="549"/>
      <c r="S208" s="549"/>
      <c r="U208" s="629"/>
    </row>
    <row r="209" spans="1:21" x14ac:dyDescent="0.2">
      <c r="A209" s="529"/>
      <c r="B209" s="616"/>
      <c r="C209" s="616"/>
      <c r="D209" s="616"/>
      <c r="E209" s="529"/>
      <c r="F209" s="567"/>
      <c r="G209" s="567"/>
      <c r="H209" s="568"/>
      <c r="I209" s="568"/>
      <c r="J209" s="568"/>
      <c r="R209" s="549"/>
      <c r="S209" s="549"/>
      <c r="U209" s="629"/>
    </row>
    <row r="210" spans="1:21" x14ac:dyDescent="0.2">
      <c r="B210" s="653" t="e">
        <f>B207/G204</f>
        <v>#DIV/0!</v>
      </c>
      <c r="C210" s="654" t="e">
        <f>+C207/G204</f>
        <v>#DIV/0!</v>
      </c>
      <c r="D210" s="655" t="e">
        <f>+D207/G204</f>
        <v>#DIV/0!</v>
      </c>
      <c r="R210" s="549"/>
      <c r="S210" s="549"/>
      <c r="U210" s="629"/>
    </row>
    <row r="211" spans="1:21" x14ac:dyDescent="0.2">
      <c r="B211" s="656" t="s">
        <v>589</v>
      </c>
      <c r="C211" s="634" t="s">
        <v>590</v>
      </c>
      <c r="D211" s="657" t="s">
        <v>591</v>
      </c>
      <c r="R211" s="549"/>
      <c r="S211" s="549"/>
      <c r="U211" s="629"/>
    </row>
    <row r="212" spans="1:21" ht="13.5" thickBot="1" x14ac:dyDescent="0.25">
      <c r="B212" s="658"/>
      <c r="C212" s="659"/>
      <c r="D212" s="660"/>
      <c r="R212" s="549"/>
      <c r="S212" s="549"/>
      <c r="U212" s="629"/>
    </row>
    <row r="213" spans="1:21" x14ac:dyDescent="0.2">
      <c r="A213"/>
      <c r="B213"/>
      <c r="C213"/>
      <c r="D213"/>
      <c r="E213"/>
      <c r="F213"/>
      <c r="G213"/>
      <c r="H213"/>
      <c r="I213"/>
      <c r="J213"/>
      <c r="K213"/>
      <c r="L213" s="29"/>
      <c r="M213" s="906"/>
      <c r="N213"/>
      <c r="O213"/>
      <c r="P213"/>
      <c r="Q213"/>
      <c r="R213" s="549"/>
      <c r="S213" s="549"/>
      <c r="T213"/>
      <c r="U213"/>
    </row>
    <row r="214" spans="1:21" x14ac:dyDescent="0.2">
      <c r="R214" s="549"/>
      <c r="S214" s="549"/>
      <c r="U214" s="629"/>
    </row>
    <row r="215" spans="1:21" x14ac:dyDescent="0.2">
      <c r="R215" s="549"/>
      <c r="S215" s="549"/>
      <c r="U215" s="629"/>
    </row>
    <row r="216" spans="1:21" x14ac:dyDescent="0.2">
      <c r="R216" s="549"/>
      <c r="S216" s="549"/>
      <c r="U216" s="629"/>
    </row>
    <row r="217" spans="1:21" x14ac:dyDescent="0.2">
      <c r="U217" s="629"/>
    </row>
    <row r="218" spans="1:21" x14ac:dyDescent="0.2">
      <c r="U218" s="629"/>
    </row>
    <row r="219" spans="1:21" x14ac:dyDescent="0.2">
      <c r="U219" s="629"/>
    </row>
    <row r="220" spans="1:21" x14ac:dyDescent="0.2">
      <c r="U220" s="629"/>
    </row>
    <row r="221" spans="1:21" x14ac:dyDescent="0.2">
      <c r="U221" s="629"/>
    </row>
    <row r="222" spans="1:21" x14ac:dyDescent="0.2">
      <c r="U222" s="629"/>
    </row>
    <row r="223" spans="1:21" x14ac:dyDescent="0.2">
      <c r="U223" s="629"/>
    </row>
    <row r="224" spans="1:21" x14ac:dyDescent="0.2">
      <c r="U224" s="629"/>
    </row>
    <row r="225" spans="21:21" x14ac:dyDescent="0.2">
      <c r="U225" s="629"/>
    </row>
    <row r="226" spans="21:21" x14ac:dyDescent="0.2">
      <c r="U226" s="629"/>
    </row>
    <row r="227" spans="21:21" x14ac:dyDescent="0.2">
      <c r="U227" s="629"/>
    </row>
    <row r="228" spans="21:21" x14ac:dyDescent="0.2">
      <c r="U228" s="629"/>
    </row>
    <row r="229" spans="21:21" x14ac:dyDescent="0.2">
      <c r="U229" s="629"/>
    </row>
    <row r="230" spans="21:21" x14ac:dyDescent="0.2">
      <c r="U230" s="629"/>
    </row>
    <row r="231" spans="21:21" x14ac:dyDescent="0.2">
      <c r="U231" s="629"/>
    </row>
    <row r="232" spans="21:21" x14ac:dyDescent="0.2">
      <c r="U232" s="629"/>
    </row>
    <row r="233" spans="21:21" x14ac:dyDescent="0.2">
      <c r="U233" s="629"/>
    </row>
    <row r="234" spans="21:21" x14ac:dyDescent="0.2">
      <c r="U234" s="629"/>
    </row>
    <row r="235" spans="21:21" x14ac:dyDescent="0.2">
      <c r="U235" s="629"/>
    </row>
    <row r="236" spans="21:21" x14ac:dyDescent="0.2">
      <c r="U236" s="629"/>
    </row>
    <row r="237" spans="21:21" x14ac:dyDescent="0.2">
      <c r="U237" s="629"/>
    </row>
    <row r="238" spans="21:21" x14ac:dyDescent="0.2">
      <c r="U238" s="629"/>
    </row>
    <row r="239" spans="21:21" x14ac:dyDescent="0.2">
      <c r="U239" s="629"/>
    </row>
    <row r="240" spans="21:21" x14ac:dyDescent="0.2">
      <c r="U240" s="629"/>
    </row>
    <row r="241" spans="1:22" x14ac:dyDescent="0.2">
      <c r="U241" s="629"/>
    </row>
    <row r="242" spans="1:22" x14ac:dyDescent="0.2">
      <c r="U242" s="629"/>
    </row>
    <row r="243" spans="1:22" x14ac:dyDescent="0.2">
      <c r="U243" s="629"/>
    </row>
    <row r="244" spans="1:22" x14ac:dyDescent="0.2">
      <c r="U244" s="629"/>
    </row>
    <row r="245" spans="1:22" x14ac:dyDescent="0.2">
      <c r="U245" s="629"/>
    </row>
    <row r="246" spans="1:22" x14ac:dyDescent="0.2">
      <c r="U246" s="629"/>
    </row>
    <row r="247" spans="1:22" x14ac:dyDescent="0.2">
      <c r="A247" s="488"/>
      <c r="B247" s="488"/>
      <c r="C247" s="489"/>
      <c r="D247" s="528"/>
      <c r="E247" s="626"/>
      <c r="F247" s="531"/>
      <c r="G247" s="531"/>
      <c r="H247" s="541"/>
      <c r="I247" s="534"/>
      <c r="J247" s="534"/>
      <c r="K247" s="534"/>
      <c r="L247" s="604"/>
      <c r="M247" s="1023"/>
      <c r="N247" s="536"/>
      <c r="O247" s="536"/>
      <c r="P247" s="536"/>
      <c r="Q247" s="537"/>
      <c r="R247" s="626"/>
      <c r="S247" s="626"/>
      <c r="T247" s="537"/>
      <c r="U247" s="537"/>
      <c r="V247" s="618"/>
    </row>
    <row r="248" spans="1:22" ht="20.25" x14ac:dyDescent="0.3">
      <c r="A248" s="461"/>
      <c r="Q248" s="459"/>
      <c r="R248" s="460"/>
      <c r="S248" s="460"/>
      <c r="T248" s="459"/>
      <c r="U248" s="460"/>
    </row>
    <row r="249" spans="1:22" x14ac:dyDescent="0.2">
      <c r="A249" s="464"/>
      <c r="B249" s="465"/>
      <c r="C249" s="464"/>
      <c r="D249" s="464"/>
      <c r="E249" s="464"/>
      <c r="F249" s="466"/>
      <c r="G249" s="467"/>
      <c r="H249" s="468"/>
      <c r="I249" s="468"/>
      <c r="J249" s="469"/>
      <c r="K249" s="470"/>
      <c r="L249" s="471"/>
      <c r="M249" s="1019"/>
      <c r="N249" s="471"/>
      <c r="O249" s="471"/>
      <c r="P249" s="471"/>
      <c r="Q249" s="472"/>
      <c r="R249" s="464"/>
      <c r="S249" s="464"/>
      <c r="T249" s="472"/>
      <c r="U249" s="473"/>
    </row>
    <row r="250" spans="1:22" ht="13.5" thickBot="1" x14ac:dyDescent="0.25">
      <c r="A250" s="474"/>
      <c r="B250" s="474"/>
      <c r="C250" s="474"/>
      <c r="D250" s="474"/>
      <c r="E250" s="474"/>
      <c r="F250" s="475"/>
      <c r="G250" s="475"/>
      <c r="H250" s="476"/>
      <c r="I250" s="476"/>
      <c r="J250" s="476"/>
      <c r="K250" s="476"/>
      <c r="L250" s="1033"/>
      <c r="M250" s="1020"/>
      <c r="N250" s="476"/>
      <c r="O250" s="476"/>
      <c r="P250" s="476"/>
      <c r="Q250" s="477"/>
      <c r="R250" s="478"/>
      <c r="S250" s="478"/>
      <c r="T250" s="479"/>
      <c r="U250" s="453"/>
    </row>
    <row r="251" spans="1:22" x14ac:dyDescent="0.2">
      <c r="A251"/>
      <c r="B251"/>
      <c r="C251"/>
      <c r="D251"/>
      <c r="E251"/>
      <c r="F251"/>
      <c r="G251"/>
      <c r="H251"/>
      <c r="I251"/>
      <c r="J251"/>
      <c r="K251"/>
      <c r="L251" s="29"/>
      <c r="M251" s="906"/>
      <c r="N251"/>
      <c r="O251"/>
      <c r="P251"/>
      <c r="Q251"/>
      <c r="T251"/>
      <c r="U251"/>
      <c r="V251" s="618"/>
    </row>
    <row r="252" spans="1:22" x14ac:dyDescent="0.2">
      <c r="U252" s="629"/>
    </row>
    <row r="253" spans="1:22" x14ac:dyDescent="0.2">
      <c r="U253" s="629"/>
    </row>
    <row r="254" spans="1:22" x14ac:dyDescent="0.2">
      <c r="U254" s="629"/>
    </row>
    <row r="255" spans="1:22" x14ac:dyDescent="0.2">
      <c r="U255" s="629"/>
    </row>
    <row r="256" spans="1:22" x14ac:dyDescent="0.2">
      <c r="U256" s="629"/>
    </row>
    <row r="257" spans="21:21" x14ac:dyDescent="0.2">
      <c r="U257" s="629"/>
    </row>
    <row r="258" spans="21:21" x14ac:dyDescent="0.2">
      <c r="U258" s="629"/>
    </row>
    <row r="259" spans="21:21" x14ac:dyDescent="0.2">
      <c r="U259" s="629"/>
    </row>
    <row r="260" spans="21:21" x14ac:dyDescent="0.2">
      <c r="U260" s="629"/>
    </row>
    <row r="261" spans="21:21" x14ac:dyDescent="0.2">
      <c r="U261" s="629"/>
    </row>
    <row r="262" spans="21:21" x14ac:dyDescent="0.2">
      <c r="U262" s="629"/>
    </row>
    <row r="263" spans="21:21" x14ac:dyDescent="0.2">
      <c r="U263" s="629"/>
    </row>
    <row r="264" spans="21:21" x14ac:dyDescent="0.2">
      <c r="U264" s="629"/>
    </row>
    <row r="265" spans="21:21" x14ac:dyDescent="0.2">
      <c r="U265" s="629"/>
    </row>
    <row r="266" spans="21:21" x14ac:dyDescent="0.2">
      <c r="U266" s="629"/>
    </row>
    <row r="267" spans="21:21" x14ac:dyDescent="0.2">
      <c r="U267" s="629"/>
    </row>
    <row r="268" spans="21:21" x14ac:dyDescent="0.2">
      <c r="U268" s="629"/>
    </row>
    <row r="269" spans="21:21" x14ac:dyDescent="0.2">
      <c r="U269" s="629"/>
    </row>
    <row r="270" spans="21:21" x14ac:dyDescent="0.2">
      <c r="U270" s="629"/>
    </row>
    <row r="271" spans="21:21" x14ac:dyDescent="0.2">
      <c r="U271" s="629"/>
    </row>
    <row r="272" spans="21:21" x14ac:dyDescent="0.2">
      <c r="U272" s="629"/>
    </row>
    <row r="273" spans="21:21" x14ac:dyDescent="0.2">
      <c r="U273" s="629"/>
    </row>
    <row r="274" spans="21:21" x14ac:dyDescent="0.2">
      <c r="U274" s="629"/>
    </row>
    <row r="275" spans="21:21" x14ac:dyDescent="0.2">
      <c r="U275" s="629"/>
    </row>
    <row r="276" spans="21:21" x14ac:dyDescent="0.2">
      <c r="U276" s="629"/>
    </row>
    <row r="277" spans="21:21" x14ac:dyDescent="0.2">
      <c r="U277" s="629"/>
    </row>
    <row r="278" spans="21:21" x14ac:dyDescent="0.2">
      <c r="U278" s="629"/>
    </row>
    <row r="279" spans="21:21" x14ac:dyDescent="0.2">
      <c r="U279" s="629"/>
    </row>
    <row r="280" spans="21:21" x14ac:dyDescent="0.2">
      <c r="U280" s="629"/>
    </row>
    <row r="281" spans="21:21" x14ac:dyDescent="0.2">
      <c r="U281" s="629"/>
    </row>
    <row r="282" spans="21:21" x14ac:dyDescent="0.2">
      <c r="U282" s="629"/>
    </row>
    <row r="283" spans="21:21" x14ac:dyDescent="0.2">
      <c r="U283" s="629"/>
    </row>
    <row r="284" spans="21:21" x14ac:dyDescent="0.2">
      <c r="U284" s="629"/>
    </row>
    <row r="285" spans="21:21" x14ac:dyDescent="0.2">
      <c r="U285" s="629"/>
    </row>
    <row r="286" spans="21:21" x14ac:dyDescent="0.2">
      <c r="U286" s="629"/>
    </row>
    <row r="287" spans="21:21" x14ac:dyDescent="0.2">
      <c r="U287" s="629"/>
    </row>
    <row r="288" spans="21:21" x14ac:dyDescent="0.2">
      <c r="U288" s="629"/>
    </row>
    <row r="289" spans="21:21" x14ac:dyDescent="0.2">
      <c r="U289" s="629"/>
    </row>
    <row r="290" spans="21:21" x14ac:dyDescent="0.2">
      <c r="U290" s="629"/>
    </row>
    <row r="291" spans="21:21" x14ac:dyDescent="0.2">
      <c r="U291" s="629"/>
    </row>
    <row r="292" spans="21:21" x14ac:dyDescent="0.2">
      <c r="U292" s="629"/>
    </row>
    <row r="293" spans="21:21" x14ac:dyDescent="0.2">
      <c r="U293" s="629"/>
    </row>
    <row r="294" spans="21:21" x14ac:dyDescent="0.2">
      <c r="U294" s="629"/>
    </row>
    <row r="295" spans="21:21" x14ac:dyDescent="0.2">
      <c r="U295" s="629"/>
    </row>
    <row r="296" spans="21:21" x14ac:dyDescent="0.2">
      <c r="U296" s="629"/>
    </row>
    <row r="297" spans="21:21" x14ac:dyDescent="0.2">
      <c r="U297" s="629"/>
    </row>
    <row r="298" spans="21:21" x14ac:dyDescent="0.2">
      <c r="U298" s="629"/>
    </row>
    <row r="299" spans="21:21" x14ac:dyDescent="0.2">
      <c r="U299" s="629"/>
    </row>
    <row r="300" spans="21:21" x14ac:dyDescent="0.2">
      <c r="U300" s="629"/>
    </row>
    <row r="301" spans="21:21" x14ac:dyDescent="0.2">
      <c r="U301" s="629"/>
    </row>
    <row r="302" spans="21:21" x14ac:dyDescent="0.2">
      <c r="U302" s="629"/>
    </row>
    <row r="303" spans="21:21" x14ac:dyDescent="0.2">
      <c r="U303" s="629"/>
    </row>
    <row r="304" spans="21:21" x14ac:dyDescent="0.2">
      <c r="U304" s="629"/>
    </row>
    <row r="305" spans="21:21" x14ac:dyDescent="0.2">
      <c r="U305" s="629"/>
    </row>
    <row r="306" spans="21:21" x14ac:dyDescent="0.2">
      <c r="U306" s="629"/>
    </row>
    <row r="307" spans="21:21" x14ac:dyDescent="0.2">
      <c r="U307" s="629"/>
    </row>
    <row r="308" spans="21:21" x14ac:dyDescent="0.2">
      <c r="U308" s="629"/>
    </row>
    <row r="309" spans="21:21" x14ac:dyDescent="0.2">
      <c r="U309" s="629"/>
    </row>
    <row r="310" spans="21:21" x14ac:dyDescent="0.2">
      <c r="U310" s="629"/>
    </row>
    <row r="311" spans="21:21" x14ac:dyDescent="0.2">
      <c r="U311" s="629"/>
    </row>
    <row r="312" spans="21:21" x14ac:dyDescent="0.2">
      <c r="U312" s="629"/>
    </row>
    <row r="313" spans="21:21" x14ac:dyDescent="0.2">
      <c r="U313" s="629"/>
    </row>
    <row r="314" spans="21:21" x14ac:dyDescent="0.2">
      <c r="U314" s="629"/>
    </row>
    <row r="315" spans="21:21" x14ac:dyDescent="0.2">
      <c r="U315" s="629"/>
    </row>
    <row r="316" spans="21:21" x14ac:dyDescent="0.2">
      <c r="U316" s="629"/>
    </row>
    <row r="317" spans="21:21" x14ac:dyDescent="0.2">
      <c r="U317" s="629"/>
    </row>
    <row r="318" spans="21:21" x14ac:dyDescent="0.2">
      <c r="U318" s="629"/>
    </row>
    <row r="319" spans="21:21" x14ac:dyDescent="0.2">
      <c r="U319" s="629"/>
    </row>
    <row r="320" spans="21:21" x14ac:dyDescent="0.2">
      <c r="U320" s="629"/>
    </row>
    <row r="321" spans="21:21" x14ac:dyDescent="0.2">
      <c r="U321" s="629"/>
    </row>
    <row r="322" spans="21:21" x14ac:dyDescent="0.2">
      <c r="U322" s="629"/>
    </row>
    <row r="323" spans="21:21" x14ac:dyDescent="0.2">
      <c r="U323" s="629"/>
    </row>
    <row r="324" spans="21:21" x14ac:dyDescent="0.2">
      <c r="U324" s="629"/>
    </row>
    <row r="325" spans="21:21" x14ac:dyDescent="0.2">
      <c r="U325" s="629"/>
    </row>
    <row r="326" spans="21:21" x14ac:dyDescent="0.2">
      <c r="U326" s="629"/>
    </row>
    <row r="327" spans="21:21" x14ac:dyDescent="0.2">
      <c r="U327" s="629"/>
    </row>
    <row r="328" spans="21:21" x14ac:dyDescent="0.2">
      <c r="U328" s="629"/>
    </row>
    <row r="329" spans="21:21" x14ac:dyDescent="0.2">
      <c r="U329" s="629"/>
    </row>
    <row r="330" spans="21:21" x14ac:dyDescent="0.2">
      <c r="U330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15"/>
  <sheetViews>
    <sheetView topLeftCell="A62" zoomScale="75" workbookViewId="0">
      <selection activeCell="C88" sqref="C88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5.7109375" style="1032" customWidth="1"/>
    <col min="13" max="13" width="14.7109375" style="1018" customWidth="1"/>
    <col min="14" max="14" width="13.140625" style="458" customWidth="1"/>
    <col min="15" max="15" width="14.85546875" style="458" customWidth="1"/>
    <col min="16" max="16" width="19.5703125" style="458" customWidth="1"/>
    <col min="17" max="17" width="27.85546875" style="561" customWidth="1"/>
    <col min="18" max="18" width="6" style="35" customWidth="1"/>
    <col min="19" max="19" width="6.42578125" style="35" customWidth="1"/>
    <col min="20" max="20" width="2.7109375" style="561" customWidth="1"/>
    <col min="21" max="21" width="13.140625" style="35" customWidth="1"/>
  </cols>
  <sheetData>
    <row r="1" spans="1:113" ht="8.25" customHeight="1" x14ac:dyDescent="0.25">
      <c r="A1" s="457"/>
      <c r="Q1" s="459"/>
      <c r="R1" s="460"/>
      <c r="S1" s="460"/>
      <c r="T1" s="459"/>
      <c r="U1" s="460"/>
    </row>
    <row r="2" spans="1:113" ht="20.25" x14ac:dyDescent="0.3">
      <c r="A2" s="461" t="s">
        <v>784</v>
      </c>
      <c r="Q2" s="462">
        <f ca="1">NOW()</f>
        <v>41885.92788761574</v>
      </c>
      <c r="R2" s="463"/>
      <c r="S2" s="463"/>
      <c r="T2" s="459"/>
      <c r="U2" s="460"/>
    </row>
    <row r="3" spans="1:113" x14ac:dyDescent="0.2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5" si="0">SUM(E6*F6)</f>
        <v>5392814</v>
      </c>
      <c r="H6" s="483">
        <f t="shared" ref="H6:H19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93" customFormat="1" x14ac:dyDescent="0.2">
      <c r="A7" s="488">
        <v>24754</v>
      </c>
      <c r="B7" s="488" t="s">
        <v>313</v>
      </c>
      <c r="C7" s="489" t="s">
        <v>481</v>
      </c>
      <c r="D7" s="185">
        <v>38472</v>
      </c>
      <c r="E7" s="180">
        <v>365</v>
      </c>
      <c r="F7" s="490">
        <v>1000</v>
      </c>
      <c r="G7" s="491">
        <f t="shared" si="0"/>
        <v>365000</v>
      </c>
      <c r="H7" s="492">
        <f t="shared" si="1"/>
        <v>2.7603200000000001</v>
      </c>
      <c r="I7" s="173">
        <f t="shared" ref="I7:I20" si="2">K7-J7</f>
        <v>9.0800000000000006E-2</v>
      </c>
      <c r="J7" s="493">
        <v>9.1999999999999998E-3</v>
      </c>
      <c r="K7" s="494">
        <v>0.1</v>
      </c>
      <c r="L7" s="484">
        <f t="shared" ref="L7:L20" si="3">(SUM(K7*G7))-N7</f>
        <v>34787</v>
      </c>
      <c r="M7" s="1022">
        <v>0.51</v>
      </c>
      <c r="N7" s="484">
        <f t="shared" ref="N7:N20" si="4">ROUND(J7*G7*M7,0)</f>
        <v>1713</v>
      </c>
      <c r="O7" s="484">
        <f t="shared" ref="O7:O20" si="5">L7+N7</f>
        <v>36500</v>
      </c>
      <c r="P7" s="495" t="s">
        <v>482</v>
      </c>
      <c r="Q7" s="496" t="s">
        <v>483</v>
      </c>
      <c r="R7" s="497" t="s">
        <v>477</v>
      </c>
      <c r="S7" s="497" t="s">
        <v>477</v>
      </c>
      <c r="T7" s="498"/>
      <c r="U7" s="499"/>
      <c r="V7" s="498"/>
      <c r="W7" s="498"/>
      <c r="X7" s="498"/>
      <c r="Y7" s="498"/>
      <c r="Z7" s="498"/>
      <c r="AA7" s="498"/>
      <c r="AB7" s="498"/>
      <c r="AC7" s="500"/>
      <c r="AD7" s="500"/>
      <c r="AE7" s="500"/>
      <c r="AF7" s="501"/>
      <c r="AG7" s="501"/>
      <c r="AH7" s="501"/>
      <c r="AI7" s="501"/>
      <c r="AJ7" s="501"/>
    </row>
    <row r="8" spans="1:113" s="506" customFormat="1" ht="12.75" customHeight="1" x14ac:dyDescent="0.2">
      <c r="A8" s="488">
        <v>25031</v>
      </c>
      <c r="B8" s="488" t="s">
        <v>314</v>
      </c>
      <c r="C8" s="181" t="s">
        <v>587</v>
      </c>
      <c r="D8" s="489">
        <v>39051</v>
      </c>
      <c r="E8" s="180"/>
      <c r="F8" s="490"/>
      <c r="G8" s="490"/>
      <c r="H8" s="502">
        <f t="shared" si="1"/>
        <v>0</v>
      </c>
      <c r="I8" s="173">
        <f t="shared" si="2"/>
        <v>0</v>
      </c>
      <c r="J8" s="493">
        <v>0</v>
      </c>
      <c r="K8" s="493">
        <v>0</v>
      </c>
      <c r="L8" s="484">
        <f t="shared" si="3"/>
        <v>0</v>
      </c>
      <c r="M8" s="1022">
        <v>0.51</v>
      </c>
      <c r="N8" s="484">
        <f t="shared" si="4"/>
        <v>0</v>
      </c>
      <c r="O8" s="484">
        <f t="shared" si="5"/>
        <v>0</v>
      </c>
      <c r="P8" s="503" t="s">
        <v>478</v>
      </c>
      <c r="Q8" s="504" t="s">
        <v>484</v>
      </c>
      <c r="R8" s="505" t="s">
        <v>477</v>
      </c>
      <c r="S8" s="505" t="s">
        <v>477</v>
      </c>
      <c r="T8" s="504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739" customFormat="1" x14ac:dyDescent="0.2">
      <c r="A9" s="180">
        <v>25394</v>
      </c>
      <c r="B9" s="180" t="s">
        <v>621</v>
      </c>
      <c r="C9" s="181" t="s">
        <v>587</v>
      </c>
      <c r="D9" s="181"/>
      <c r="E9" s="180"/>
      <c r="F9" s="733">
        <v>5000</v>
      </c>
      <c r="G9" s="182">
        <f t="shared" si="0"/>
        <v>0</v>
      </c>
      <c r="H9" s="508">
        <f t="shared" si="1"/>
        <v>0</v>
      </c>
      <c r="I9" s="173">
        <f t="shared" si="2"/>
        <v>0</v>
      </c>
      <c r="J9" s="170">
        <v>0</v>
      </c>
      <c r="K9" s="170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183" t="s">
        <v>622</v>
      </c>
      <c r="Q9" s="175"/>
      <c r="R9" s="509"/>
      <c r="S9" s="509"/>
      <c r="T9" s="175"/>
      <c r="U9" s="766"/>
      <c r="V9" s="738"/>
      <c r="W9" s="738"/>
      <c r="X9" s="738"/>
      <c r="Y9" s="738"/>
      <c r="Z9" s="738"/>
      <c r="AA9" s="738"/>
      <c r="AB9" s="738"/>
      <c r="AC9" s="738"/>
      <c r="AD9" s="738"/>
      <c r="AE9" s="738"/>
      <c r="AF9" s="738"/>
      <c r="AG9" s="738"/>
      <c r="AH9" s="738"/>
      <c r="AI9" s="738"/>
      <c r="AJ9" s="738"/>
    </row>
    <row r="10" spans="1:113" s="501" customFormat="1" x14ac:dyDescent="0.2">
      <c r="A10" s="180" t="s">
        <v>765</v>
      </c>
      <c r="B10" s="180" t="s">
        <v>284</v>
      </c>
      <c r="C10" s="181">
        <v>36100</v>
      </c>
      <c r="D10" s="181">
        <v>37925</v>
      </c>
      <c r="E10" s="180">
        <v>365</v>
      </c>
      <c r="F10" s="182">
        <v>40000</v>
      </c>
      <c r="G10" s="182">
        <f t="shared" si="0"/>
        <v>14600000</v>
      </c>
      <c r="H10" s="508">
        <f t="shared" si="1"/>
        <v>1.8483200000000002</v>
      </c>
      <c r="I10" s="173">
        <f t="shared" si="2"/>
        <v>6.0800000000000007E-2</v>
      </c>
      <c r="J10" s="170">
        <v>9.1999999999999998E-3</v>
      </c>
      <c r="K10" s="170">
        <v>7.0000000000000007E-2</v>
      </c>
      <c r="L10" s="484">
        <f t="shared" si="3"/>
        <v>953497.00000000012</v>
      </c>
      <c r="M10" s="1022">
        <v>0.51</v>
      </c>
      <c r="N10" s="484">
        <f t="shared" si="4"/>
        <v>68503</v>
      </c>
      <c r="O10" s="484">
        <f t="shared" si="5"/>
        <v>1022000.0000000001</v>
      </c>
      <c r="P10" s="183" t="s">
        <v>488</v>
      </c>
      <c r="Q10" s="510" t="s">
        <v>489</v>
      </c>
      <c r="R10" s="511" t="s">
        <v>477</v>
      </c>
      <c r="S10" s="511" t="s">
        <v>490</v>
      </c>
      <c r="T10" s="175"/>
      <c r="U10" s="175" t="s">
        <v>491</v>
      </c>
      <c r="V10" s="168"/>
      <c r="W10" s="168"/>
      <c r="X10" s="168"/>
      <c r="Y10" s="168"/>
      <c r="Z10" s="168"/>
      <c r="AA10" s="168"/>
      <c r="AB10" s="168"/>
      <c r="AC10" s="498"/>
      <c r="AD10" s="498"/>
      <c r="AE10" s="498"/>
      <c r="AF10" s="193"/>
      <c r="AG10" s="193"/>
      <c r="AH10" s="193"/>
      <c r="AI10" s="193"/>
      <c r="AJ10" s="193"/>
    </row>
    <row r="11" spans="1:113" s="501" customFormat="1" ht="12.75" customHeight="1" x14ac:dyDescent="0.2">
      <c r="A11" s="488">
        <v>26740</v>
      </c>
      <c r="B11" s="488" t="s">
        <v>766</v>
      </c>
      <c r="C11" s="489">
        <v>36312</v>
      </c>
      <c r="D11" s="489">
        <v>39113</v>
      </c>
      <c r="E11" s="180">
        <v>365</v>
      </c>
      <c r="F11" s="490">
        <v>8000</v>
      </c>
      <c r="G11" s="490">
        <f t="shared" si="0"/>
        <v>2920000</v>
      </c>
      <c r="H11" s="502">
        <f t="shared" si="1"/>
        <v>1.2403200000000001</v>
      </c>
      <c r="I11" s="173">
        <f t="shared" si="2"/>
        <v>4.0800000000000003E-2</v>
      </c>
      <c r="J11" s="170">
        <v>9.1999999999999998E-3</v>
      </c>
      <c r="K11" s="493">
        <v>0.05</v>
      </c>
      <c r="L11" s="484">
        <f t="shared" si="3"/>
        <v>132299</v>
      </c>
      <c r="M11" s="1022">
        <v>0.51</v>
      </c>
      <c r="N11" s="484">
        <f t="shared" si="4"/>
        <v>13701</v>
      </c>
      <c r="O11" s="484">
        <f t="shared" si="5"/>
        <v>146000</v>
      </c>
      <c r="P11" s="503" t="s">
        <v>492</v>
      </c>
      <c r="Q11" s="175" t="s">
        <v>493</v>
      </c>
      <c r="R11" s="505" t="s">
        <v>477</v>
      </c>
      <c r="S11" s="505" t="s">
        <v>494</v>
      </c>
      <c r="T11" s="498"/>
      <c r="U11" s="498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06"/>
      <c r="AG11" s="506"/>
      <c r="AH11" s="506"/>
      <c r="AI11" s="506"/>
      <c r="AJ11" s="506"/>
      <c r="AK11" s="513"/>
      <c r="AL11" s="513"/>
      <c r="AM11" s="513"/>
      <c r="AN11" s="513"/>
      <c r="AO11" s="513"/>
      <c r="AP11" s="513"/>
      <c r="AQ11" s="513"/>
      <c r="AR11" s="513"/>
      <c r="AS11" s="513"/>
      <c r="AT11" s="513"/>
      <c r="AU11" s="513"/>
      <c r="AV11" s="513"/>
      <c r="AW11" s="513"/>
      <c r="AX11" s="513"/>
      <c r="AY11" s="513"/>
      <c r="AZ11" s="513"/>
      <c r="BA11" s="513"/>
      <c r="BB11" s="513"/>
      <c r="BC11" s="513"/>
      <c r="BD11" s="513"/>
      <c r="BE11" s="513"/>
      <c r="BF11" s="513"/>
      <c r="BG11" s="513"/>
      <c r="BH11" s="513"/>
      <c r="BI11" s="513"/>
      <c r="BJ11" s="513"/>
      <c r="BK11" s="513"/>
      <c r="BL11" s="513"/>
      <c r="BM11" s="513"/>
      <c r="BN11" s="513"/>
      <c r="BO11" s="513"/>
      <c r="BP11" s="513"/>
      <c r="BQ11" s="513"/>
      <c r="BR11" s="513"/>
      <c r="BS11" s="513"/>
      <c r="BT11" s="513"/>
      <c r="BU11" s="513"/>
      <c r="BV11" s="513"/>
      <c r="BW11" s="513"/>
      <c r="BX11" s="513"/>
      <c r="BY11" s="513"/>
      <c r="BZ11" s="513"/>
      <c r="CA11" s="513"/>
      <c r="CB11" s="513"/>
      <c r="CC11" s="513"/>
      <c r="CD11" s="513"/>
      <c r="CE11" s="513"/>
      <c r="CF11" s="513"/>
      <c r="CG11" s="513"/>
      <c r="CH11" s="513"/>
      <c r="CI11" s="513"/>
      <c r="CJ11" s="513"/>
      <c r="CK11" s="513"/>
      <c r="CL11" s="513"/>
      <c r="CM11" s="513"/>
      <c r="CN11" s="513"/>
      <c r="CO11" s="513"/>
      <c r="CP11" s="513"/>
      <c r="CQ11" s="513"/>
      <c r="CR11" s="513"/>
      <c r="CS11" s="513"/>
      <c r="CT11" s="513"/>
      <c r="CU11" s="513"/>
      <c r="CV11" s="513"/>
      <c r="CW11" s="513"/>
      <c r="CX11" s="513"/>
      <c r="CY11" s="513"/>
      <c r="CZ11" s="513"/>
      <c r="DA11" s="513"/>
      <c r="DB11" s="513"/>
      <c r="DC11" s="513"/>
      <c r="DD11" s="513"/>
      <c r="DE11" s="513"/>
      <c r="DF11" s="513"/>
      <c r="DG11" s="513"/>
      <c r="DH11" s="513"/>
      <c r="DI11" s="513"/>
    </row>
    <row r="12" spans="1:113" s="501" customFormat="1" x14ac:dyDescent="0.2">
      <c r="A12" s="488">
        <v>27104</v>
      </c>
      <c r="B12" s="488" t="s">
        <v>495</v>
      </c>
      <c r="C12" s="489">
        <v>36557</v>
      </c>
      <c r="D12" s="181">
        <v>38383</v>
      </c>
      <c r="E12" s="180">
        <f>31+30+31+31+30</f>
        <v>153</v>
      </c>
      <c r="F12" s="490">
        <f>((1613+8333+12903+9677+3333)/5)+17</f>
        <v>7188.8</v>
      </c>
      <c r="G12" s="490">
        <f t="shared" si="0"/>
        <v>1099886.4000000001</v>
      </c>
      <c r="H12" s="502">
        <f t="shared" si="1"/>
        <v>1.2403200000000001</v>
      </c>
      <c r="I12" s="173">
        <f t="shared" si="2"/>
        <v>4.0800000000000003E-2</v>
      </c>
      <c r="J12" s="170">
        <v>9.1999999999999998E-3</v>
      </c>
      <c r="K12" s="493">
        <v>0.05</v>
      </c>
      <c r="L12" s="484">
        <f t="shared" si="3"/>
        <v>49833.320000000007</v>
      </c>
      <c r="M12" s="1022">
        <v>0.51</v>
      </c>
      <c r="N12" s="484">
        <f t="shared" si="4"/>
        <v>5161</v>
      </c>
      <c r="O12" s="484">
        <f t="shared" si="5"/>
        <v>54994.320000000007</v>
      </c>
      <c r="P12" s="503" t="s">
        <v>488</v>
      </c>
      <c r="Q12" s="175" t="s">
        <v>496</v>
      </c>
      <c r="R12" s="514" t="s">
        <v>477</v>
      </c>
      <c r="S12" s="514" t="s">
        <v>477</v>
      </c>
      <c r="T12" s="175"/>
      <c r="U12" s="504"/>
      <c r="V12" s="512"/>
      <c r="W12" s="512"/>
      <c r="X12" s="512"/>
      <c r="Y12" s="512"/>
      <c r="Z12" s="512"/>
      <c r="AA12" s="512"/>
      <c r="AB12" s="512"/>
      <c r="AC12" s="515"/>
      <c r="AD12" s="515"/>
      <c r="AE12" s="515"/>
      <c r="AF12" s="513"/>
      <c r="AG12" s="513"/>
      <c r="AH12" s="513"/>
      <c r="AI12" s="513"/>
      <c r="AJ12" s="513"/>
    </row>
    <row r="13" spans="1:113" s="501" customFormat="1" x14ac:dyDescent="0.2">
      <c r="A13" s="488">
        <v>27161</v>
      </c>
      <c r="B13" s="488" t="s">
        <v>316</v>
      </c>
      <c r="C13" s="489">
        <v>36617</v>
      </c>
      <c r="D13" s="181">
        <v>37711</v>
      </c>
      <c r="E13" s="180">
        <v>365</v>
      </c>
      <c r="F13" s="733">
        <v>400000</v>
      </c>
      <c r="G13" s="490">
        <f t="shared" si="0"/>
        <v>146000000</v>
      </c>
      <c r="H13" s="502">
        <f t="shared" si="1"/>
        <v>0.76</v>
      </c>
      <c r="I13" s="173">
        <f t="shared" si="2"/>
        <v>2.5000000000000001E-2</v>
      </c>
      <c r="J13" s="170">
        <v>0</v>
      </c>
      <c r="K13" s="493">
        <v>2.5000000000000001E-2</v>
      </c>
      <c r="L13" s="484">
        <f t="shared" si="3"/>
        <v>3650000</v>
      </c>
      <c r="M13" s="1022">
        <v>0.51</v>
      </c>
      <c r="N13" s="484">
        <f t="shared" si="4"/>
        <v>0</v>
      </c>
      <c r="O13" s="484">
        <f t="shared" si="5"/>
        <v>3650000</v>
      </c>
      <c r="P13" s="732" t="s">
        <v>603</v>
      </c>
      <c r="Q13" s="175"/>
      <c r="R13" s="511"/>
      <c r="S13" s="511"/>
      <c r="T13" s="175"/>
      <c r="U13" s="504" t="s">
        <v>497</v>
      </c>
      <c r="V13" s="498"/>
      <c r="W13" s="498"/>
      <c r="X13" s="498"/>
      <c r="Y13" s="498"/>
      <c r="Z13" s="498"/>
      <c r="AA13" s="498"/>
      <c r="AB13" s="498"/>
      <c r="AC13" s="498"/>
      <c r="AD13" s="498"/>
      <c r="AE13" s="498"/>
      <c r="AF13" s="193"/>
      <c r="AG13" s="193"/>
      <c r="AH13" s="193"/>
      <c r="AI13" s="193"/>
      <c r="AJ13" s="193"/>
    </row>
    <row r="14" spans="1:113" s="193" customFormat="1" x14ac:dyDescent="0.2">
      <c r="A14" s="180">
        <v>27291</v>
      </c>
      <c r="B14" s="488" t="s">
        <v>288</v>
      </c>
      <c r="C14" s="489">
        <v>36739</v>
      </c>
      <c r="D14" s="181">
        <v>37468</v>
      </c>
      <c r="E14" s="180">
        <f>31+28+31+30+31+30+31</f>
        <v>212</v>
      </c>
      <c r="F14" s="182">
        <v>20000</v>
      </c>
      <c r="G14" s="490">
        <f t="shared" si="0"/>
        <v>4240000</v>
      </c>
      <c r="H14" s="502">
        <f t="shared" si="1"/>
        <v>0.48032000000000002</v>
      </c>
      <c r="I14" s="173">
        <f t="shared" si="2"/>
        <v>1.5800000000000002E-2</v>
      </c>
      <c r="J14" s="170">
        <v>9.1999999999999998E-3</v>
      </c>
      <c r="K14" s="493">
        <v>2.5000000000000001E-2</v>
      </c>
      <c r="L14" s="484">
        <f t="shared" si="3"/>
        <v>86106</v>
      </c>
      <c r="M14" s="1022">
        <v>0.51</v>
      </c>
      <c r="N14" s="484">
        <f t="shared" si="4"/>
        <v>19894</v>
      </c>
      <c r="O14" s="484">
        <f t="shared" si="5"/>
        <v>106000</v>
      </c>
      <c r="P14" s="503" t="s">
        <v>488</v>
      </c>
      <c r="Q14" s="175" t="s">
        <v>308</v>
      </c>
      <c r="R14" s="511" t="s">
        <v>498</v>
      </c>
      <c r="S14" s="511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06"/>
      <c r="AG14" s="506"/>
      <c r="AH14" s="506"/>
      <c r="AI14" s="506"/>
      <c r="AJ14" s="506"/>
    </row>
    <row r="15" spans="1:113" s="193" customFormat="1" x14ac:dyDescent="0.2">
      <c r="A15" s="180">
        <v>27349</v>
      </c>
      <c r="B15" s="180" t="s">
        <v>499</v>
      </c>
      <c r="C15" s="181">
        <v>36892</v>
      </c>
      <c r="D15" s="181">
        <v>38717</v>
      </c>
      <c r="E15" s="180">
        <v>365</v>
      </c>
      <c r="F15" s="182">
        <v>20000</v>
      </c>
      <c r="G15" s="182">
        <f t="shared" si="0"/>
        <v>7300000</v>
      </c>
      <c r="H15" s="502">
        <f t="shared" si="1"/>
        <v>1.2403200000000001</v>
      </c>
      <c r="I15" s="173">
        <f t="shared" si="2"/>
        <v>4.0800000000000003E-2</v>
      </c>
      <c r="J15" s="170">
        <v>9.1999999999999998E-3</v>
      </c>
      <c r="K15" s="170">
        <v>0.05</v>
      </c>
      <c r="L15" s="484">
        <f t="shared" si="3"/>
        <v>330748</v>
      </c>
      <c r="M15" s="1022">
        <v>0.51</v>
      </c>
      <c r="N15" s="484">
        <f t="shared" si="4"/>
        <v>34252</v>
      </c>
      <c r="O15" s="484">
        <f t="shared" si="5"/>
        <v>365000</v>
      </c>
      <c r="P15" s="503" t="s">
        <v>488</v>
      </c>
      <c r="Q15" s="510"/>
      <c r="R15" s="511"/>
      <c r="S15" s="511"/>
      <c r="T15" s="175"/>
      <c r="U15" s="175"/>
      <c r="V15" s="498"/>
      <c r="W15" s="498"/>
      <c r="X15" s="512"/>
      <c r="Y15" s="512"/>
      <c r="Z15" s="512"/>
      <c r="AA15" s="512"/>
      <c r="AB15" s="512"/>
      <c r="AC15" s="512"/>
      <c r="AD15" s="512"/>
      <c r="AE15" s="512"/>
      <c r="AF15" s="506"/>
      <c r="AG15" s="506"/>
      <c r="AH15" s="506"/>
      <c r="AI15" s="506"/>
      <c r="AJ15" s="506"/>
    </row>
    <row r="16" spans="1:113" s="521" customFormat="1" x14ac:dyDescent="0.2">
      <c r="A16" s="180">
        <v>27377</v>
      </c>
      <c r="B16" s="180" t="s">
        <v>284</v>
      </c>
      <c r="C16" s="181">
        <v>36951</v>
      </c>
      <c r="D16" s="181">
        <v>37315</v>
      </c>
      <c r="E16" s="180">
        <f>31+28</f>
        <v>59</v>
      </c>
      <c r="F16" s="182">
        <v>10000</v>
      </c>
      <c r="G16" s="182">
        <f>SUM(E16*F16)</f>
        <v>590000</v>
      </c>
      <c r="H16" s="508">
        <f t="shared" si="1"/>
        <v>1.2403200000000001</v>
      </c>
      <c r="I16" s="173">
        <f t="shared" si="2"/>
        <v>4.0800000000000003E-2</v>
      </c>
      <c r="J16" s="170">
        <v>9.1999999999999998E-3</v>
      </c>
      <c r="K16" s="170">
        <v>0.05</v>
      </c>
      <c r="L16" s="484">
        <f t="shared" si="3"/>
        <v>26732</v>
      </c>
      <c r="M16" s="1022">
        <v>0.51</v>
      </c>
      <c r="N16" s="484">
        <f t="shared" si="4"/>
        <v>2768</v>
      </c>
      <c r="O16" s="484">
        <f t="shared" si="5"/>
        <v>29500</v>
      </c>
      <c r="P16" s="503" t="s">
        <v>488</v>
      </c>
      <c r="Q16" s="517"/>
      <c r="R16" s="518" t="s">
        <v>477</v>
      </c>
      <c r="S16" s="518" t="s">
        <v>477</v>
      </c>
      <c r="T16" s="519"/>
      <c r="U16" s="519"/>
      <c r="V16" s="520"/>
      <c r="W16" s="520"/>
      <c r="X16" s="520"/>
      <c r="Y16" s="520"/>
      <c r="Z16" s="520"/>
      <c r="AA16" s="520"/>
      <c r="AB16" s="520"/>
      <c r="AC16" s="520"/>
      <c r="AD16" s="520"/>
      <c r="AE16" s="520"/>
      <c r="AF16" s="520"/>
      <c r="AG16" s="520"/>
      <c r="AH16" s="520"/>
      <c r="AI16" s="520"/>
      <c r="AJ16" s="520"/>
    </row>
    <row r="17" spans="1:36" s="735" customFormat="1" x14ac:dyDescent="0.2">
      <c r="A17" s="180">
        <v>27495</v>
      </c>
      <c r="B17" s="180" t="s">
        <v>320</v>
      </c>
      <c r="C17" s="181">
        <v>36951</v>
      </c>
      <c r="D17" s="181">
        <v>37711</v>
      </c>
      <c r="E17" s="180">
        <v>365</v>
      </c>
      <c r="F17" s="733">
        <v>50000</v>
      </c>
      <c r="G17" s="182">
        <f t="shared" ref="G17:G22" si="6">SUM(E17*F17)</f>
        <v>18250000</v>
      </c>
      <c r="H17" s="508">
        <f t="shared" si="1"/>
        <v>0.98799999999999999</v>
      </c>
      <c r="I17" s="173">
        <f t="shared" si="2"/>
        <v>3.2500000000000001E-2</v>
      </c>
      <c r="J17" s="170">
        <v>0</v>
      </c>
      <c r="K17" s="170">
        <v>3.2500000000000001E-2</v>
      </c>
      <c r="L17" s="484">
        <f t="shared" si="3"/>
        <v>593125</v>
      </c>
      <c r="M17" s="1022">
        <v>0.51</v>
      </c>
      <c r="N17" s="484">
        <f t="shared" si="4"/>
        <v>0</v>
      </c>
      <c r="O17" s="484">
        <f t="shared" si="5"/>
        <v>593125</v>
      </c>
      <c r="P17" s="732" t="s">
        <v>603</v>
      </c>
      <c r="Q17" s="168"/>
      <c r="R17" s="511"/>
      <c r="S17" s="511"/>
      <c r="T17" s="175"/>
      <c r="U17" s="510" t="s">
        <v>502</v>
      </c>
      <c r="V17" s="600"/>
      <c r="W17" s="600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</row>
    <row r="18" spans="1:36" s="501" customFormat="1" x14ac:dyDescent="0.2">
      <c r="A18" s="180">
        <v>27579</v>
      </c>
      <c r="B18" s="180" t="s">
        <v>499</v>
      </c>
      <c r="C18" s="181">
        <v>37012</v>
      </c>
      <c r="D18" s="181">
        <v>37407</v>
      </c>
      <c r="E18" s="180">
        <v>151</v>
      </c>
      <c r="F18" s="182">
        <v>20000</v>
      </c>
      <c r="G18" s="182">
        <f t="shared" si="6"/>
        <v>3020000</v>
      </c>
      <c r="H18" s="508">
        <f>SUM(I18*30.4)</f>
        <v>1.5443199999999999</v>
      </c>
      <c r="I18" s="173">
        <f t="shared" si="2"/>
        <v>5.0799999999999998E-2</v>
      </c>
      <c r="J18" s="170">
        <v>9.1999999999999998E-3</v>
      </c>
      <c r="K18" s="170">
        <v>0.06</v>
      </c>
      <c r="L18" s="484">
        <f t="shared" si="3"/>
        <v>167030</v>
      </c>
      <c r="M18" s="1022">
        <v>0.51</v>
      </c>
      <c r="N18" s="484">
        <f t="shared" si="4"/>
        <v>14170</v>
      </c>
      <c r="O18" s="484">
        <f t="shared" si="5"/>
        <v>181200</v>
      </c>
      <c r="P18" s="503" t="s">
        <v>488</v>
      </c>
      <c r="Q18" s="521"/>
      <c r="R18" s="518"/>
      <c r="S18" s="518"/>
      <c r="T18" s="519"/>
      <c r="U18" s="517"/>
      <c r="V18" s="520"/>
      <c r="W18" s="520"/>
      <c r="X18" s="498"/>
      <c r="Y18" s="498"/>
      <c r="Z18" s="498"/>
      <c r="AA18" s="498"/>
      <c r="AB18" s="498"/>
      <c r="AC18" s="498"/>
      <c r="AD18" s="498"/>
      <c r="AE18" s="498"/>
      <c r="AF18" s="193"/>
      <c r="AG18" s="193"/>
      <c r="AH18" s="193"/>
      <c r="AI18" s="193"/>
      <c r="AJ18" s="193"/>
    </row>
    <row r="19" spans="1:36" s="501" customFormat="1" x14ac:dyDescent="0.2">
      <c r="A19" s="180">
        <v>27600</v>
      </c>
      <c r="B19" s="180" t="s">
        <v>503</v>
      </c>
      <c r="C19" s="181">
        <v>37043</v>
      </c>
      <c r="D19" s="181">
        <v>37407</v>
      </c>
      <c r="E19" s="180">
        <v>151</v>
      </c>
      <c r="F19" s="182">
        <v>2500</v>
      </c>
      <c r="G19" s="182">
        <f t="shared" si="6"/>
        <v>377500</v>
      </c>
      <c r="H19" s="508">
        <f t="shared" si="1"/>
        <v>2.4563199999999998</v>
      </c>
      <c r="I19" s="173">
        <f t="shared" si="2"/>
        <v>8.0799999999999997E-2</v>
      </c>
      <c r="J19" s="170">
        <v>9.1999999999999998E-3</v>
      </c>
      <c r="K19" s="170">
        <v>0.09</v>
      </c>
      <c r="L19" s="484">
        <f t="shared" si="3"/>
        <v>32204</v>
      </c>
      <c r="M19" s="1022">
        <v>0.51</v>
      </c>
      <c r="N19" s="484">
        <f t="shared" si="4"/>
        <v>1771</v>
      </c>
      <c r="O19" s="484">
        <f t="shared" si="5"/>
        <v>33975</v>
      </c>
      <c r="P19" s="503" t="s">
        <v>488</v>
      </c>
      <c r="Q19" s="521"/>
      <c r="R19" s="518"/>
      <c r="S19" s="518"/>
      <c r="T19" s="519"/>
      <c r="U19" s="517"/>
      <c r="V19" s="520"/>
      <c r="W19" s="520"/>
      <c r="X19" s="498"/>
      <c r="Y19" s="498"/>
      <c r="Z19" s="498"/>
      <c r="AA19" s="498"/>
      <c r="AB19" s="498"/>
      <c r="AC19" s="498"/>
      <c r="AD19" s="498"/>
      <c r="AE19" s="498"/>
      <c r="AF19" s="193"/>
      <c r="AG19" s="193"/>
      <c r="AH19" s="193"/>
      <c r="AI19" s="193"/>
      <c r="AJ19" s="193"/>
    </row>
    <row r="20" spans="1:36" s="501" customFormat="1" x14ac:dyDescent="0.2">
      <c r="A20" s="184">
        <v>27606</v>
      </c>
      <c r="B20" s="184" t="s">
        <v>309</v>
      </c>
      <c r="C20" s="185">
        <v>37165</v>
      </c>
      <c r="D20" s="185">
        <v>38990</v>
      </c>
      <c r="E20" s="180">
        <v>120</v>
      </c>
      <c r="F20" s="182">
        <v>80000</v>
      </c>
      <c r="G20" s="182">
        <f t="shared" si="6"/>
        <v>9600000</v>
      </c>
      <c r="H20" s="483">
        <f>SUM(I20*30.4)</f>
        <v>2.15232</v>
      </c>
      <c r="I20" s="173">
        <f t="shared" si="2"/>
        <v>7.0800000000000002E-2</v>
      </c>
      <c r="J20" s="170">
        <v>9.1999999999999998E-3</v>
      </c>
      <c r="K20" s="173">
        <v>0.08</v>
      </c>
      <c r="L20" s="183">
        <f t="shared" si="3"/>
        <v>722957</v>
      </c>
      <c r="M20" s="1022">
        <v>0.51</v>
      </c>
      <c r="N20" s="484">
        <f t="shared" si="4"/>
        <v>45043</v>
      </c>
      <c r="O20" s="484">
        <f t="shared" si="5"/>
        <v>768000</v>
      </c>
      <c r="P20" s="183" t="s">
        <v>322</v>
      </c>
      <c r="Q20" s="172" t="s">
        <v>504</v>
      </c>
      <c r="R20" s="485" t="s">
        <v>477</v>
      </c>
      <c r="S20" s="485" t="s">
        <v>477</v>
      </c>
      <c r="T20" s="172"/>
      <c r="U20" s="172" t="s">
        <v>505</v>
      </c>
      <c r="V20" s="168"/>
      <c r="W20" s="168"/>
      <c r="X20" s="168"/>
      <c r="Y20" s="168"/>
      <c r="Z20" s="168"/>
      <c r="AA20" s="168"/>
      <c r="AB20" s="498"/>
      <c r="AC20" s="498"/>
      <c r="AD20" s="498"/>
      <c r="AE20" s="498"/>
      <c r="AF20" s="193"/>
      <c r="AG20" s="193"/>
      <c r="AH20" s="193"/>
      <c r="AI20" s="193"/>
      <c r="AJ20" s="193"/>
    </row>
    <row r="21" spans="1:36" s="501" customFormat="1" x14ac:dyDescent="0.2">
      <c r="A21" s="184">
        <v>27606</v>
      </c>
      <c r="B21" s="184" t="s">
        <v>309</v>
      </c>
      <c r="C21" s="185">
        <v>37165</v>
      </c>
      <c r="D21" s="185">
        <v>38990</v>
      </c>
      <c r="E21" s="180">
        <v>92</v>
      </c>
      <c r="F21" s="182">
        <v>35000</v>
      </c>
      <c r="G21" s="182">
        <f t="shared" si="6"/>
        <v>3220000</v>
      </c>
      <c r="H21" s="483">
        <f>SUM(I21*30.4)</f>
        <v>2.15232</v>
      </c>
      <c r="I21" s="173">
        <f>K21-J21</f>
        <v>7.0800000000000002E-2</v>
      </c>
      <c r="J21" s="170">
        <v>9.1999999999999998E-3</v>
      </c>
      <c r="K21" s="173">
        <v>0.08</v>
      </c>
      <c r="L21" s="183">
        <f>(SUM(K21*G21))-N21</f>
        <v>242492</v>
      </c>
      <c r="M21" s="1022">
        <v>0.51</v>
      </c>
      <c r="N21" s="484">
        <f>ROUND(J21*G21*M21,0)</f>
        <v>15108</v>
      </c>
      <c r="O21" s="484">
        <f>L21+N21</f>
        <v>257600</v>
      </c>
      <c r="P21" s="183"/>
      <c r="Q21" s="172"/>
      <c r="R21" s="485"/>
      <c r="S21" s="485"/>
      <c r="T21" s="172"/>
      <c r="U21" s="172"/>
      <c r="V21" s="168"/>
      <c r="W21" s="168"/>
      <c r="X21" s="168"/>
      <c r="Y21" s="168"/>
      <c r="Z21" s="168"/>
      <c r="AA21" s="168"/>
      <c r="AB21" s="498"/>
      <c r="AC21" s="498"/>
      <c r="AD21" s="498"/>
      <c r="AE21" s="498"/>
      <c r="AF21" s="193"/>
      <c r="AG21" s="193"/>
      <c r="AH21" s="193"/>
      <c r="AI21" s="193"/>
      <c r="AJ21" s="193"/>
    </row>
    <row r="22" spans="1:36" s="506" customFormat="1" ht="12.75" customHeight="1" x14ac:dyDescent="0.2">
      <c r="A22" s="184">
        <v>27606</v>
      </c>
      <c r="B22" s="184" t="s">
        <v>309</v>
      </c>
      <c r="C22" s="185">
        <v>37165</v>
      </c>
      <c r="D22" s="185">
        <v>38990</v>
      </c>
      <c r="E22" s="180">
        <v>153</v>
      </c>
      <c r="F22" s="182">
        <v>20000</v>
      </c>
      <c r="G22" s="182">
        <f t="shared" si="6"/>
        <v>3060000</v>
      </c>
      <c r="H22" s="483">
        <f>SUM(I22*30.4)</f>
        <v>2.15232</v>
      </c>
      <c r="I22" s="173">
        <f>K22-J22</f>
        <v>7.0800000000000002E-2</v>
      </c>
      <c r="J22" s="170">
        <v>9.1999999999999998E-3</v>
      </c>
      <c r="K22" s="173">
        <v>0.08</v>
      </c>
      <c r="L22" s="527">
        <f>(SUM(K22*G22))-N22</f>
        <v>230442</v>
      </c>
      <c r="M22" s="1022">
        <v>0.51</v>
      </c>
      <c r="N22" s="527">
        <f>ROUND(J22*G22*M22,0)</f>
        <v>14358</v>
      </c>
      <c r="O22" s="527">
        <f>L22+N22</f>
        <v>244800</v>
      </c>
      <c r="P22" s="536"/>
      <c r="Q22" s="537"/>
      <c r="R22" s="538"/>
      <c r="S22" s="538"/>
      <c r="T22" s="537"/>
      <c r="U22" s="539"/>
      <c r="V22" s="168"/>
      <c r="W22" s="168"/>
      <c r="X22" s="168"/>
      <c r="Y22" s="168"/>
      <c r="Z22" s="168"/>
      <c r="AA22" s="168"/>
      <c r="AB22" s="168"/>
      <c r="AC22" s="486"/>
      <c r="AD22" s="486"/>
      <c r="AE22" s="486"/>
      <c r="AF22" s="487"/>
      <c r="AG22" s="487"/>
      <c r="AH22" s="487"/>
      <c r="AI22" s="487"/>
      <c r="AJ22" s="487"/>
    </row>
    <row r="23" spans="1:36" s="506" customFormat="1" ht="12.75" customHeight="1" x14ac:dyDescent="0.2">
      <c r="A23" s="184"/>
      <c r="B23" s="184"/>
      <c r="C23" s="185"/>
      <c r="D23" s="185"/>
      <c r="E23" s="180"/>
      <c r="F23" s="182"/>
      <c r="G23" s="182"/>
      <c r="H23" s="483"/>
      <c r="I23" s="173"/>
      <c r="J23" s="170"/>
      <c r="K23" s="173"/>
      <c r="L23" s="1091">
        <f>SUM(L6:L22)</f>
        <v>7787801.9759999998</v>
      </c>
      <c r="M23" s="1022"/>
      <c r="N23" s="1092">
        <f>SUM(N6:N22)</f>
        <v>261745</v>
      </c>
      <c r="O23" s="1092">
        <f>L23+N23</f>
        <v>8049546.9759999998</v>
      </c>
      <c r="P23" s="536"/>
      <c r="Q23" s="537"/>
      <c r="R23" s="538"/>
      <c r="S23" s="538"/>
      <c r="T23" s="537"/>
      <c r="U23" s="539"/>
      <c r="V23" s="168"/>
      <c r="W23" s="168"/>
      <c r="X23" s="168"/>
      <c r="Y23" s="168"/>
      <c r="Z23" s="168"/>
      <c r="AA23" s="168"/>
      <c r="AB23" s="168"/>
      <c r="AC23" s="486"/>
      <c r="AD23" s="486"/>
      <c r="AE23" s="486"/>
      <c r="AF23" s="487"/>
      <c r="AG23" s="487"/>
      <c r="AH23" s="487"/>
      <c r="AI23" s="487"/>
      <c r="AJ23" s="487"/>
    </row>
    <row r="24" spans="1:36" s="506" customFormat="1" ht="12.75" customHeight="1" x14ac:dyDescent="0.2">
      <c r="A24" s="488"/>
      <c r="B24" s="488"/>
      <c r="C24" s="489"/>
      <c r="D24" s="528"/>
      <c r="E24" s="529"/>
      <c r="F24" s="530"/>
      <c r="G24" s="531"/>
      <c r="H24" s="532"/>
      <c r="I24" s="533"/>
      <c r="J24" s="534"/>
      <c r="K24" s="534"/>
      <c r="L24" s="604"/>
      <c r="M24" s="1023"/>
      <c r="N24" s="536"/>
      <c r="O24" s="536"/>
      <c r="P24" s="536"/>
      <c r="Q24" s="537"/>
      <c r="R24" s="538"/>
      <c r="S24" s="538"/>
      <c r="T24" s="537"/>
      <c r="U24" s="539"/>
      <c r="V24" s="168"/>
      <c r="W24" s="168"/>
      <c r="X24" s="168"/>
      <c r="Y24" s="168"/>
      <c r="Z24" s="168"/>
      <c r="AA24" s="168"/>
      <c r="AB24" s="168"/>
      <c r="AC24" s="486"/>
      <c r="AD24" s="486"/>
      <c r="AE24" s="486"/>
      <c r="AF24" s="487"/>
      <c r="AG24" s="487"/>
      <c r="AH24" s="487"/>
      <c r="AI24" s="487"/>
      <c r="AJ24" s="487"/>
    </row>
    <row r="25" spans="1:36" x14ac:dyDescent="0.2">
      <c r="A25" s="540" t="s">
        <v>507</v>
      </c>
      <c r="B25" s="540" t="s">
        <v>477</v>
      </c>
      <c r="C25" s="489"/>
      <c r="D25" s="528"/>
      <c r="E25" s="529"/>
      <c r="F25" s="531"/>
      <c r="G25" s="531"/>
      <c r="H25" s="541"/>
      <c r="I25" s="534"/>
      <c r="J25" s="534"/>
      <c r="K25" s="534"/>
      <c r="L25" s="604"/>
      <c r="M25" s="1023"/>
      <c r="N25" s="536"/>
      <c r="O25" s="536"/>
      <c r="P25" s="536"/>
      <c r="Q25" s="537"/>
      <c r="R25" s="538"/>
      <c r="S25" s="538"/>
      <c r="T25" s="537"/>
      <c r="U25" s="539"/>
    </row>
    <row r="26" spans="1:36" x14ac:dyDescent="0.2">
      <c r="A26" s="184"/>
      <c r="B26" s="184"/>
      <c r="C26" s="185"/>
      <c r="D26" s="185"/>
      <c r="E26" s="180"/>
      <c r="F26" s="186"/>
      <c r="G26" s="182"/>
      <c r="H26" s="483"/>
      <c r="I26" s="173"/>
      <c r="J26" s="173"/>
      <c r="K26" s="170">
        <f>SUM(I26+J26)</f>
        <v>0</v>
      </c>
      <c r="L26" s="183">
        <f>SUM(I26*G26)</f>
        <v>0</v>
      </c>
      <c r="M26" s="1022"/>
      <c r="N26" s="183">
        <f>SUM(J26*G26)</f>
        <v>0</v>
      </c>
      <c r="O26" s="484">
        <f>L26+N26</f>
        <v>0</v>
      </c>
      <c r="P26" s="183"/>
      <c r="Q26" s="542"/>
      <c r="R26" s="511"/>
      <c r="S26" s="485"/>
      <c r="T26" s="542"/>
      <c r="U26" s="542"/>
    </row>
    <row r="27" spans="1:36" x14ac:dyDescent="0.2">
      <c r="A27" s="180"/>
      <c r="B27" s="180"/>
      <c r="C27" s="181"/>
      <c r="D27" s="181"/>
      <c r="E27" s="180"/>
      <c r="F27" s="526"/>
      <c r="G27" s="186"/>
      <c r="H27" s="483"/>
      <c r="I27" s="170"/>
      <c r="J27" s="170"/>
      <c r="K27" s="170">
        <f>SUM(I27+J27)</f>
        <v>0</v>
      </c>
      <c r="L27" s="527">
        <f>SUM(I27*G27)</f>
        <v>0</v>
      </c>
      <c r="M27" s="516"/>
      <c r="N27" s="183">
        <f>SUM(J27*G27)</f>
        <v>0</v>
      </c>
      <c r="O27" s="484">
        <f>L27+N27</f>
        <v>0</v>
      </c>
      <c r="P27" s="183"/>
      <c r="Q27" s="175"/>
      <c r="R27" s="511"/>
      <c r="S27" s="511"/>
      <c r="T27" s="175"/>
      <c r="U27" s="542"/>
    </row>
    <row r="28" spans="1:36" s="487" customFormat="1" x14ac:dyDescent="0.2">
      <c r="A28" s="543"/>
      <c r="B28" s="544"/>
      <c r="C28" s="545"/>
      <c r="D28" s="545"/>
      <c r="E28" s="529"/>
      <c r="F28" s="778">
        <f>SUM(F26:F27)</f>
        <v>0</v>
      </c>
      <c r="G28" s="531"/>
      <c r="H28" s="532"/>
      <c r="I28" s="533"/>
      <c r="J28" s="547"/>
      <c r="K28" s="547"/>
      <c r="L28" s="604"/>
      <c r="M28" s="1023"/>
      <c r="N28" s="536"/>
      <c r="O28" s="536"/>
      <c r="P28" s="536"/>
      <c r="Q28" s="548"/>
      <c r="R28" s="549"/>
      <c r="S28" s="549"/>
      <c r="T28" s="548"/>
      <c r="U28" s="548"/>
      <c r="V28" s="168"/>
      <c r="W28" s="168"/>
      <c r="X28" s="168"/>
      <c r="Y28" s="168"/>
      <c r="Z28" s="168"/>
      <c r="AA28" s="168"/>
    </row>
    <row r="29" spans="1:36" s="487" customFormat="1" x14ac:dyDescent="0.2">
      <c r="A29" s="543"/>
      <c r="B29" s="544"/>
      <c r="C29" s="545"/>
      <c r="D29" s="545"/>
      <c r="E29" s="529"/>
      <c r="F29" s="546"/>
      <c r="G29" s="531"/>
      <c r="H29" s="532"/>
      <c r="I29" s="533"/>
      <c r="J29" s="547"/>
      <c r="K29" s="547"/>
      <c r="L29" s="604"/>
      <c r="M29" s="1023"/>
      <c r="N29" s="536"/>
      <c r="O29" s="536"/>
      <c r="P29" s="536"/>
      <c r="Q29" s="548"/>
      <c r="R29" s="549"/>
      <c r="S29" s="549"/>
      <c r="T29" s="548"/>
      <c r="U29" s="548"/>
      <c r="V29" s="168"/>
      <c r="W29" s="168"/>
      <c r="X29" s="168"/>
      <c r="Y29" s="168"/>
      <c r="Z29" s="168"/>
      <c r="AA29" s="168"/>
    </row>
    <row r="30" spans="1:36" x14ac:dyDescent="0.2">
      <c r="A30" s="540" t="s">
        <v>512</v>
      </c>
      <c r="B30" s="540" t="s">
        <v>477</v>
      </c>
      <c r="C30" s="489"/>
      <c r="D30" s="545"/>
      <c r="E30" s="529"/>
      <c r="F30" s="531"/>
      <c r="G30" s="550"/>
      <c r="H30" s="551"/>
      <c r="I30" s="534"/>
      <c r="J30" s="534"/>
      <c r="K30" s="494"/>
      <c r="L30" s="1035"/>
      <c r="M30" s="1024"/>
      <c r="N30" s="552"/>
      <c r="O30" s="552"/>
      <c r="P30" s="536"/>
      <c r="Q30" s="553"/>
      <c r="R30" s="554"/>
      <c r="S30" s="554"/>
      <c r="T30" s="555"/>
      <c r="U30" s="539"/>
    </row>
    <row r="31" spans="1:36" x14ac:dyDescent="0.2">
      <c r="A31" s="488"/>
      <c r="B31" s="488"/>
      <c r="C31" s="489"/>
      <c r="D31" s="185"/>
      <c r="E31" s="180"/>
      <c r="F31" s="490"/>
      <c r="G31" s="491"/>
      <c r="H31" s="492"/>
      <c r="I31" s="493"/>
      <c r="J31" s="493"/>
      <c r="K31" s="494"/>
      <c r="L31" s="183">
        <f>SUM(I31*G31)</f>
        <v>0</v>
      </c>
      <c r="M31" s="516"/>
      <c r="N31" s="503">
        <f>SUM(J31*G31)</f>
        <v>0</v>
      </c>
      <c r="O31" s="503">
        <f>SUM(L31:N31)</f>
        <v>0</v>
      </c>
      <c r="P31" s="556"/>
      <c r="Q31" s="557"/>
      <c r="R31" s="497"/>
      <c r="S31" s="497"/>
      <c r="T31" s="558"/>
      <c r="U31" s="499"/>
    </row>
    <row r="32" spans="1:36" x14ac:dyDescent="0.2">
      <c r="A32" s="488">
        <v>25025</v>
      </c>
      <c r="B32" s="488" t="s">
        <v>314</v>
      </c>
      <c r="C32" s="489" t="s">
        <v>327</v>
      </c>
      <c r="D32" s="489">
        <v>39051</v>
      </c>
      <c r="E32" s="180">
        <v>365</v>
      </c>
      <c r="F32" s="559">
        <v>80000</v>
      </c>
      <c r="G32" s="490">
        <f>SUM(E32*F32)</f>
        <v>29200000</v>
      </c>
      <c r="H32" s="502">
        <f>SUM(I32*30.4)</f>
        <v>4.094879999999999</v>
      </c>
      <c r="I32" s="173">
        <f>K32-J32</f>
        <v>0.13469999999999999</v>
      </c>
      <c r="J32" s="493">
        <v>1.03E-2</v>
      </c>
      <c r="K32" s="493">
        <v>0.14499999999999999</v>
      </c>
      <c r="L32" s="1092">
        <f>(SUM(K32*G32))-N32</f>
        <v>3987377</v>
      </c>
      <c r="M32" s="1022">
        <v>0.82</v>
      </c>
      <c r="N32" s="1092">
        <f>ROUND(J32*G32*M32,0)</f>
        <v>246623</v>
      </c>
      <c r="O32" s="1092">
        <f>L32+N32</f>
        <v>4234000</v>
      </c>
      <c r="P32" s="503" t="s">
        <v>478</v>
      </c>
      <c r="Q32" s="504" t="s">
        <v>514</v>
      </c>
      <c r="R32" s="505" t="s">
        <v>512</v>
      </c>
      <c r="S32" s="505" t="s">
        <v>477</v>
      </c>
      <c r="T32" s="504"/>
      <c r="U32" s="499" t="s">
        <v>515</v>
      </c>
    </row>
    <row r="33" spans="1:27" s="501" customFormat="1" x14ac:dyDescent="0.2">
      <c r="A33" s="35"/>
      <c r="B33" s="35"/>
      <c r="C33" s="35"/>
      <c r="D33" s="35"/>
      <c r="E33" s="35"/>
      <c r="F33" s="603"/>
      <c r="G33" s="531"/>
      <c r="H33" s="532"/>
      <c r="I33" s="533"/>
      <c r="J33" s="534"/>
      <c r="K33" s="534"/>
      <c r="L33" s="604"/>
      <c r="M33" s="1023"/>
      <c r="N33" s="458"/>
      <c r="O33" s="458"/>
      <c r="P33" s="458"/>
      <c r="Q33" s="561"/>
      <c r="R33" s="35"/>
      <c r="S33" s="35"/>
      <c r="T33" s="561"/>
      <c r="U33" s="35"/>
      <c r="V33" s="498"/>
      <c r="W33" s="498"/>
      <c r="X33" s="498"/>
    </row>
    <row r="34" spans="1:27" s="501" customFormat="1" x14ac:dyDescent="0.2">
      <c r="A34" s="35"/>
      <c r="B34" s="35"/>
      <c r="C34" s="35"/>
      <c r="D34" s="35"/>
      <c r="E34" s="35"/>
      <c r="F34" s="530"/>
      <c r="G34" s="531"/>
      <c r="H34" s="532"/>
      <c r="I34" s="533"/>
      <c r="J34" s="534"/>
      <c r="K34" s="534"/>
      <c r="L34" s="604"/>
      <c r="M34" s="1023"/>
      <c r="N34" s="458"/>
      <c r="O34" s="458"/>
      <c r="P34" s="458"/>
      <c r="Q34" s="561"/>
      <c r="R34" s="35"/>
      <c r="S34" s="35"/>
      <c r="T34" s="561"/>
      <c r="U34" s="35"/>
      <c r="V34" s="498"/>
      <c r="W34" s="498"/>
      <c r="X34" s="498"/>
    </row>
    <row r="35" spans="1:27" s="501" customFormat="1" x14ac:dyDescent="0.2">
      <c r="A35" s="543"/>
      <c r="B35" s="543"/>
      <c r="C35" s="562"/>
      <c r="D35" s="562"/>
      <c r="E35" s="529">
        <v>0</v>
      </c>
      <c r="F35" s="491">
        <v>0</v>
      </c>
      <c r="G35" s="550">
        <f>SUM(E35*F35)</f>
        <v>0</v>
      </c>
      <c r="H35" s="532">
        <v>6.293E-2</v>
      </c>
      <c r="I35" s="173">
        <f>K35-J35</f>
        <v>0</v>
      </c>
      <c r="J35" s="534">
        <v>0</v>
      </c>
      <c r="K35" s="534">
        <v>0</v>
      </c>
      <c r="L35" s="1035">
        <f>SUM(I35*G35)</f>
        <v>0</v>
      </c>
      <c r="M35" s="1024"/>
      <c r="N35" s="552">
        <f>SUM(J35*G35)</f>
        <v>0</v>
      </c>
      <c r="O35" s="484">
        <f>L35+N35</f>
        <v>0</v>
      </c>
      <c r="P35" s="552"/>
      <c r="Q35" s="561"/>
      <c r="R35" s="35"/>
      <c r="S35" s="35"/>
      <c r="T35" s="561"/>
      <c r="U35" s="35"/>
      <c r="V35" s="498"/>
      <c r="W35" s="498"/>
      <c r="X35" s="498"/>
    </row>
    <row r="36" spans="1:27" x14ac:dyDescent="0.2">
      <c r="F36" s="603">
        <f>SUM(F35)</f>
        <v>0</v>
      </c>
      <c r="G36" s="531"/>
      <c r="H36" s="532"/>
      <c r="I36" s="533"/>
      <c r="J36" s="534"/>
      <c r="K36" s="534"/>
      <c r="L36" s="604">
        <f>SUM(L35)</f>
        <v>0</v>
      </c>
      <c r="M36" s="1023"/>
    </row>
    <row r="37" spans="1:27" x14ac:dyDescent="0.2">
      <c r="F37" s="530"/>
      <c r="G37" s="531"/>
      <c r="H37" s="532"/>
      <c r="I37" s="533"/>
      <c r="J37" s="534"/>
      <c r="K37" s="534"/>
      <c r="L37" s="604"/>
      <c r="M37" s="1023"/>
    </row>
    <row r="38" spans="1:27" x14ac:dyDescent="0.2">
      <c r="A38" s="563" t="s">
        <v>507</v>
      </c>
      <c r="B38" s="563" t="s">
        <v>517</v>
      </c>
      <c r="F38" s="530"/>
      <c r="G38" s="531"/>
      <c r="H38" s="532"/>
      <c r="I38" s="533"/>
      <c r="J38" s="534"/>
      <c r="K38" s="534"/>
      <c r="L38" s="604"/>
      <c r="M38" s="1023"/>
    </row>
    <row r="39" spans="1:27" x14ac:dyDescent="0.2">
      <c r="A39" s="184">
        <v>24924</v>
      </c>
      <c r="B39" s="184" t="s">
        <v>766</v>
      </c>
      <c r="C39" s="185" t="s">
        <v>518</v>
      </c>
      <c r="D39" s="185">
        <v>38017</v>
      </c>
      <c r="E39" s="180">
        <v>365</v>
      </c>
      <c r="F39" s="182">
        <v>25000</v>
      </c>
      <c r="G39" s="186">
        <f t="shared" ref="G39:G44" si="7">SUM(E39*F39)</f>
        <v>9125000</v>
      </c>
      <c r="H39" s="483">
        <f t="shared" ref="H39:H44" si="8">SUM(I39*30.4)</f>
        <v>1.7905599999999999</v>
      </c>
      <c r="I39" s="173">
        <f t="shared" ref="I39:I44" si="9">K39-J39</f>
        <v>5.8900000000000001E-2</v>
      </c>
      <c r="J39" s="170">
        <v>1.1000000000000001E-3</v>
      </c>
      <c r="K39" s="173">
        <v>0.06</v>
      </c>
      <c r="L39" s="484">
        <f t="shared" ref="L39:L44" si="10">(SUM(K39*G39))-N39</f>
        <v>539671</v>
      </c>
      <c r="M39" s="1022">
        <v>0.78</v>
      </c>
      <c r="N39" s="484">
        <f t="shared" ref="N39:N44" si="11">ROUND(J39*G39*M39,0)</f>
        <v>7829</v>
      </c>
      <c r="O39" s="484">
        <f t="shared" ref="O39:O45" si="12">L39+N39</f>
        <v>547500</v>
      </c>
      <c r="P39" s="503" t="s">
        <v>478</v>
      </c>
      <c r="Q39" s="564" t="s">
        <v>519</v>
      </c>
      <c r="R39" s="497" t="s">
        <v>507</v>
      </c>
      <c r="S39" s="497" t="s">
        <v>517</v>
      </c>
      <c r="T39" s="498"/>
      <c r="U39" s="499" t="s">
        <v>508</v>
      </c>
    </row>
    <row r="40" spans="1:27" x14ac:dyDescent="0.2">
      <c r="A40" s="180">
        <v>24925</v>
      </c>
      <c r="B40" s="180" t="s">
        <v>305</v>
      </c>
      <c r="C40" s="185" t="s">
        <v>518</v>
      </c>
      <c r="D40" s="181">
        <v>38017</v>
      </c>
      <c r="E40" s="180">
        <v>365</v>
      </c>
      <c r="F40" s="182">
        <v>50000</v>
      </c>
      <c r="G40" s="186">
        <f t="shared" si="7"/>
        <v>18250000</v>
      </c>
      <c r="H40" s="483">
        <f t="shared" si="8"/>
        <v>1.7905599999999999</v>
      </c>
      <c r="I40" s="173">
        <f t="shared" si="9"/>
        <v>5.8900000000000001E-2</v>
      </c>
      <c r="J40" s="170">
        <v>1.1000000000000001E-3</v>
      </c>
      <c r="K40" s="173">
        <v>0.06</v>
      </c>
      <c r="L40" s="484">
        <f t="shared" si="10"/>
        <v>1079341</v>
      </c>
      <c r="M40" s="1022">
        <v>0.78</v>
      </c>
      <c r="N40" s="484">
        <f t="shared" si="11"/>
        <v>15659</v>
      </c>
      <c r="O40" s="484">
        <f t="shared" si="12"/>
        <v>1095000</v>
      </c>
      <c r="P40" s="503" t="s">
        <v>478</v>
      </c>
      <c r="Q40" s="564" t="s">
        <v>519</v>
      </c>
      <c r="R40" s="497" t="s">
        <v>507</v>
      </c>
      <c r="S40" s="505" t="s">
        <v>517</v>
      </c>
      <c r="T40" s="498"/>
      <c r="U40" s="499" t="s">
        <v>508</v>
      </c>
    </row>
    <row r="41" spans="1:27" s="501" customFormat="1" x14ac:dyDescent="0.2">
      <c r="A41" s="180">
        <v>25397</v>
      </c>
      <c r="B41" s="180" t="s">
        <v>521</v>
      </c>
      <c r="C41" s="181">
        <v>35886</v>
      </c>
      <c r="D41" s="181">
        <v>37711</v>
      </c>
      <c r="E41" s="180">
        <v>365</v>
      </c>
      <c r="F41" s="182">
        <v>10000</v>
      </c>
      <c r="G41" s="182">
        <f t="shared" si="7"/>
        <v>3650000</v>
      </c>
      <c r="H41" s="508">
        <f t="shared" si="8"/>
        <v>0.8785599999999999</v>
      </c>
      <c r="I41" s="173">
        <f t="shared" si="9"/>
        <v>2.8899999999999999E-2</v>
      </c>
      <c r="J41" s="170">
        <v>1.1000000000000001E-3</v>
      </c>
      <c r="K41" s="170">
        <v>0.03</v>
      </c>
      <c r="L41" s="484">
        <f t="shared" si="10"/>
        <v>106368</v>
      </c>
      <c r="M41" s="1022">
        <v>0.78</v>
      </c>
      <c r="N41" s="484">
        <f t="shared" si="11"/>
        <v>3132</v>
      </c>
      <c r="O41" s="484">
        <f t="shared" si="12"/>
        <v>109500</v>
      </c>
      <c r="P41" s="503" t="s">
        <v>488</v>
      </c>
      <c r="Q41" s="504" t="s">
        <v>522</v>
      </c>
      <c r="R41" s="505" t="s">
        <v>507</v>
      </c>
      <c r="S41" s="505" t="s">
        <v>517</v>
      </c>
      <c r="T41" s="504"/>
      <c r="U41" s="504"/>
      <c r="V41" s="498"/>
      <c r="W41" s="498"/>
    </row>
    <row r="42" spans="1:27" s="501" customFormat="1" x14ac:dyDescent="0.2">
      <c r="A42" s="180">
        <v>26044</v>
      </c>
      <c r="B42" s="180" t="s">
        <v>523</v>
      </c>
      <c r="C42" s="181">
        <v>36150</v>
      </c>
      <c r="D42" s="181">
        <v>37925</v>
      </c>
      <c r="E42" s="180">
        <v>365</v>
      </c>
      <c r="F42" s="182">
        <v>85000</v>
      </c>
      <c r="G42" s="182">
        <f t="shared" si="7"/>
        <v>31025000</v>
      </c>
      <c r="H42" s="508">
        <f t="shared" si="8"/>
        <v>0.8785599999999999</v>
      </c>
      <c r="I42" s="173">
        <f t="shared" si="9"/>
        <v>2.8899999999999999E-2</v>
      </c>
      <c r="J42" s="170">
        <v>1.1000000000000001E-3</v>
      </c>
      <c r="K42" s="170">
        <v>0.03</v>
      </c>
      <c r="L42" s="484">
        <f t="shared" si="10"/>
        <v>904131</v>
      </c>
      <c r="M42" s="1022">
        <v>0.78</v>
      </c>
      <c r="N42" s="484">
        <f t="shared" si="11"/>
        <v>26619</v>
      </c>
      <c r="O42" s="484">
        <f t="shared" si="12"/>
        <v>930750</v>
      </c>
      <c r="P42" s="503" t="s">
        <v>488</v>
      </c>
      <c r="Q42" s="504" t="s">
        <v>524</v>
      </c>
      <c r="R42" s="505" t="s">
        <v>507</v>
      </c>
      <c r="S42" s="505" t="s">
        <v>517</v>
      </c>
      <c r="T42" s="504"/>
      <c r="U42" s="504"/>
      <c r="V42" s="498"/>
      <c r="W42" s="498"/>
    </row>
    <row r="43" spans="1:27" s="501" customFormat="1" x14ac:dyDescent="0.2">
      <c r="A43" s="180">
        <v>26436</v>
      </c>
      <c r="B43" s="180" t="s">
        <v>523</v>
      </c>
      <c r="C43" s="181">
        <v>36100</v>
      </c>
      <c r="D43" s="181">
        <v>37925</v>
      </c>
      <c r="E43" s="180">
        <v>365</v>
      </c>
      <c r="F43" s="182">
        <v>59000</v>
      </c>
      <c r="G43" s="182">
        <f t="shared" si="7"/>
        <v>21535000</v>
      </c>
      <c r="H43" s="508">
        <f t="shared" si="8"/>
        <v>1.4865600000000001</v>
      </c>
      <c r="I43" s="173">
        <f t="shared" si="9"/>
        <v>4.8900000000000006E-2</v>
      </c>
      <c r="J43" s="170">
        <v>1.1000000000000001E-3</v>
      </c>
      <c r="K43" s="170">
        <v>0.05</v>
      </c>
      <c r="L43" s="484">
        <f t="shared" si="10"/>
        <v>1058273</v>
      </c>
      <c r="M43" s="1022">
        <v>0.78</v>
      </c>
      <c r="N43" s="484">
        <f t="shared" si="11"/>
        <v>18477</v>
      </c>
      <c r="O43" s="484">
        <f t="shared" si="12"/>
        <v>1076750</v>
      </c>
      <c r="P43" s="503" t="s">
        <v>488</v>
      </c>
      <c r="Q43" s="504" t="s">
        <v>524</v>
      </c>
      <c r="R43" s="505" t="s">
        <v>507</v>
      </c>
      <c r="S43" s="505" t="s">
        <v>517</v>
      </c>
      <c r="T43" s="504"/>
      <c r="U43" s="504"/>
      <c r="V43" s="498"/>
      <c r="W43" s="498"/>
    </row>
    <row r="44" spans="1:27" s="501" customFormat="1" x14ac:dyDescent="0.2">
      <c r="A44" s="1064">
        <v>27342</v>
      </c>
      <c r="B44" s="1064"/>
      <c r="C44" s="1065"/>
      <c r="D44" s="1065"/>
      <c r="E44" s="1064"/>
      <c r="F44" s="1066"/>
      <c r="G44" s="1067">
        <f t="shared" si="7"/>
        <v>0</v>
      </c>
      <c r="H44" s="1068">
        <f t="shared" si="8"/>
        <v>0</v>
      </c>
      <c r="I44" s="1069">
        <f t="shared" si="9"/>
        <v>0</v>
      </c>
      <c r="J44" s="1070">
        <v>0</v>
      </c>
      <c r="K44" s="1071">
        <v>0</v>
      </c>
      <c r="L44" s="527">
        <f t="shared" si="10"/>
        <v>0</v>
      </c>
      <c r="M44" s="1022">
        <v>0.78</v>
      </c>
      <c r="N44" s="527">
        <f t="shared" si="11"/>
        <v>0</v>
      </c>
      <c r="O44" s="527">
        <f t="shared" si="12"/>
        <v>0</v>
      </c>
      <c r="P44" s="503"/>
      <c r="Q44" s="504"/>
      <c r="R44" s="505"/>
      <c r="S44" s="505"/>
      <c r="T44" s="504"/>
      <c r="U44" s="566"/>
      <c r="V44" s="498"/>
      <c r="W44" s="498"/>
    </row>
    <row r="45" spans="1:27" s="501" customFormat="1" x14ac:dyDescent="0.2">
      <c r="A45" s="488"/>
      <c r="B45" s="488"/>
      <c r="C45" s="489"/>
      <c r="D45" s="528"/>
      <c r="E45" s="529"/>
      <c r="F45" s="603"/>
      <c r="G45" s="567"/>
      <c r="H45" s="532"/>
      <c r="I45" s="533"/>
      <c r="J45" s="533"/>
      <c r="K45" s="568"/>
      <c r="L45" s="1093">
        <f>SUM(L39:L44)</f>
        <v>3687784</v>
      </c>
      <c r="M45" s="1023"/>
      <c r="N45" s="1093">
        <f>SUM(N39:N44)</f>
        <v>71716</v>
      </c>
      <c r="O45" s="1093">
        <f t="shared" si="12"/>
        <v>3759500</v>
      </c>
      <c r="P45" s="536"/>
      <c r="Q45" s="537"/>
      <c r="R45" s="538"/>
      <c r="S45" s="538"/>
      <c r="T45" s="537"/>
      <c r="U45" s="537"/>
      <c r="V45" s="498"/>
      <c r="W45" s="498"/>
    </row>
    <row r="46" spans="1:27" s="513" customFormat="1" ht="12.75" customHeight="1" x14ac:dyDescent="0.2">
      <c r="A46" s="488"/>
      <c r="B46" s="488"/>
      <c r="C46" s="489"/>
      <c r="D46" s="528"/>
      <c r="E46" s="529"/>
      <c r="F46" s="530"/>
      <c r="G46" s="567"/>
      <c r="H46" s="532"/>
      <c r="I46" s="533"/>
      <c r="J46" s="533"/>
      <c r="K46" s="568"/>
      <c r="L46" s="604"/>
      <c r="M46" s="1023"/>
      <c r="N46" s="536"/>
      <c r="O46" s="536"/>
      <c r="P46" s="536"/>
      <c r="Q46" s="537"/>
      <c r="R46" s="538"/>
      <c r="S46" s="538"/>
      <c r="T46" s="537"/>
      <c r="U46" s="537"/>
      <c r="V46" s="498"/>
      <c r="W46" s="498"/>
      <c r="X46" s="501"/>
      <c r="Y46" s="501"/>
      <c r="Z46" s="501"/>
      <c r="AA46" s="501"/>
    </row>
    <row r="47" spans="1:27" s="501" customFormat="1" x14ac:dyDescent="0.2">
      <c r="A47" s="540" t="s">
        <v>507</v>
      </c>
      <c r="B47" s="540" t="s">
        <v>526</v>
      </c>
      <c r="C47" s="489"/>
      <c r="D47" s="528"/>
      <c r="E47" s="529"/>
      <c r="F47" s="531"/>
      <c r="G47" s="567"/>
      <c r="H47" s="541"/>
      <c r="I47" s="533"/>
      <c r="J47" s="533"/>
      <c r="K47" s="568"/>
      <c r="L47" s="604"/>
      <c r="M47" s="1023"/>
      <c r="N47" s="536"/>
      <c r="O47" s="536"/>
      <c r="P47" s="536"/>
      <c r="Q47" s="537"/>
      <c r="R47" s="538"/>
      <c r="S47" s="538"/>
      <c r="T47" s="537"/>
      <c r="U47" s="537"/>
      <c r="V47" s="512"/>
      <c r="W47" s="512"/>
      <c r="X47" s="513"/>
      <c r="Y47" s="513"/>
      <c r="Z47" s="513"/>
      <c r="AA47" s="513"/>
    </row>
    <row r="48" spans="1:27" s="570" customFormat="1" x14ac:dyDescent="0.2">
      <c r="A48" s="180">
        <v>24669</v>
      </c>
      <c r="B48" s="180" t="s">
        <v>527</v>
      </c>
      <c r="C48" s="181" t="s">
        <v>518</v>
      </c>
      <c r="D48" s="181">
        <v>38748</v>
      </c>
      <c r="E48" s="180">
        <v>365</v>
      </c>
      <c r="F48" s="733">
        <v>12500</v>
      </c>
      <c r="G48" s="182">
        <v>0</v>
      </c>
      <c r="H48" s="483">
        <f t="shared" ref="H48:H54" si="13">SUM(I48*30.4)</f>
        <v>1.8239999999999998</v>
      </c>
      <c r="I48" s="173">
        <f t="shared" ref="I48:I55" si="14">K48-J48</f>
        <v>0.06</v>
      </c>
      <c r="J48" s="170">
        <v>0</v>
      </c>
      <c r="K48" s="173">
        <v>0.06</v>
      </c>
      <c r="L48" s="484">
        <f t="shared" ref="L48:L53" si="15">(SUM(K48*G48))-N48</f>
        <v>0</v>
      </c>
      <c r="M48" s="1022">
        <v>0.9</v>
      </c>
      <c r="N48" s="484">
        <f t="shared" ref="N48:N55" si="16">ROUND(J48*G48*M48,0)</f>
        <v>0</v>
      </c>
      <c r="O48" s="484">
        <f t="shared" ref="O48:O56" si="17">L48+N48</f>
        <v>0</v>
      </c>
      <c r="P48" s="503" t="s">
        <v>478</v>
      </c>
      <c r="Q48" s="569" t="s">
        <v>528</v>
      </c>
      <c r="R48" s="505" t="s">
        <v>507</v>
      </c>
      <c r="S48" s="509" t="s">
        <v>526</v>
      </c>
      <c r="T48" s="569"/>
      <c r="U48" s="499" t="s">
        <v>508</v>
      </c>
    </row>
    <row r="49" spans="1:22" s="570" customFormat="1" x14ac:dyDescent="0.2">
      <c r="A49" s="180">
        <v>24925</v>
      </c>
      <c r="B49" s="180" t="s">
        <v>305</v>
      </c>
      <c r="C49" s="185" t="s">
        <v>518</v>
      </c>
      <c r="D49" s="181">
        <v>38017</v>
      </c>
      <c r="E49" s="180">
        <v>365</v>
      </c>
      <c r="F49" s="182">
        <v>50000</v>
      </c>
      <c r="G49" s="186">
        <f t="shared" ref="G49:G55" si="18">SUM(E49*F49)</f>
        <v>18250000</v>
      </c>
      <c r="H49" s="483">
        <f t="shared" si="13"/>
        <v>1.7267199999999998</v>
      </c>
      <c r="I49" s="173">
        <f t="shared" si="14"/>
        <v>5.6799999999999996E-2</v>
      </c>
      <c r="J49" s="170">
        <v>3.2000000000000002E-3</v>
      </c>
      <c r="K49" s="173">
        <v>0.06</v>
      </c>
      <c r="L49" s="484">
        <f t="shared" si="15"/>
        <v>1042440</v>
      </c>
      <c r="M49" s="1022">
        <v>0.9</v>
      </c>
      <c r="N49" s="484">
        <f t="shared" si="16"/>
        <v>52560</v>
      </c>
      <c r="O49" s="484">
        <f t="shared" si="17"/>
        <v>1095000</v>
      </c>
      <c r="P49" s="503" t="s">
        <v>478</v>
      </c>
      <c r="Q49" s="496" t="s">
        <v>519</v>
      </c>
      <c r="R49" s="497" t="s">
        <v>507</v>
      </c>
      <c r="S49" s="509" t="s">
        <v>526</v>
      </c>
      <c r="T49" s="498"/>
      <c r="U49" s="499" t="s">
        <v>508</v>
      </c>
    </row>
    <row r="50" spans="1:22" s="570" customFormat="1" x14ac:dyDescent="0.2">
      <c r="A50" s="180">
        <v>24927</v>
      </c>
      <c r="B50" s="180" t="s">
        <v>304</v>
      </c>
      <c r="C50" s="185" t="s">
        <v>518</v>
      </c>
      <c r="D50" s="181">
        <v>38748</v>
      </c>
      <c r="E50" s="180">
        <f>31+28+31+30+31</f>
        <v>151</v>
      </c>
      <c r="F50" s="182">
        <v>30000</v>
      </c>
      <c r="G50" s="186">
        <f t="shared" si="18"/>
        <v>4530000</v>
      </c>
      <c r="H50" s="483">
        <f t="shared" si="13"/>
        <v>0.96672000000000002</v>
      </c>
      <c r="I50" s="173">
        <f t="shared" si="14"/>
        <v>3.1800000000000002E-2</v>
      </c>
      <c r="J50" s="170">
        <v>3.2000000000000002E-3</v>
      </c>
      <c r="K50" s="173">
        <v>3.5000000000000003E-2</v>
      </c>
      <c r="L50" s="484">
        <f t="shared" si="15"/>
        <v>145504.00000000003</v>
      </c>
      <c r="M50" s="1022">
        <v>0.9</v>
      </c>
      <c r="N50" s="484">
        <f t="shared" si="16"/>
        <v>13046</v>
      </c>
      <c r="O50" s="484">
        <f t="shared" si="17"/>
        <v>158550.00000000003</v>
      </c>
      <c r="P50" s="503" t="s">
        <v>478</v>
      </c>
      <c r="Q50" s="558" t="s">
        <v>529</v>
      </c>
      <c r="R50" s="497" t="s">
        <v>507</v>
      </c>
      <c r="S50" s="514" t="s">
        <v>526</v>
      </c>
      <c r="T50" s="558"/>
      <c r="U50" s="499" t="s">
        <v>530</v>
      </c>
    </row>
    <row r="51" spans="1:22" s="570" customFormat="1" x14ac:dyDescent="0.2">
      <c r="A51" s="180">
        <v>24927</v>
      </c>
      <c r="B51" s="180" t="s">
        <v>304</v>
      </c>
      <c r="C51" s="185" t="s">
        <v>518</v>
      </c>
      <c r="D51" s="181">
        <v>38748</v>
      </c>
      <c r="E51" s="180">
        <f>30+31+30+31+31+30+31</f>
        <v>214</v>
      </c>
      <c r="F51" s="182">
        <v>30000</v>
      </c>
      <c r="G51" s="186">
        <f t="shared" si="18"/>
        <v>6420000</v>
      </c>
      <c r="H51" s="483">
        <f t="shared" si="13"/>
        <v>1.1187199999999999</v>
      </c>
      <c r="I51" s="173">
        <f t="shared" si="14"/>
        <v>3.6799999999999999E-2</v>
      </c>
      <c r="J51" s="170">
        <v>3.2000000000000002E-3</v>
      </c>
      <c r="K51" s="173">
        <v>0.04</v>
      </c>
      <c r="L51" s="484">
        <f t="shared" si="15"/>
        <v>238310</v>
      </c>
      <c r="M51" s="1022">
        <v>0.9</v>
      </c>
      <c r="N51" s="484">
        <f t="shared" si="16"/>
        <v>18490</v>
      </c>
      <c r="O51" s="484">
        <f t="shared" si="17"/>
        <v>256800</v>
      </c>
      <c r="P51" s="503"/>
      <c r="Q51" s="558"/>
      <c r="R51" s="497"/>
      <c r="S51" s="514"/>
      <c r="T51" s="558"/>
      <c r="U51" s="499"/>
    </row>
    <row r="52" spans="1:22" s="501" customFormat="1" x14ac:dyDescent="0.2">
      <c r="A52" s="180">
        <v>27047</v>
      </c>
      <c r="B52" s="180" t="s">
        <v>307</v>
      </c>
      <c r="C52" s="181">
        <v>36557</v>
      </c>
      <c r="D52" s="181">
        <v>38717</v>
      </c>
      <c r="E52" s="180">
        <v>365</v>
      </c>
      <c r="F52" s="182">
        <v>150000</v>
      </c>
      <c r="G52" s="182">
        <f t="shared" si="18"/>
        <v>54750000</v>
      </c>
      <c r="H52" s="508">
        <f t="shared" si="13"/>
        <v>0.69311999999999985</v>
      </c>
      <c r="I52" s="173">
        <f t="shared" si="14"/>
        <v>2.2799999999999997E-2</v>
      </c>
      <c r="J52" s="170">
        <v>3.2000000000000002E-3</v>
      </c>
      <c r="K52" s="572">
        <v>2.5999999999999999E-2</v>
      </c>
      <c r="L52" s="484">
        <f t="shared" si="15"/>
        <v>1265820</v>
      </c>
      <c r="M52" s="1022">
        <v>0.9</v>
      </c>
      <c r="N52" s="484">
        <f t="shared" si="16"/>
        <v>157680</v>
      </c>
      <c r="O52" s="484">
        <f t="shared" si="17"/>
        <v>1423500</v>
      </c>
      <c r="P52" s="503" t="s">
        <v>296</v>
      </c>
      <c r="Q52" s="175" t="s">
        <v>531</v>
      </c>
      <c r="R52" s="497" t="s">
        <v>507</v>
      </c>
      <c r="S52" s="509" t="s">
        <v>526</v>
      </c>
      <c r="T52" s="175"/>
      <c r="U52" s="504" t="s">
        <v>532</v>
      </c>
      <c r="V52" s="498"/>
    </row>
    <row r="53" spans="1:22" s="501" customFormat="1" x14ac:dyDescent="0.2">
      <c r="A53" s="180">
        <v>27344</v>
      </c>
      <c r="B53" s="180" t="s">
        <v>533</v>
      </c>
      <c r="C53" s="181">
        <v>36892</v>
      </c>
      <c r="D53" s="181">
        <v>37621</v>
      </c>
      <c r="E53" s="180">
        <v>365</v>
      </c>
      <c r="F53" s="182">
        <v>13500</v>
      </c>
      <c r="G53" s="182">
        <f t="shared" si="18"/>
        <v>4927500</v>
      </c>
      <c r="H53" s="508">
        <f t="shared" si="13"/>
        <v>1.2707199999999998</v>
      </c>
      <c r="I53" s="173">
        <f t="shared" si="14"/>
        <v>4.1799999999999997E-2</v>
      </c>
      <c r="J53" s="170">
        <v>3.2000000000000002E-3</v>
      </c>
      <c r="K53" s="170">
        <v>4.4999999999999998E-2</v>
      </c>
      <c r="L53" s="484">
        <f t="shared" si="15"/>
        <v>207546.5</v>
      </c>
      <c r="M53" s="1022">
        <v>0.9</v>
      </c>
      <c r="N53" s="484">
        <f t="shared" si="16"/>
        <v>14191</v>
      </c>
      <c r="O53" s="484">
        <f t="shared" si="17"/>
        <v>221737.5</v>
      </c>
      <c r="P53" s="503" t="s">
        <v>478</v>
      </c>
      <c r="Q53" s="175"/>
      <c r="R53" s="497"/>
      <c r="S53" s="509"/>
      <c r="T53" s="175"/>
      <c r="U53" s="504"/>
      <c r="V53" s="498"/>
    </row>
    <row r="54" spans="1:22" s="726" customFormat="1" ht="12.75" customHeight="1" x14ac:dyDescent="0.2">
      <c r="A54" s="1064">
        <v>27370</v>
      </c>
      <c r="B54" s="1064" t="s">
        <v>306</v>
      </c>
      <c r="C54" s="1065">
        <v>36892</v>
      </c>
      <c r="D54" s="1065">
        <v>37621</v>
      </c>
      <c r="E54" s="1064">
        <v>365</v>
      </c>
      <c r="F54" s="733">
        <v>22000</v>
      </c>
      <c r="G54" s="1067">
        <f t="shared" si="18"/>
        <v>8030000</v>
      </c>
      <c r="H54" s="1068">
        <f t="shared" si="13"/>
        <v>3.1919999999999997</v>
      </c>
      <c r="I54" s="1069">
        <f t="shared" si="14"/>
        <v>0.105</v>
      </c>
      <c r="J54" s="1070">
        <v>0</v>
      </c>
      <c r="K54" s="1071">
        <v>0.105</v>
      </c>
      <c r="L54" s="484">
        <f>(SUM(K54*G54))</f>
        <v>843150</v>
      </c>
      <c r="M54" s="1022">
        <v>0.9</v>
      </c>
      <c r="N54" s="484">
        <f t="shared" si="16"/>
        <v>0</v>
      </c>
      <c r="O54" s="484">
        <f t="shared" si="17"/>
        <v>843150</v>
      </c>
      <c r="P54" s="732" t="s">
        <v>593</v>
      </c>
      <c r="Q54" s="519"/>
      <c r="R54" s="722"/>
      <c r="S54" s="723"/>
      <c r="T54" s="519"/>
      <c r="U54" s="724"/>
      <c r="V54" s="725"/>
    </row>
    <row r="55" spans="1:22" s="739" customFormat="1" x14ac:dyDescent="0.2">
      <c r="A55" s="180">
        <v>27460</v>
      </c>
      <c r="B55" s="180" t="s">
        <v>306</v>
      </c>
      <c r="C55" s="181">
        <v>37257</v>
      </c>
      <c r="D55" s="181">
        <v>37986</v>
      </c>
      <c r="E55" s="180">
        <v>365</v>
      </c>
      <c r="F55" s="736">
        <v>55000</v>
      </c>
      <c r="G55" s="182">
        <f t="shared" si="18"/>
        <v>20075000</v>
      </c>
      <c r="H55" s="508">
        <f>SUM(I55*30.4)</f>
        <v>3.1007999999999996</v>
      </c>
      <c r="I55" s="173">
        <f t="shared" si="14"/>
        <v>0.10199999999999999</v>
      </c>
      <c r="J55" s="565">
        <v>0</v>
      </c>
      <c r="K55" s="170">
        <v>0.10199999999999999</v>
      </c>
      <c r="L55" s="527">
        <f>(SUM(K55*G55))</f>
        <v>2047649.9999999998</v>
      </c>
      <c r="M55" s="1022">
        <v>0.9</v>
      </c>
      <c r="N55" s="527">
        <f t="shared" si="16"/>
        <v>0</v>
      </c>
      <c r="O55" s="527">
        <f t="shared" si="17"/>
        <v>2047649.9999999998</v>
      </c>
      <c r="P55" s="732" t="s">
        <v>593</v>
      </c>
      <c r="Q55" s="175"/>
      <c r="R55" s="497"/>
      <c r="S55" s="509"/>
      <c r="T55" s="175"/>
      <c r="U55" s="737"/>
      <c r="V55" s="738"/>
    </row>
    <row r="56" spans="1:22" s="501" customFormat="1" x14ac:dyDescent="0.2">
      <c r="A56" s="488"/>
      <c r="B56" s="488"/>
      <c r="C56" s="545"/>
      <c r="D56" s="528"/>
      <c r="E56" s="529"/>
      <c r="F56" s="603"/>
      <c r="G56" s="550"/>
      <c r="H56" s="532"/>
      <c r="I56" s="533"/>
      <c r="J56" s="534"/>
      <c r="K56" s="547"/>
      <c r="L56" s="1093">
        <f>SUM(L48:L55)</f>
        <v>5790420.5</v>
      </c>
      <c r="M56" s="1023"/>
      <c r="N56" s="1093">
        <f>SUM(N48:N55)</f>
        <v>255967</v>
      </c>
      <c r="O56" s="1093">
        <f t="shared" si="17"/>
        <v>6046387.5</v>
      </c>
      <c r="P56" s="536"/>
      <c r="Q56" s="577"/>
      <c r="R56" s="578"/>
      <c r="S56" s="554"/>
      <c r="T56" s="537"/>
      <c r="U56" s="539"/>
      <c r="V56" s="498"/>
    </row>
    <row r="57" spans="1:22" s="501" customFormat="1" x14ac:dyDescent="0.2">
      <c r="A57" s="488"/>
      <c r="B57" s="488"/>
      <c r="C57" s="545"/>
      <c r="D57" s="528"/>
      <c r="E57" s="529"/>
      <c r="F57" s="530"/>
      <c r="G57" s="550"/>
      <c r="H57" s="532"/>
      <c r="I57" s="533"/>
      <c r="J57" s="534"/>
      <c r="K57" s="547"/>
      <c r="L57" s="604"/>
      <c r="M57" s="1023"/>
      <c r="N57" s="536"/>
      <c r="O57" s="536"/>
      <c r="P57" s="536"/>
      <c r="Q57" s="577"/>
      <c r="R57" s="578"/>
      <c r="S57" s="554"/>
      <c r="T57" s="537"/>
      <c r="U57" s="539"/>
      <c r="V57" s="498"/>
    </row>
    <row r="58" spans="1:22" s="501" customFormat="1" x14ac:dyDescent="0.2">
      <c r="A58" s="540" t="s">
        <v>512</v>
      </c>
      <c r="B58" s="540" t="s">
        <v>512</v>
      </c>
      <c r="C58" s="545"/>
      <c r="D58" s="528"/>
      <c r="E58" s="529"/>
      <c r="F58" s="531"/>
      <c r="G58" s="550"/>
      <c r="H58" s="551"/>
      <c r="I58" s="534"/>
      <c r="J58" s="534"/>
      <c r="K58" s="547"/>
      <c r="L58" s="604"/>
      <c r="M58" s="1023"/>
      <c r="N58" s="536"/>
      <c r="O58" s="536"/>
      <c r="P58" s="536"/>
      <c r="Q58" s="577"/>
      <c r="R58" s="578"/>
      <c r="S58" s="554"/>
      <c r="T58" s="537"/>
      <c r="U58" s="539"/>
      <c r="V58" s="498"/>
    </row>
    <row r="59" spans="1:22" s="570" customFormat="1" ht="12.75" customHeight="1" x14ac:dyDescent="0.2">
      <c r="A59" s="180">
        <v>20715</v>
      </c>
      <c r="B59" s="180" t="s">
        <v>285</v>
      </c>
      <c r="C59" s="579" t="s">
        <v>8</v>
      </c>
      <c r="D59" s="181">
        <v>38656</v>
      </c>
      <c r="E59" s="180">
        <v>365</v>
      </c>
      <c r="F59" s="733">
        <v>200000</v>
      </c>
      <c r="G59" s="182">
        <f t="shared" ref="G59:G73" si="19">SUM(E59*F59)</f>
        <v>73000000</v>
      </c>
      <c r="H59" s="508">
        <f t="shared" ref="H59:H73" si="20">SUM(I59*30.4)</f>
        <v>3.2649599999999999</v>
      </c>
      <c r="I59" s="173">
        <f t="shared" ref="I59:I73" si="21">K59-J59</f>
        <v>0.1074</v>
      </c>
      <c r="J59" s="565">
        <v>0</v>
      </c>
      <c r="K59" s="170">
        <v>0.1074</v>
      </c>
      <c r="L59" s="484">
        <f t="shared" ref="L59:L73" si="22">(SUM(K59*G59))-N59</f>
        <v>7840200</v>
      </c>
      <c r="M59" s="1022">
        <v>0.92</v>
      </c>
      <c r="N59" s="484">
        <f t="shared" ref="N59:N73" si="23">ROUND(J59*G59*M59,0)</f>
        <v>0</v>
      </c>
      <c r="O59" s="484">
        <f t="shared" ref="O59:O72" si="24">L59+N59</f>
        <v>7840200</v>
      </c>
      <c r="P59" s="732" t="s">
        <v>26</v>
      </c>
      <c r="Q59" s="175" t="s">
        <v>8</v>
      </c>
      <c r="R59" s="511" t="s">
        <v>512</v>
      </c>
      <c r="S59" s="511" t="s">
        <v>534</v>
      </c>
      <c r="T59" s="580"/>
      <c r="U59"/>
    </row>
    <row r="60" spans="1:22" s="570" customFormat="1" ht="12.75" customHeight="1" x14ac:dyDescent="0.2">
      <c r="A60" s="180">
        <v>20715</v>
      </c>
      <c r="B60" s="180" t="s">
        <v>285</v>
      </c>
      <c r="C60" s="579" t="s">
        <v>8</v>
      </c>
      <c r="D60" s="181">
        <v>38656</v>
      </c>
      <c r="E60" s="180">
        <v>61</v>
      </c>
      <c r="F60" s="733">
        <v>200000</v>
      </c>
      <c r="G60" s="182">
        <f t="shared" si="19"/>
        <v>12200000</v>
      </c>
      <c r="H60" s="508">
        <f t="shared" si="20"/>
        <v>6.6879999999999995E-2</v>
      </c>
      <c r="I60" s="173">
        <f t="shared" si="21"/>
        <v>2.2000000000000001E-3</v>
      </c>
      <c r="J60" s="565">
        <v>0</v>
      </c>
      <c r="K60" s="170">
        <v>2.2000000000000001E-3</v>
      </c>
      <c r="L60" s="484">
        <f t="shared" si="22"/>
        <v>26840</v>
      </c>
      <c r="M60" s="1022">
        <v>0.92</v>
      </c>
      <c r="N60" s="484">
        <f t="shared" si="23"/>
        <v>0</v>
      </c>
      <c r="O60" s="484">
        <f t="shared" si="24"/>
        <v>26840</v>
      </c>
      <c r="P60" s="732"/>
      <c r="Q60" s="175"/>
      <c r="R60" s="511"/>
      <c r="S60" s="511"/>
      <c r="T60" s="580"/>
      <c r="U60"/>
    </row>
    <row r="61" spans="1:22" s="570" customFormat="1" ht="12.75" customHeight="1" x14ac:dyDescent="0.2">
      <c r="A61" s="180">
        <v>20835</v>
      </c>
      <c r="B61" s="180" t="s">
        <v>293</v>
      </c>
      <c r="C61" s="579" t="s">
        <v>535</v>
      </c>
      <c r="D61" s="181">
        <v>37315</v>
      </c>
      <c r="E61" s="180">
        <v>59</v>
      </c>
      <c r="F61" s="733">
        <v>20000</v>
      </c>
      <c r="G61" s="182">
        <f t="shared" si="19"/>
        <v>1180000</v>
      </c>
      <c r="H61" s="508">
        <f t="shared" si="20"/>
        <v>3.2649599999999999</v>
      </c>
      <c r="I61" s="173">
        <f t="shared" si="21"/>
        <v>0.1074</v>
      </c>
      <c r="J61" s="565">
        <v>0</v>
      </c>
      <c r="K61" s="170">
        <v>0.1074</v>
      </c>
      <c r="L61" s="484">
        <f t="shared" si="22"/>
        <v>126732</v>
      </c>
      <c r="M61" s="1022">
        <v>0.92</v>
      </c>
      <c r="N61" s="484">
        <f t="shared" si="23"/>
        <v>0</v>
      </c>
      <c r="O61" s="484">
        <f t="shared" si="24"/>
        <v>126732</v>
      </c>
      <c r="P61" s="732" t="s">
        <v>292</v>
      </c>
      <c r="Q61" s="581" t="s">
        <v>8</v>
      </c>
      <c r="R61" s="511" t="s">
        <v>512</v>
      </c>
      <c r="S61" s="511" t="s">
        <v>534</v>
      </c>
      <c r="T61" s="582"/>
      <c r="U61" s="487"/>
    </row>
    <row r="62" spans="1:22" s="570" customFormat="1" ht="12.75" customHeight="1" x14ac:dyDescent="0.2">
      <c r="A62" s="180">
        <v>21175</v>
      </c>
      <c r="B62" s="180" t="s">
        <v>536</v>
      </c>
      <c r="C62" s="579" t="s">
        <v>535</v>
      </c>
      <c r="D62" s="181">
        <v>39172</v>
      </c>
      <c r="E62" s="180">
        <v>365</v>
      </c>
      <c r="F62" s="733">
        <v>150000</v>
      </c>
      <c r="G62" s="182">
        <f t="shared" si="19"/>
        <v>54750000</v>
      </c>
      <c r="H62" s="508">
        <f t="shared" si="20"/>
        <v>3.2649599999999999</v>
      </c>
      <c r="I62" s="173">
        <f t="shared" si="21"/>
        <v>0.1074</v>
      </c>
      <c r="J62" s="565">
        <v>0</v>
      </c>
      <c r="K62" s="170">
        <v>0.1074</v>
      </c>
      <c r="L62" s="484">
        <f t="shared" si="22"/>
        <v>5880150</v>
      </c>
      <c r="M62" s="1022">
        <v>0.92</v>
      </c>
      <c r="N62" s="484">
        <f t="shared" si="23"/>
        <v>0</v>
      </c>
      <c r="O62" s="484">
        <f t="shared" si="24"/>
        <v>5880150</v>
      </c>
      <c r="P62" s="732" t="s">
        <v>537</v>
      </c>
      <c r="Q62" s="583" t="s">
        <v>538</v>
      </c>
      <c r="R62" s="511" t="s">
        <v>512</v>
      </c>
      <c r="S62" s="511" t="s">
        <v>534</v>
      </c>
      <c r="T62" s="582"/>
      <c r="U62" s="487"/>
    </row>
    <row r="63" spans="1:22" s="570" customFormat="1" ht="12.75" customHeight="1" x14ac:dyDescent="0.2">
      <c r="A63" s="180">
        <v>21175</v>
      </c>
      <c r="B63" s="180" t="s">
        <v>536</v>
      </c>
      <c r="C63" s="579" t="s">
        <v>535</v>
      </c>
      <c r="D63" s="181">
        <v>39172</v>
      </c>
      <c r="E63" s="180">
        <v>61</v>
      </c>
      <c r="F63" s="733">
        <v>150000</v>
      </c>
      <c r="G63" s="182">
        <f t="shared" si="19"/>
        <v>9150000</v>
      </c>
      <c r="H63" s="508">
        <f t="shared" si="20"/>
        <v>6.6879999999999995E-2</v>
      </c>
      <c r="I63" s="173">
        <f t="shared" si="21"/>
        <v>2.2000000000000001E-3</v>
      </c>
      <c r="J63" s="565">
        <v>0</v>
      </c>
      <c r="K63" s="170">
        <v>2.2000000000000001E-3</v>
      </c>
      <c r="L63" s="484">
        <f t="shared" si="22"/>
        <v>20130</v>
      </c>
      <c r="M63" s="1022">
        <v>0.92</v>
      </c>
      <c r="N63" s="484">
        <f t="shared" si="23"/>
        <v>0</v>
      </c>
      <c r="O63" s="484">
        <f t="shared" si="24"/>
        <v>20130</v>
      </c>
      <c r="P63" s="732"/>
      <c r="Q63" s="583"/>
      <c r="R63" s="511"/>
      <c r="S63" s="511"/>
      <c r="T63" s="582"/>
      <c r="U63" s="487"/>
    </row>
    <row r="64" spans="1:22" s="570" customFormat="1" ht="12.75" customHeight="1" x14ac:dyDescent="0.2">
      <c r="A64" s="488">
        <v>21372</v>
      </c>
      <c r="B64" s="488" t="s">
        <v>539</v>
      </c>
      <c r="C64" s="584" t="s">
        <v>540</v>
      </c>
      <c r="D64" s="489">
        <v>34393</v>
      </c>
      <c r="E64" s="180">
        <f>$E$2</f>
        <v>0</v>
      </c>
      <c r="F64" s="182">
        <v>1346</v>
      </c>
      <c r="G64" s="490">
        <v>0</v>
      </c>
      <c r="H64" s="502"/>
      <c r="I64" s="173">
        <f t="shared" si="21"/>
        <v>0</v>
      </c>
      <c r="J64" s="585">
        <v>0</v>
      </c>
      <c r="K64" s="493"/>
      <c r="L64" s="484">
        <f t="shared" si="22"/>
        <v>0</v>
      </c>
      <c r="M64" s="1022">
        <v>0.92</v>
      </c>
      <c r="N64" s="484">
        <f t="shared" si="23"/>
        <v>0</v>
      </c>
      <c r="O64" s="484">
        <f t="shared" si="24"/>
        <v>0</v>
      </c>
      <c r="P64" s="732"/>
      <c r="Q64" s="586" t="s">
        <v>541</v>
      </c>
      <c r="R64" s="509" t="s">
        <v>512</v>
      </c>
      <c r="S64" s="509" t="s">
        <v>512</v>
      </c>
      <c r="T64" s="582"/>
      <c r="U64" s="487"/>
    </row>
    <row r="65" spans="1:25" s="487" customFormat="1" x14ac:dyDescent="0.2">
      <c r="A65" s="180" t="s">
        <v>776</v>
      </c>
      <c r="B65" s="180" t="s">
        <v>777</v>
      </c>
      <c r="C65" s="579" t="s">
        <v>535</v>
      </c>
      <c r="D65" s="181">
        <v>39141</v>
      </c>
      <c r="E65" s="180">
        <v>365</v>
      </c>
      <c r="F65" s="733">
        <v>20000</v>
      </c>
      <c r="G65" s="182">
        <f t="shared" si="19"/>
        <v>7300000</v>
      </c>
      <c r="H65" s="508">
        <f t="shared" si="20"/>
        <v>3.2649599999999999</v>
      </c>
      <c r="I65" s="173">
        <f t="shared" si="21"/>
        <v>0.1074</v>
      </c>
      <c r="J65" s="565">
        <v>0</v>
      </c>
      <c r="K65" s="170">
        <v>0.1074</v>
      </c>
      <c r="L65" s="484">
        <f t="shared" si="22"/>
        <v>784020</v>
      </c>
      <c r="M65" s="1022">
        <v>0.92</v>
      </c>
      <c r="N65" s="484">
        <f t="shared" si="23"/>
        <v>0</v>
      </c>
      <c r="O65" s="484">
        <f t="shared" si="24"/>
        <v>784020</v>
      </c>
      <c r="P65" s="732" t="s">
        <v>292</v>
      </c>
      <c r="Q65" s="583" t="s">
        <v>8</v>
      </c>
      <c r="R65" s="511" t="s">
        <v>512</v>
      </c>
      <c r="S65" s="511" t="s">
        <v>534</v>
      </c>
      <c r="T65" s="587"/>
    </row>
    <row r="66" spans="1:25" s="487" customFormat="1" x14ac:dyDescent="0.2">
      <c r="A66" s="180" t="s">
        <v>776</v>
      </c>
      <c r="B66" s="180" t="s">
        <v>777</v>
      </c>
      <c r="C66" s="579" t="s">
        <v>535</v>
      </c>
      <c r="D66" s="181">
        <v>39141</v>
      </c>
      <c r="E66" s="180">
        <v>61</v>
      </c>
      <c r="F66" s="733">
        <v>20000</v>
      </c>
      <c r="G66" s="182">
        <f t="shared" si="19"/>
        <v>1220000</v>
      </c>
      <c r="H66" s="508">
        <f t="shared" si="20"/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 t="shared" si="22"/>
        <v>2684</v>
      </c>
      <c r="M66" s="1022">
        <v>0.92</v>
      </c>
      <c r="N66" s="484">
        <f t="shared" si="23"/>
        <v>0</v>
      </c>
      <c r="O66" s="484">
        <f t="shared" si="24"/>
        <v>2684</v>
      </c>
      <c r="P66" s="732"/>
      <c r="Q66" s="583"/>
      <c r="R66" s="511"/>
      <c r="S66" s="511"/>
      <c r="T66" s="587"/>
    </row>
    <row r="67" spans="1:25" s="487" customFormat="1" x14ac:dyDescent="0.2">
      <c r="A67" s="180">
        <v>26371</v>
      </c>
      <c r="B67" s="588" t="s">
        <v>542</v>
      </c>
      <c r="C67" s="579" t="s">
        <v>535</v>
      </c>
      <c r="D67" s="181">
        <v>39172</v>
      </c>
      <c r="E67" s="180">
        <v>365</v>
      </c>
      <c r="F67" s="733">
        <v>25000</v>
      </c>
      <c r="G67" s="182">
        <f t="shared" si="19"/>
        <v>9125000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980025</v>
      </c>
      <c r="M67" s="1022">
        <v>0.92</v>
      </c>
      <c r="N67" s="484">
        <f t="shared" si="23"/>
        <v>0</v>
      </c>
      <c r="O67" s="484">
        <f t="shared" si="24"/>
        <v>980025</v>
      </c>
      <c r="P67" s="734" t="s">
        <v>537</v>
      </c>
      <c r="Q67" s="583" t="s">
        <v>538</v>
      </c>
      <c r="R67" s="511" t="s">
        <v>512</v>
      </c>
      <c r="S67" s="511" t="s">
        <v>534</v>
      </c>
      <c r="T67" s="587"/>
    </row>
    <row r="68" spans="1:25" s="487" customFormat="1" x14ac:dyDescent="0.2">
      <c r="A68" s="180">
        <v>26371</v>
      </c>
      <c r="B68" s="588" t="s">
        <v>542</v>
      </c>
      <c r="C68" s="579" t="s">
        <v>535</v>
      </c>
      <c r="D68" s="181">
        <v>39172</v>
      </c>
      <c r="E68" s="180">
        <v>61</v>
      </c>
      <c r="F68" s="733">
        <v>25000</v>
      </c>
      <c r="G68" s="182">
        <f t="shared" si="19"/>
        <v>1525000</v>
      </c>
      <c r="H68" s="508">
        <f t="shared" si="20"/>
        <v>6.6879999999999995E-2</v>
      </c>
      <c r="I68" s="173">
        <f t="shared" si="21"/>
        <v>2.2000000000000001E-3</v>
      </c>
      <c r="J68" s="565">
        <v>0</v>
      </c>
      <c r="K68" s="170">
        <v>2.2000000000000001E-3</v>
      </c>
      <c r="L68" s="484">
        <f t="shared" si="22"/>
        <v>3355</v>
      </c>
      <c r="M68" s="1022">
        <v>0.92</v>
      </c>
      <c r="N68" s="484">
        <f t="shared" si="23"/>
        <v>0</v>
      </c>
      <c r="O68" s="484">
        <f t="shared" si="24"/>
        <v>3355</v>
      </c>
      <c r="P68" s="734"/>
      <c r="Q68" s="583"/>
      <c r="R68" s="511"/>
      <c r="S68" s="511"/>
      <c r="T68" s="587"/>
    </row>
    <row r="69" spans="1:25" s="487" customFormat="1" x14ac:dyDescent="0.2">
      <c r="A69" s="180" t="s">
        <v>775</v>
      </c>
      <c r="B69" s="180" t="s">
        <v>774</v>
      </c>
      <c r="C69" s="579" t="s">
        <v>535</v>
      </c>
      <c r="D69" s="181">
        <v>39141</v>
      </c>
      <c r="E69" s="180">
        <v>365</v>
      </c>
      <c r="F69" s="733">
        <v>25000</v>
      </c>
      <c r="G69" s="182">
        <f t="shared" si="19"/>
        <v>9125000</v>
      </c>
      <c r="H69" s="508">
        <f t="shared" si="20"/>
        <v>3.2649599999999999</v>
      </c>
      <c r="I69" s="173">
        <f t="shared" si="21"/>
        <v>0.1074</v>
      </c>
      <c r="J69" s="565">
        <v>0</v>
      </c>
      <c r="K69" s="170">
        <v>0.1074</v>
      </c>
      <c r="L69" s="484">
        <f t="shared" si="22"/>
        <v>980025</v>
      </c>
      <c r="M69" s="1022">
        <v>0.92</v>
      </c>
      <c r="N69" s="484">
        <f t="shared" si="23"/>
        <v>0</v>
      </c>
      <c r="O69" s="484">
        <f t="shared" si="24"/>
        <v>980025</v>
      </c>
      <c r="P69" s="732" t="s">
        <v>292</v>
      </c>
      <c r="Q69" s="175" t="s">
        <v>8</v>
      </c>
      <c r="R69" s="511" t="s">
        <v>512</v>
      </c>
      <c r="S69" s="511" t="s">
        <v>534</v>
      </c>
      <c r="T69" s="587"/>
    </row>
    <row r="70" spans="1:25" s="487" customFormat="1" x14ac:dyDescent="0.2">
      <c r="A70" s="180" t="s">
        <v>775</v>
      </c>
      <c r="B70" s="180" t="s">
        <v>774</v>
      </c>
      <c r="C70" s="579" t="s">
        <v>535</v>
      </c>
      <c r="D70" s="181">
        <v>39141</v>
      </c>
      <c r="E70" s="180">
        <v>61</v>
      </c>
      <c r="F70" s="733">
        <v>25000</v>
      </c>
      <c r="G70" s="182">
        <f t="shared" si="19"/>
        <v>1525000</v>
      </c>
      <c r="H70" s="508">
        <f t="shared" si="20"/>
        <v>6.6879999999999995E-2</v>
      </c>
      <c r="I70" s="173">
        <f t="shared" si="21"/>
        <v>2.2000000000000001E-3</v>
      </c>
      <c r="J70" s="565">
        <v>0</v>
      </c>
      <c r="K70" s="170">
        <v>2.2000000000000001E-3</v>
      </c>
      <c r="L70" s="484">
        <f t="shared" si="22"/>
        <v>3355</v>
      </c>
      <c r="M70" s="1022">
        <v>0.92</v>
      </c>
      <c r="N70" s="484">
        <f t="shared" si="23"/>
        <v>0</v>
      </c>
      <c r="O70" s="484">
        <f t="shared" si="24"/>
        <v>3355</v>
      </c>
      <c r="P70" s="732"/>
      <c r="Q70" s="175"/>
      <c r="R70" s="511"/>
      <c r="S70" s="511"/>
      <c r="T70" s="587"/>
    </row>
    <row r="71" spans="1:25" s="487" customFormat="1" x14ac:dyDescent="0.2">
      <c r="A71" s="180">
        <v>26677</v>
      </c>
      <c r="B71" s="510" t="s">
        <v>544</v>
      </c>
      <c r="C71" s="579" t="s">
        <v>535</v>
      </c>
      <c r="D71" s="181">
        <v>39172</v>
      </c>
      <c r="E71" s="180">
        <v>365</v>
      </c>
      <c r="F71" s="733">
        <v>25000</v>
      </c>
      <c r="G71" s="182">
        <f t="shared" si="19"/>
        <v>9125000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980025</v>
      </c>
      <c r="M71" s="1022">
        <v>0.92</v>
      </c>
      <c r="N71" s="484">
        <f t="shared" si="23"/>
        <v>0</v>
      </c>
      <c r="O71" s="484">
        <f t="shared" si="24"/>
        <v>980025</v>
      </c>
      <c r="P71" s="734" t="s">
        <v>537</v>
      </c>
      <c r="Q71" s="583" t="s">
        <v>538</v>
      </c>
      <c r="R71" s="511" t="s">
        <v>512</v>
      </c>
      <c r="S71" s="511" t="s">
        <v>534</v>
      </c>
      <c r="T71" s="587"/>
    </row>
    <row r="72" spans="1:25" s="487" customFormat="1" x14ac:dyDescent="0.2">
      <c r="A72" s="180">
        <v>26677</v>
      </c>
      <c r="B72" s="510" t="s">
        <v>544</v>
      </c>
      <c r="C72" s="579" t="s">
        <v>535</v>
      </c>
      <c r="D72" s="181">
        <v>39172</v>
      </c>
      <c r="E72" s="180">
        <v>61</v>
      </c>
      <c r="F72" s="733">
        <v>25000</v>
      </c>
      <c r="G72" s="182">
        <f t="shared" si="19"/>
        <v>1525000</v>
      </c>
      <c r="H72" s="508">
        <f t="shared" si="20"/>
        <v>6.6879999999999995E-2</v>
      </c>
      <c r="I72" s="173">
        <f t="shared" si="21"/>
        <v>2.2000000000000001E-3</v>
      </c>
      <c r="J72" s="565">
        <v>0</v>
      </c>
      <c r="K72" s="170">
        <v>2.2000000000000001E-3</v>
      </c>
      <c r="L72" s="484">
        <f t="shared" si="22"/>
        <v>3355</v>
      </c>
      <c r="M72" s="1022">
        <v>0.92</v>
      </c>
      <c r="N72" s="484">
        <f t="shared" si="23"/>
        <v>0</v>
      </c>
      <c r="O72" s="484">
        <f t="shared" si="24"/>
        <v>3355</v>
      </c>
      <c r="P72" s="734"/>
      <c r="Q72" s="583"/>
      <c r="R72" s="511"/>
      <c r="S72" s="511"/>
      <c r="T72" s="587"/>
    </row>
    <row r="73" spans="1:25" s="487" customFormat="1" ht="15" x14ac:dyDescent="0.35">
      <c r="A73" s="180"/>
      <c r="B73" s="180"/>
      <c r="C73" s="181"/>
      <c r="D73" s="181"/>
      <c r="E73" s="180"/>
      <c r="F73" s="526">
        <v>0</v>
      </c>
      <c r="G73" s="182">
        <f t="shared" si="19"/>
        <v>0</v>
      </c>
      <c r="H73" s="508">
        <f t="shared" si="20"/>
        <v>0</v>
      </c>
      <c r="I73" s="173">
        <f t="shared" si="21"/>
        <v>0</v>
      </c>
      <c r="J73" s="565">
        <v>0</v>
      </c>
      <c r="K73" s="170">
        <v>0</v>
      </c>
      <c r="L73" s="1094">
        <f t="shared" si="22"/>
        <v>0</v>
      </c>
      <c r="M73" s="1022">
        <v>0.92</v>
      </c>
      <c r="N73" s="527">
        <f t="shared" si="23"/>
        <v>0</v>
      </c>
      <c r="O73" s="527">
        <f>L73+N73</f>
        <v>0</v>
      </c>
      <c r="P73" s="516"/>
      <c r="Q73" s="583"/>
      <c r="R73" s="509"/>
      <c r="S73" s="509"/>
      <c r="T73" s="587"/>
    </row>
    <row r="74" spans="1:25" s="487" customFormat="1" x14ac:dyDescent="0.2">
      <c r="A74" s="488"/>
      <c r="B74" s="591"/>
      <c r="C74" s="592"/>
      <c r="D74" s="593"/>
      <c r="E74" s="529"/>
      <c r="F74" s="182"/>
      <c r="G74" s="594"/>
      <c r="H74" s="532"/>
      <c r="I74" s="533"/>
      <c r="J74" s="595"/>
      <c r="K74" s="596"/>
      <c r="L74" s="1091">
        <f>SUM(L59:L73)</f>
        <v>17630896</v>
      </c>
      <c r="M74" s="516"/>
      <c r="N74" s="598">
        <f>SUM(N59:N73)</f>
        <v>0</v>
      </c>
      <c r="O74" s="1092">
        <f>L74+N74</f>
        <v>17630896</v>
      </c>
      <c r="P74" s="503"/>
      <c r="Q74" s="580"/>
      <c r="R74" s="505"/>
      <c r="S74" s="505"/>
      <c r="T74" s="580"/>
      <c r="U74"/>
    </row>
    <row r="75" spans="1:25" s="487" customFormat="1" x14ac:dyDescent="0.2">
      <c r="A75" s="488"/>
      <c r="B75" s="591"/>
      <c r="C75" s="592"/>
      <c r="D75" s="593"/>
      <c r="E75" s="529"/>
      <c r="F75" s="599"/>
      <c r="G75" s="594"/>
      <c r="H75" s="532"/>
      <c r="I75" s="533"/>
      <c r="J75" s="595"/>
      <c r="K75" s="596"/>
      <c r="L75" s="183"/>
      <c r="M75" s="516"/>
      <c r="N75" s="598"/>
      <c r="O75" s="598"/>
      <c r="P75" s="503"/>
      <c r="Q75" s="580"/>
      <c r="R75" s="505"/>
      <c r="S75" s="505"/>
      <c r="T75" s="580"/>
      <c r="U75"/>
    </row>
    <row r="76" spans="1:25" s="487" customFormat="1" x14ac:dyDescent="0.2">
      <c r="A76" s="540" t="s">
        <v>477</v>
      </c>
      <c r="B76" s="540" t="s">
        <v>494</v>
      </c>
      <c r="C76" s="592"/>
      <c r="D76" s="593"/>
      <c r="E76" s="529"/>
      <c r="F76" s="594"/>
      <c r="G76" s="594"/>
      <c r="H76" s="502"/>
      <c r="I76" s="568"/>
      <c r="J76" s="595"/>
      <c r="K76" s="596"/>
      <c r="L76" s="183"/>
      <c r="M76" s="516"/>
      <c r="N76" s="598"/>
      <c r="O76" s="598"/>
      <c r="P76" s="503"/>
      <c r="Q76" s="580"/>
      <c r="R76" s="505"/>
      <c r="S76" s="505"/>
      <c r="T76" s="580"/>
      <c r="U76"/>
    </row>
    <row r="77" spans="1:25" s="570" customFormat="1" x14ac:dyDescent="0.2">
      <c r="A77" s="180">
        <v>8255</v>
      </c>
      <c r="B77" s="180" t="s">
        <v>545</v>
      </c>
      <c r="C77" s="579" t="s">
        <v>546</v>
      </c>
      <c r="D77" s="181">
        <v>38656</v>
      </c>
      <c r="E77" s="180">
        <v>365</v>
      </c>
      <c r="F77" s="733">
        <v>306000</v>
      </c>
      <c r="G77" s="182">
        <f t="shared" ref="G77:G87" si="25">SUM(E77*F77)</f>
        <v>111690000</v>
      </c>
      <c r="H77" s="508">
        <f t="shared" ref="H77:H87" si="26">SUM(I77*30.4)</f>
        <v>10.26</v>
      </c>
      <c r="I77" s="173">
        <f>K77-J77</f>
        <v>0.33750000000000002</v>
      </c>
      <c r="J77" s="565">
        <v>0</v>
      </c>
      <c r="K77" s="170">
        <f>0.331+0.0065</f>
        <v>0.33750000000000002</v>
      </c>
      <c r="L77" s="484">
        <f t="shared" ref="L77:L98" si="27">(SUM(K77*G77))-N77</f>
        <v>37695375</v>
      </c>
      <c r="M77" s="1022">
        <v>0.66</v>
      </c>
      <c r="N77" s="484">
        <f t="shared" ref="N77:N98" si="28">ROUND(J77*G77*M77,0)</f>
        <v>0</v>
      </c>
      <c r="O77" s="484">
        <f t="shared" ref="O77:O99" si="29">L77+N77</f>
        <v>37695375</v>
      </c>
      <c r="P77" s="732" t="s">
        <v>292</v>
      </c>
      <c r="Q77" s="175" t="s">
        <v>547</v>
      </c>
      <c r="R77" s="511" t="s">
        <v>477</v>
      </c>
      <c r="S77" s="511" t="s">
        <v>494</v>
      </c>
      <c r="T77" s="175"/>
      <c r="U77" s="168"/>
    </row>
    <row r="78" spans="1:25" s="570" customFormat="1" x14ac:dyDescent="0.2">
      <c r="A78" s="180">
        <v>8255</v>
      </c>
      <c r="B78" s="180" t="s">
        <v>545</v>
      </c>
      <c r="C78" s="579" t="s">
        <v>546</v>
      </c>
      <c r="D78" s="181">
        <v>38656</v>
      </c>
      <c r="E78" s="180">
        <v>61</v>
      </c>
      <c r="F78" s="733">
        <v>306000</v>
      </c>
      <c r="G78" s="182">
        <f t="shared" si="25"/>
        <v>18666000</v>
      </c>
      <c r="H78" s="508">
        <f t="shared" si="26"/>
        <v>0.20368</v>
      </c>
      <c r="I78" s="173">
        <f>K78-J78</f>
        <v>6.7000000000000002E-3</v>
      </c>
      <c r="J78" s="565">
        <v>0</v>
      </c>
      <c r="K78" s="170">
        <v>6.7000000000000002E-3</v>
      </c>
      <c r="L78" s="484">
        <f t="shared" si="27"/>
        <v>125062.2</v>
      </c>
      <c r="M78" s="1022">
        <v>0.66</v>
      </c>
      <c r="N78" s="484">
        <f t="shared" si="28"/>
        <v>0</v>
      </c>
      <c r="O78" s="484">
        <f t="shared" si="29"/>
        <v>125062.2</v>
      </c>
      <c r="P78" s="732"/>
      <c r="Q78" s="175"/>
      <c r="R78" s="511"/>
      <c r="S78" s="511"/>
      <c r="T78" s="175"/>
      <c r="U78" s="168"/>
    </row>
    <row r="79" spans="1:25" s="570" customFormat="1" x14ac:dyDescent="0.2">
      <c r="A79" s="180">
        <v>25841</v>
      </c>
      <c r="B79" s="180" t="s">
        <v>286</v>
      </c>
      <c r="C79" s="181">
        <v>36557</v>
      </c>
      <c r="D79" s="181">
        <v>37560</v>
      </c>
      <c r="E79" s="180">
        <f>365-61</f>
        <v>304</v>
      </c>
      <c r="F79" s="182">
        <v>40000</v>
      </c>
      <c r="G79" s="182">
        <f t="shared" si="25"/>
        <v>12160000</v>
      </c>
      <c r="H79" s="508">
        <f t="shared" si="26"/>
        <v>2.5231999999999997</v>
      </c>
      <c r="I79" s="173">
        <f>K79-J79</f>
        <v>8.299999999999999E-2</v>
      </c>
      <c r="J79" s="170">
        <v>2.4500000000000001E-2</v>
      </c>
      <c r="K79" s="170">
        <v>0.1075</v>
      </c>
      <c r="L79" s="484">
        <f t="shared" si="27"/>
        <v>1110573</v>
      </c>
      <c r="M79" s="1022">
        <v>0.66</v>
      </c>
      <c r="N79" s="484">
        <f t="shared" si="28"/>
        <v>196627</v>
      </c>
      <c r="O79" s="484">
        <f t="shared" si="29"/>
        <v>1307200</v>
      </c>
      <c r="P79" s="183" t="s">
        <v>548</v>
      </c>
      <c r="Q79" s="175" t="s">
        <v>549</v>
      </c>
      <c r="R79" s="511" t="s">
        <v>477</v>
      </c>
      <c r="S79" s="511" t="s">
        <v>494</v>
      </c>
      <c r="T79" s="175"/>
      <c r="U79" s="175"/>
    </row>
    <row r="80" spans="1:25" s="487" customFormat="1" x14ac:dyDescent="0.2">
      <c r="A80" s="180" t="s">
        <v>317</v>
      </c>
      <c r="B80" s="180" t="s">
        <v>284</v>
      </c>
      <c r="C80" s="181">
        <v>36100</v>
      </c>
      <c r="D80" s="181">
        <v>37925</v>
      </c>
      <c r="E80" s="180">
        <v>365</v>
      </c>
      <c r="F80" s="182">
        <v>70000</v>
      </c>
      <c r="G80" s="182">
        <f>SUM(E80*F80)</f>
        <v>25550000</v>
      </c>
      <c r="H80" s="508">
        <f>SUM(I80*30.4)</f>
        <v>3.8151999999999999</v>
      </c>
      <c r="I80" s="173">
        <f t="shared" ref="I80:I98" si="30">K80-J80</f>
        <v>0.1255</v>
      </c>
      <c r="J80" s="170">
        <v>2.4500000000000001E-2</v>
      </c>
      <c r="K80" s="170">
        <v>0.15</v>
      </c>
      <c r="L80" s="484">
        <f t="shared" si="27"/>
        <v>3419356</v>
      </c>
      <c r="M80" s="1022">
        <v>0.66</v>
      </c>
      <c r="N80" s="484">
        <f t="shared" si="28"/>
        <v>413144</v>
      </c>
      <c r="O80" s="484">
        <f t="shared" si="29"/>
        <v>3832500</v>
      </c>
      <c r="P80" s="183" t="s">
        <v>488</v>
      </c>
      <c r="Q80" s="510" t="s">
        <v>489</v>
      </c>
      <c r="R80" s="511" t="s">
        <v>477</v>
      </c>
      <c r="S80" s="511" t="s">
        <v>490</v>
      </c>
      <c r="T80" s="175"/>
      <c r="U80" s="175" t="s">
        <v>491</v>
      </c>
      <c r="V80" s="168"/>
      <c r="W80" s="168"/>
      <c r="X80" s="168"/>
      <c r="Y80" s="168"/>
    </row>
    <row r="81" spans="1:113" s="487" customFormat="1" x14ac:dyDescent="0.2">
      <c r="A81" s="180">
        <v>26511</v>
      </c>
      <c r="B81" s="180" t="s">
        <v>286</v>
      </c>
      <c r="C81" s="181">
        <v>36465</v>
      </c>
      <c r="D81" s="181">
        <v>37560</v>
      </c>
      <c r="E81" s="180">
        <f>365-61</f>
        <v>304</v>
      </c>
      <c r="F81" s="182">
        <v>21000</v>
      </c>
      <c r="G81" s="182">
        <f t="shared" si="25"/>
        <v>6384000</v>
      </c>
      <c r="H81" s="508">
        <f t="shared" si="26"/>
        <v>2.5231999999999997</v>
      </c>
      <c r="I81" s="173">
        <f t="shared" si="30"/>
        <v>8.299999999999999E-2</v>
      </c>
      <c r="J81" s="170">
        <v>2.4500000000000001E-2</v>
      </c>
      <c r="K81" s="170">
        <v>0.1075</v>
      </c>
      <c r="L81" s="484">
        <f t="shared" si="27"/>
        <v>583051</v>
      </c>
      <c r="M81" s="1022">
        <v>0.66</v>
      </c>
      <c r="N81" s="484">
        <f t="shared" si="28"/>
        <v>103229</v>
      </c>
      <c r="O81" s="484">
        <f t="shared" si="29"/>
        <v>686280</v>
      </c>
      <c r="P81" s="183" t="s">
        <v>488</v>
      </c>
      <c r="Q81" s="175" t="s">
        <v>26</v>
      </c>
      <c r="R81" s="511" t="s">
        <v>477</v>
      </c>
      <c r="S81" s="511" t="s">
        <v>494</v>
      </c>
      <c r="T81" s="175"/>
      <c r="U81" s="175"/>
      <c r="V81" s="168"/>
      <c r="W81" s="168"/>
      <c r="X81" s="168"/>
      <c r="Y81" s="168"/>
    </row>
    <row r="82" spans="1:113" s="168" customFormat="1" x14ac:dyDescent="0.2">
      <c r="A82" s="180">
        <v>26683</v>
      </c>
      <c r="B82" s="180" t="s">
        <v>553</v>
      </c>
      <c r="C82" s="181">
        <v>36220</v>
      </c>
      <c r="D82" s="181">
        <v>37346</v>
      </c>
      <c r="E82" s="180">
        <f>31+31+28</f>
        <v>90</v>
      </c>
      <c r="F82" s="733">
        <v>8000</v>
      </c>
      <c r="G82" s="182">
        <f t="shared" si="25"/>
        <v>720000</v>
      </c>
      <c r="H82" s="508">
        <f t="shared" si="26"/>
        <v>10.557919999999999</v>
      </c>
      <c r="I82" s="173">
        <f t="shared" si="30"/>
        <v>0.3473</v>
      </c>
      <c r="J82" s="170">
        <v>0</v>
      </c>
      <c r="K82" s="170">
        <v>0.3473</v>
      </c>
      <c r="L82" s="484">
        <f t="shared" si="27"/>
        <v>250056</v>
      </c>
      <c r="M82" s="1022">
        <v>0.66</v>
      </c>
      <c r="N82" s="484">
        <f t="shared" si="28"/>
        <v>0</v>
      </c>
      <c r="O82" s="484">
        <f t="shared" si="29"/>
        <v>250056</v>
      </c>
      <c r="P82" s="728" t="s">
        <v>326</v>
      </c>
      <c r="Q82" s="175" t="s">
        <v>554</v>
      </c>
      <c r="R82" s="511" t="s">
        <v>477</v>
      </c>
      <c r="S82" s="511" t="s">
        <v>494</v>
      </c>
      <c r="U82" s="168" t="s">
        <v>555</v>
      </c>
      <c r="Z82" s="487"/>
      <c r="AA82" s="487"/>
      <c r="AB82" s="487"/>
    </row>
    <row r="83" spans="1:113" s="521" customFormat="1" x14ac:dyDescent="0.2">
      <c r="A83" s="180">
        <v>26683</v>
      </c>
      <c r="B83" s="180" t="s">
        <v>553</v>
      </c>
      <c r="C83" s="181">
        <v>37347</v>
      </c>
      <c r="D83" s="181">
        <v>37711</v>
      </c>
      <c r="E83" s="180">
        <f>365-90</f>
        <v>275</v>
      </c>
      <c r="F83" s="733">
        <v>8000</v>
      </c>
      <c r="G83" s="182">
        <f>SUM(E83*F83)</f>
        <v>2200000</v>
      </c>
      <c r="H83" s="508">
        <f>SUM(I83*30.4)</f>
        <v>10.497119999999999</v>
      </c>
      <c r="I83" s="173">
        <f t="shared" si="30"/>
        <v>0.3453</v>
      </c>
      <c r="J83" s="170">
        <v>0</v>
      </c>
      <c r="K83" s="170">
        <v>0.3453</v>
      </c>
      <c r="L83" s="484">
        <f t="shared" si="27"/>
        <v>759660</v>
      </c>
      <c r="M83" s="1022">
        <v>0.66</v>
      </c>
      <c r="N83" s="484">
        <f t="shared" si="28"/>
        <v>0</v>
      </c>
      <c r="O83" s="484">
        <f t="shared" si="29"/>
        <v>759660</v>
      </c>
      <c r="P83" s="728" t="s">
        <v>326</v>
      </c>
      <c r="Q83" s="519" t="s">
        <v>554</v>
      </c>
      <c r="R83" s="518" t="s">
        <v>477</v>
      </c>
      <c r="S83" s="518" t="s">
        <v>494</v>
      </c>
      <c r="U83" s="521" t="s">
        <v>555</v>
      </c>
      <c r="Z83" s="731"/>
      <c r="AA83" s="731"/>
      <c r="AB83" s="731"/>
    </row>
    <row r="84" spans="1:113" s="601" customFormat="1" x14ac:dyDescent="0.2">
      <c r="A84" s="180">
        <v>26758</v>
      </c>
      <c r="B84" s="588" t="s">
        <v>556</v>
      </c>
      <c r="C84" s="181">
        <v>36647</v>
      </c>
      <c r="D84" s="181">
        <v>38472</v>
      </c>
      <c r="E84" s="180">
        <v>365</v>
      </c>
      <c r="F84" s="182">
        <v>40000</v>
      </c>
      <c r="G84" s="182">
        <f t="shared" si="25"/>
        <v>14600000</v>
      </c>
      <c r="H84" s="508">
        <f t="shared" si="26"/>
        <v>2.6356799999999998</v>
      </c>
      <c r="I84" s="173">
        <f t="shared" si="30"/>
        <v>8.6699999999999999E-2</v>
      </c>
      <c r="J84" s="170">
        <v>2.4500000000000001E-2</v>
      </c>
      <c r="K84" s="170">
        <v>0.11119999999999999</v>
      </c>
      <c r="L84" s="484">
        <f t="shared" si="27"/>
        <v>1387438</v>
      </c>
      <c r="M84" s="1022">
        <v>0.66</v>
      </c>
      <c r="N84" s="484">
        <f t="shared" si="28"/>
        <v>236082</v>
      </c>
      <c r="O84" s="484">
        <f t="shared" si="29"/>
        <v>1623520</v>
      </c>
      <c r="P84" s="183" t="s">
        <v>488</v>
      </c>
      <c r="Q84" s="175" t="s">
        <v>557</v>
      </c>
      <c r="R84" s="511" t="s">
        <v>477</v>
      </c>
      <c r="S84" s="511" t="s">
        <v>494</v>
      </c>
      <c r="T84" s="168"/>
      <c r="U84" s="168" t="s">
        <v>558</v>
      </c>
      <c r="V84" s="600"/>
      <c r="W84" s="600"/>
      <c r="X84" s="600"/>
      <c r="Y84" s="600"/>
    </row>
    <row r="85" spans="1:113" s="601" customFormat="1" x14ac:dyDescent="0.2">
      <c r="A85" s="180">
        <v>26819</v>
      </c>
      <c r="B85" s="180" t="s">
        <v>289</v>
      </c>
      <c r="C85" s="181">
        <v>36647</v>
      </c>
      <c r="D85" s="181">
        <v>38472</v>
      </c>
      <c r="E85" s="180">
        <v>365</v>
      </c>
      <c r="F85" s="182">
        <v>10000</v>
      </c>
      <c r="G85" s="182">
        <f t="shared" si="25"/>
        <v>3650000</v>
      </c>
      <c r="H85" s="508">
        <f t="shared" si="26"/>
        <v>2.9032</v>
      </c>
      <c r="I85" s="173">
        <f t="shared" si="30"/>
        <v>9.5500000000000002E-2</v>
      </c>
      <c r="J85" s="170">
        <v>2.4500000000000001E-2</v>
      </c>
      <c r="K85" s="170">
        <v>0.12</v>
      </c>
      <c r="L85" s="484">
        <f t="shared" si="27"/>
        <v>378979</v>
      </c>
      <c r="M85" s="1022">
        <v>0.66</v>
      </c>
      <c r="N85" s="484">
        <f t="shared" si="28"/>
        <v>59021</v>
      </c>
      <c r="O85" s="484">
        <f t="shared" si="29"/>
        <v>438000</v>
      </c>
      <c r="P85" s="183" t="s">
        <v>492</v>
      </c>
      <c r="Q85" s="175" t="s">
        <v>552</v>
      </c>
      <c r="R85" s="511" t="s">
        <v>477</v>
      </c>
      <c r="S85" s="511" t="s">
        <v>494</v>
      </c>
      <c r="T85" s="175"/>
      <c r="U85" s="175" t="s">
        <v>558</v>
      </c>
      <c r="V85" s="600"/>
      <c r="W85" s="600"/>
      <c r="X85" s="600"/>
      <c r="Y85" s="600"/>
    </row>
    <row r="86" spans="1:113" s="487" customFormat="1" ht="12.75" customHeight="1" x14ac:dyDescent="0.2">
      <c r="A86" s="180">
        <v>27252</v>
      </c>
      <c r="B86" s="180" t="s">
        <v>559</v>
      </c>
      <c r="C86" s="181">
        <v>36845</v>
      </c>
      <c r="D86" s="602">
        <v>40482</v>
      </c>
      <c r="E86" s="180">
        <f>365-61</f>
        <v>304</v>
      </c>
      <c r="F86" s="603">
        <v>14000</v>
      </c>
      <c r="G86" s="182">
        <f t="shared" si="25"/>
        <v>4256000</v>
      </c>
      <c r="H86" s="508">
        <f t="shared" si="26"/>
        <v>3.9672000000000001</v>
      </c>
      <c r="I86" s="173">
        <f t="shared" si="30"/>
        <v>0.1305</v>
      </c>
      <c r="J86" s="170">
        <v>2.4500000000000001E-2</v>
      </c>
      <c r="K86" s="533">
        <v>0.155</v>
      </c>
      <c r="L86" s="484">
        <f t="shared" si="27"/>
        <v>590860</v>
      </c>
      <c r="M86" s="1022">
        <v>0.66</v>
      </c>
      <c r="N86" s="484">
        <f t="shared" si="28"/>
        <v>68820</v>
      </c>
      <c r="O86" s="484">
        <f t="shared" si="29"/>
        <v>659680</v>
      </c>
      <c r="P86" s="604" t="s">
        <v>478</v>
      </c>
      <c r="Q86" s="605"/>
      <c r="R86" s="511" t="s">
        <v>477</v>
      </c>
      <c r="S86" s="511" t="s">
        <v>494</v>
      </c>
      <c r="T86" s="605"/>
      <c r="U86" s="605"/>
      <c r="V86" s="600"/>
      <c r="W86" s="600"/>
      <c r="X86" s="600"/>
      <c r="Y86" s="600"/>
      <c r="Z86" s="601"/>
      <c r="AA86" s="601"/>
      <c r="AB86" s="601"/>
      <c r="AC86" s="601"/>
      <c r="AD86" s="601"/>
      <c r="AE86" s="601"/>
      <c r="AF86" s="601"/>
      <c r="AG86" s="601"/>
      <c r="AH86" s="601"/>
      <c r="AI86" s="601"/>
      <c r="AJ86" s="601"/>
      <c r="AK86" s="601"/>
      <c r="AL86" s="601"/>
      <c r="AM86" s="601"/>
      <c r="AN86" s="601"/>
      <c r="AO86" s="601"/>
      <c r="AP86" s="601"/>
      <c r="AQ86" s="601"/>
      <c r="AR86" s="601"/>
      <c r="AS86" s="601"/>
      <c r="AT86" s="601"/>
      <c r="AU86" s="601"/>
      <c r="AV86" s="601"/>
      <c r="AW86" s="601"/>
      <c r="AX86" s="601"/>
      <c r="AY86" s="601"/>
      <c r="AZ86" s="601"/>
      <c r="BA86" s="601"/>
      <c r="BB86" s="601"/>
      <c r="BC86" s="601"/>
      <c r="BD86" s="601"/>
      <c r="BE86" s="601"/>
      <c r="BF86" s="601"/>
      <c r="BG86" s="601"/>
      <c r="BH86" s="601"/>
      <c r="BI86" s="601"/>
      <c r="BJ86" s="601"/>
      <c r="BK86" s="601"/>
      <c r="BL86" s="601"/>
      <c r="BM86" s="601"/>
      <c r="BN86" s="601"/>
      <c r="BO86" s="601"/>
      <c r="BP86" s="601"/>
      <c r="BQ86" s="601"/>
      <c r="BR86" s="601"/>
      <c r="BS86" s="601"/>
      <c r="BT86" s="601"/>
      <c r="BU86" s="601"/>
      <c r="BV86" s="601"/>
      <c r="BW86" s="601"/>
      <c r="BX86" s="601"/>
      <c r="BY86" s="601"/>
      <c r="BZ86" s="601"/>
      <c r="CA86" s="601"/>
      <c r="CB86" s="601"/>
      <c r="CC86" s="601"/>
      <c r="CD86" s="601"/>
      <c r="CE86" s="601"/>
      <c r="CF86" s="601"/>
      <c r="CG86" s="601"/>
      <c r="CH86" s="601"/>
      <c r="CI86" s="601"/>
      <c r="CJ86" s="601"/>
      <c r="CK86" s="601"/>
      <c r="CL86" s="601"/>
      <c r="CM86" s="601"/>
      <c r="CN86" s="601"/>
      <c r="CO86" s="601"/>
      <c r="CP86" s="601"/>
      <c r="CQ86" s="601"/>
      <c r="CR86" s="601"/>
      <c r="CS86" s="601"/>
      <c r="CT86" s="601"/>
      <c r="CU86" s="601"/>
      <c r="CV86" s="601"/>
      <c r="CW86" s="601"/>
      <c r="CX86" s="601"/>
      <c r="CY86" s="601"/>
      <c r="CZ86" s="601"/>
      <c r="DA86" s="601"/>
      <c r="DB86" s="601"/>
      <c r="DC86" s="601"/>
      <c r="DD86" s="601"/>
      <c r="DE86" s="601"/>
      <c r="DF86" s="601"/>
      <c r="DG86" s="601"/>
      <c r="DH86" s="601"/>
      <c r="DI86" s="601"/>
    </row>
    <row r="87" spans="1:113" s="487" customFormat="1" ht="12.75" customHeight="1" x14ac:dyDescent="0.2">
      <c r="A87" s="180">
        <v>27252</v>
      </c>
      <c r="B87" s="180" t="s">
        <v>559</v>
      </c>
      <c r="C87" s="181">
        <v>36845</v>
      </c>
      <c r="D87" s="602">
        <v>40482</v>
      </c>
      <c r="E87" s="180">
        <v>61</v>
      </c>
      <c r="F87" s="603">
        <v>14000</v>
      </c>
      <c r="G87" s="182">
        <f t="shared" si="25"/>
        <v>854000</v>
      </c>
      <c r="H87" s="508">
        <f t="shared" si="26"/>
        <v>4.1192000000000002</v>
      </c>
      <c r="I87" s="173">
        <f t="shared" si="30"/>
        <v>0.13550000000000001</v>
      </c>
      <c r="J87" s="170">
        <v>2.4500000000000001E-2</v>
      </c>
      <c r="K87" s="533">
        <v>0.16</v>
      </c>
      <c r="L87" s="484">
        <f t="shared" si="27"/>
        <v>122831</v>
      </c>
      <c r="M87" s="1022">
        <v>0.66</v>
      </c>
      <c r="N87" s="484">
        <f t="shared" si="28"/>
        <v>13809</v>
      </c>
      <c r="O87" s="484">
        <f t="shared" si="29"/>
        <v>136640</v>
      </c>
      <c r="P87" s="604"/>
      <c r="Q87" s="605"/>
      <c r="R87" s="511"/>
      <c r="S87" s="511"/>
      <c r="T87" s="605"/>
      <c r="U87" s="605"/>
      <c r="V87" s="600"/>
      <c r="W87" s="600"/>
      <c r="X87" s="600"/>
      <c r="Y87" s="600"/>
      <c r="Z87" s="601"/>
      <c r="AA87" s="601"/>
      <c r="AB87" s="601"/>
      <c r="AC87" s="601"/>
      <c r="AD87" s="601"/>
      <c r="AE87" s="601"/>
      <c r="AF87" s="601"/>
      <c r="AG87" s="601"/>
      <c r="AH87" s="601"/>
      <c r="AI87" s="601"/>
      <c r="AJ87" s="601"/>
      <c r="AK87" s="601"/>
      <c r="AL87" s="601"/>
      <c r="AM87" s="601"/>
      <c r="AN87" s="601"/>
      <c r="AO87" s="601"/>
      <c r="AP87" s="601"/>
      <c r="AQ87" s="601"/>
      <c r="AR87" s="601"/>
      <c r="AS87" s="601"/>
      <c r="AT87" s="601"/>
      <c r="AU87" s="601"/>
      <c r="AV87" s="601"/>
      <c r="AW87" s="601"/>
      <c r="AX87" s="601"/>
      <c r="AY87" s="601"/>
      <c r="AZ87" s="601"/>
      <c r="BA87" s="601"/>
      <c r="BB87" s="601"/>
      <c r="BC87" s="601"/>
      <c r="BD87" s="601"/>
      <c r="BE87" s="601"/>
      <c r="BF87" s="601"/>
      <c r="BG87" s="601"/>
      <c r="BH87" s="601"/>
      <c r="BI87" s="601"/>
      <c r="BJ87" s="601"/>
      <c r="BK87" s="601"/>
      <c r="BL87" s="601"/>
      <c r="BM87" s="601"/>
      <c r="BN87" s="601"/>
      <c r="BO87" s="601"/>
      <c r="BP87" s="601"/>
      <c r="BQ87" s="601"/>
      <c r="BR87" s="601"/>
      <c r="BS87" s="601"/>
      <c r="BT87" s="601"/>
      <c r="BU87" s="601"/>
      <c r="BV87" s="601"/>
      <c r="BW87" s="601"/>
      <c r="BX87" s="601"/>
      <c r="BY87" s="601"/>
      <c r="BZ87" s="601"/>
      <c r="CA87" s="601"/>
      <c r="CB87" s="601"/>
      <c r="CC87" s="601"/>
      <c r="CD87" s="601"/>
      <c r="CE87" s="601"/>
      <c r="CF87" s="601"/>
      <c r="CG87" s="601"/>
      <c r="CH87" s="601"/>
      <c r="CI87" s="601"/>
      <c r="CJ87" s="601"/>
      <c r="CK87" s="601"/>
      <c r="CL87" s="601"/>
      <c r="CM87" s="601"/>
      <c r="CN87" s="601"/>
      <c r="CO87" s="601"/>
      <c r="CP87" s="601"/>
      <c r="CQ87" s="601"/>
      <c r="CR87" s="601"/>
      <c r="CS87" s="601"/>
      <c r="CT87" s="601"/>
      <c r="CU87" s="601"/>
      <c r="CV87" s="601"/>
      <c r="CW87" s="601"/>
      <c r="CX87" s="601"/>
      <c r="CY87" s="601"/>
      <c r="CZ87" s="601"/>
      <c r="DA87" s="601"/>
      <c r="DB87" s="601"/>
      <c r="DC87" s="601"/>
      <c r="DD87" s="601"/>
      <c r="DE87" s="601"/>
      <c r="DF87" s="601"/>
      <c r="DG87" s="601"/>
      <c r="DH87" s="601"/>
      <c r="DI87" s="601"/>
    </row>
    <row r="88" spans="1:113" s="615" customFormat="1" ht="12.75" customHeight="1" x14ac:dyDescent="0.2">
      <c r="A88" s="573">
        <v>27340</v>
      </c>
      <c r="B88" s="573" t="s">
        <v>560</v>
      </c>
      <c r="C88" s="574">
        <v>36923</v>
      </c>
      <c r="D88" s="608">
        <v>37287</v>
      </c>
      <c r="E88" s="180">
        <v>31</v>
      </c>
      <c r="F88" s="730">
        <v>20000</v>
      </c>
      <c r="G88" s="575">
        <f>SUM(E88*F88)</f>
        <v>620000</v>
      </c>
      <c r="H88" s="576">
        <f>SUM(I88*30.4)</f>
        <v>10.557919999999999</v>
      </c>
      <c r="I88" s="173">
        <f t="shared" si="30"/>
        <v>0.3473</v>
      </c>
      <c r="J88" s="609">
        <v>0</v>
      </c>
      <c r="K88" s="609">
        <v>0.3473</v>
      </c>
      <c r="L88" s="484">
        <f t="shared" si="27"/>
        <v>215326</v>
      </c>
      <c r="M88" s="1022">
        <v>0.66</v>
      </c>
      <c r="N88" s="484">
        <f t="shared" si="28"/>
        <v>0</v>
      </c>
      <c r="O88" s="484">
        <f t="shared" si="29"/>
        <v>215326</v>
      </c>
      <c r="P88" s="728" t="s">
        <v>326</v>
      </c>
      <c r="Q88" s="611"/>
      <c r="R88" s="612"/>
      <c r="S88" s="612"/>
      <c r="T88" s="611"/>
      <c r="U88" s="611" t="s">
        <v>561</v>
      </c>
      <c r="V88" s="613"/>
      <c r="W88" s="613"/>
      <c r="X88" s="613"/>
      <c r="Y88" s="613"/>
      <c r="Z88" s="614"/>
      <c r="AA88" s="614"/>
      <c r="AB88" s="614"/>
      <c r="AC88" s="614"/>
      <c r="AD88" s="614"/>
      <c r="AE88" s="614"/>
      <c r="AF88" s="614"/>
      <c r="AG88" s="614"/>
      <c r="AH88" s="614"/>
      <c r="AI88" s="614"/>
      <c r="AJ88" s="614"/>
      <c r="AK88" s="614"/>
      <c r="AL88" s="614"/>
      <c r="AM88" s="614"/>
      <c r="AN88" s="614"/>
      <c r="AO88" s="614"/>
      <c r="AP88" s="614"/>
      <c r="AQ88" s="614"/>
      <c r="AR88" s="614"/>
      <c r="AS88" s="614"/>
      <c r="AT88" s="614"/>
      <c r="AU88" s="614"/>
      <c r="AV88" s="614"/>
      <c r="AW88" s="614"/>
      <c r="AX88" s="614"/>
      <c r="AY88" s="614"/>
      <c r="AZ88" s="614"/>
      <c r="BA88" s="614"/>
      <c r="BB88" s="614"/>
      <c r="BC88" s="614"/>
      <c r="BD88" s="614"/>
      <c r="BE88" s="614"/>
      <c r="BF88" s="614"/>
      <c r="BG88" s="614"/>
      <c r="BH88" s="614"/>
      <c r="BI88" s="614"/>
      <c r="BJ88" s="614"/>
      <c r="BK88" s="614"/>
      <c r="BL88" s="614"/>
      <c r="BM88" s="614"/>
      <c r="BN88" s="614"/>
      <c r="BO88" s="614"/>
      <c r="BP88" s="614"/>
      <c r="BQ88" s="614"/>
      <c r="BR88" s="614"/>
      <c r="BS88" s="614"/>
      <c r="BT88" s="614"/>
      <c r="BU88" s="614"/>
      <c r="BV88" s="614"/>
      <c r="BW88" s="614"/>
      <c r="BX88" s="614"/>
      <c r="BY88" s="614"/>
      <c r="BZ88" s="614"/>
      <c r="CA88" s="614"/>
      <c r="CB88" s="614"/>
      <c r="CC88" s="614"/>
      <c r="CD88" s="614"/>
      <c r="CE88" s="614"/>
      <c r="CF88" s="614"/>
      <c r="CG88" s="614"/>
      <c r="CH88" s="614"/>
      <c r="CI88" s="614"/>
      <c r="CJ88" s="614"/>
      <c r="CK88" s="614"/>
      <c r="CL88" s="614"/>
      <c r="CM88" s="614"/>
      <c r="CN88" s="614"/>
      <c r="CO88" s="614"/>
      <c r="CP88" s="614"/>
      <c r="CQ88" s="614"/>
      <c r="CR88" s="614"/>
      <c r="CS88" s="614"/>
      <c r="CT88" s="614"/>
      <c r="CU88" s="614"/>
      <c r="CV88" s="614"/>
      <c r="CW88" s="614"/>
      <c r="CX88" s="614"/>
      <c r="CY88" s="614"/>
      <c r="CZ88" s="614"/>
      <c r="DA88" s="614"/>
      <c r="DB88" s="614"/>
      <c r="DC88" s="614"/>
      <c r="DD88" s="614"/>
      <c r="DE88" s="614"/>
      <c r="DF88" s="614"/>
      <c r="DG88" s="614"/>
      <c r="DH88" s="614"/>
      <c r="DI88" s="614"/>
    </row>
    <row r="89" spans="1:113" s="735" customFormat="1" ht="12.75" customHeight="1" x14ac:dyDescent="0.2">
      <c r="A89" s="180">
        <v>27352</v>
      </c>
      <c r="B89" s="180" t="s">
        <v>27</v>
      </c>
      <c r="C89" s="181">
        <v>37196</v>
      </c>
      <c r="D89" s="602">
        <v>37560</v>
      </c>
      <c r="E89" s="180">
        <f>365-61</f>
        <v>304</v>
      </c>
      <c r="F89" s="603">
        <v>21500</v>
      </c>
      <c r="G89" s="182">
        <f>SUM(E89*F89)</f>
        <v>6536000</v>
      </c>
      <c r="H89" s="508">
        <f>SUM(I89*30.4)</f>
        <v>8.3751999999999978</v>
      </c>
      <c r="I89" s="173">
        <f t="shared" si="30"/>
        <v>0.27549999999999997</v>
      </c>
      <c r="J89" s="170">
        <v>2.4500000000000001E-2</v>
      </c>
      <c r="K89" s="533">
        <v>0.3</v>
      </c>
      <c r="L89" s="484">
        <f t="shared" si="27"/>
        <v>1855113</v>
      </c>
      <c r="M89" s="1022">
        <v>0.66</v>
      </c>
      <c r="N89" s="484">
        <f t="shared" si="28"/>
        <v>105687</v>
      </c>
      <c r="O89" s="484">
        <f t="shared" si="29"/>
        <v>1960800</v>
      </c>
      <c r="P89" s="604" t="s">
        <v>603</v>
      </c>
      <c r="Q89" s="605"/>
      <c r="R89" s="607"/>
      <c r="S89" s="607"/>
      <c r="T89" s="605"/>
      <c r="U89" s="605"/>
      <c r="V89" s="600"/>
      <c r="W89" s="600"/>
      <c r="X89" s="600"/>
      <c r="Y89" s="600"/>
      <c r="Z89" s="740"/>
      <c r="AA89" s="740"/>
      <c r="AB89" s="740"/>
      <c r="AC89" s="740"/>
      <c r="AD89" s="740"/>
      <c r="AE89" s="740"/>
      <c r="AF89" s="740"/>
      <c r="AG89" s="740"/>
      <c r="AH89" s="740"/>
      <c r="AI89" s="740"/>
      <c r="AJ89" s="740"/>
      <c r="AK89" s="740"/>
      <c r="AL89" s="740"/>
      <c r="AM89" s="740"/>
      <c r="AN89" s="740"/>
      <c r="AO89" s="740"/>
      <c r="AP89" s="740"/>
      <c r="AQ89" s="740"/>
      <c r="AR89" s="740"/>
      <c r="AS89" s="740"/>
      <c r="AT89" s="740"/>
      <c r="AU89" s="740"/>
      <c r="AV89" s="740"/>
      <c r="AW89" s="740"/>
      <c r="AX89" s="740"/>
      <c r="AY89" s="740"/>
      <c r="AZ89" s="740"/>
      <c r="BA89" s="740"/>
      <c r="BB89" s="740"/>
      <c r="BC89" s="740"/>
      <c r="BD89" s="740"/>
      <c r="BE89" s="740"/>
      <c r="BF89" s="740"/>
      <c r="BG89" s="740"/>
      <c r="BH89" s="740"/>
      <c r="BI89" s="740"/>
      <c r="BJ89" s="740"/>
      <c r="BK89" s="740"/>
      <c r="BL89" s="740"/>
      <c r="BM89" s="740"/>
      <c r="BN89" s="740"/>
      <c r="BO89" s="740"/>
      <c r="BP89" s="740"/>
      <c r="BQ89" s="740"/>
      <c r="BR89" s="740"/>
      <c r="BS89" s="740"/>
      <c r="BT89" s="740"/>
      <c r="BU89" s="740"/>
      <c r="BV89" s="740"/>
      <c r="BW89" s="740"/>
      <c r="BX89" s="740"/>
      <c r="BY89" s="740"/>
      <c r="BZ89" s="740"/>
      <c r="CA89" s="740"/>
      <c r="CB89" s="740"/>
      <c r="CC89" s="740"/>
      <c r="CD89" s="740"/>
      <c r="CE89" s="740"/>
      <c r="CF89" s="740"/>
      <c r="CG89" s="740"/>
      <c r="CH89" s="740"/>
      <c r="CI89" s="740"/>
      <c r="CJ89" s="740"/>
      <c r="CK89" s="740"/>
      <c r="CL89" s="740"/>
      <c r="CM89" s="740"/>
      <c r="CN89" s="740"/>
      <c r="CO89" s="740"/>
      <c r="CP89" s="740"/>
      <c r="CQ89" s="740"/>
      <c r="CR89" s="740"/>
      <c r="CS89" s="740"/>
      <c r="CT89" s="740"/>
      <c r="CU89" s="740"/>
      <c r="CV89" s="740"/>
      <c r="CW89" s="740"/>
      <c r="CX89" s="740"/>
      <c r="CY89" s="740"/>
      <c r="CZ89" s="740"/>
      <c r="DA89" s="740"/>
      <c r="DB89" s="740"/>
      <c r="DC89" s="740"/>
      <c r="DD89" s="740"/>
      <c r="DE89" s="740"/>
      <c r="DF89" s="740"/>
      <c r="DG89" s="740"/>
      <c r="DH89" s="740"/>
      <c r="DI89" s="740"/>
    </row>
    <row r="90" spans="1:113" s="735" customFormat="1" ht="12.75" customHeight="1" x14ac:dyDescent="0.2">
      <c r="A90" s="180">
        <v>27604</v>
      </c>
      <c r="B90" s="180" t="s">
        <v>610</v>
      </c>
      <c r="C90" s="181" t="s">
        <v>616</v>
      </c>
      <c r="D90" s="602">
        <v>37772</v>
      </c>
      <c r="E90" s="180">
        <f>184+30</f>
        <v>214</v>
      </c>
      <c r="F90" s="603">
        <v>5300</v>
      </c>
      <c r="G90" s="182">
        <f t="shared" ref="G90:G98" si="31">SUM(E90*F90)</f>
        <v>1134200</v>
      </c>
      <c r="H90" s="508">
        <f t="shared" ref="H90:H98" si="32">SUM(I90*30.4)</f>
        <v>66.135199999999998</v>
      </c>
      <c r="I90" s="173">
        <f t="shared" si="30"/>
        <v>2.1755</v>
      </c>
      <c r="J90" s="170">
        <v>2.4500000000000001E-2</v>
      </c>
      <c r="K90" s="533">
        <v>2.2000000000000002</v>
      </c>
      <c r="L90" s="484">
        <f t="shared" si="27"/>
        <v>2476900</v>
      </c>
      <c r="M90" s="1022">
        <v>0.66</v>
      </c>
      <c r="N90" s="484">
        <f t="shared" si="28"/>
        <v>18340</v>
      </c>
      <c r="O90" s="484">
        <f t="shared" si="29"/>
        <v>2495240</v>
      </c>
      <c r="P90" s="604"/>
      <c r="Q90" s="605"/>
      <c r="R90" s="607"/>
      <c r="S90" s="607"/>
      <c r="T90" s="605"/>
      <c r="U90" s="605"/>
      <c r="V90" s="600"/>
      <c r="W90" s="600"/>
      <c r="X90" s="600"/>
      <c r="Y90" s="600"/>
      <c r="Z90" s="740"/>
      <c r="AA90" s="740"/>
      <c r="AB90" s="740"/>
      <c r="AC90" s="740"/>
      <c r="AD90" s="740"/>
      <c r="AE90" s="740"/>
      <c r="AF90" s="740"/>
      <c r="AG90" s="740"/>
      <c r="AH90" s="740"/>
      <c r="AI90" s="740"/>
      <c r="AJ90" s="740"/>
      <c r="AK90" s="740"/>
      <c r="AL90" s="740"/>
      <c r="AM90" s="740"/>
      <c r="AN90" s="740"/>
      <c r="AO90" s="740"/>
      <c r="AP90" s="740"/>
      <c r="AQ90" s="740"/>
      <c r="AR90" s="740"/>
      <c r="AS90" s="740"/>
      <c r="AT90" s="740"/>
      <c r="AU90" s="740"/>
      <c r="AV90" s="740"/>
      <c r="AW90" s="740"/>
      <c r="AX90" s="740"/>
      <c r="AY90" s="740"/>
      <c r="AZ90" s="740"/>
      <c r="BA90" s="740"/>
      <c r="BB90" s="740"/>
      <c r="BC90" s="740"/>
      <c r="BD90" s="740"/>
      <c r="BE90" s="740"/>
      <c r="BF90" s="740"/>
      <c r="BG90" s="740"/>
      <c r="BH90" s="740"/>
      <c r="BI90" s="740"/>
      <c r="BJ90" s="740"/>
      <c r="BK90" s="740"/>
      <c r="BL90" s="740"/>
      <c r="BM90" s="740"/>
      <c r="BN90" s="740"/>
      <c r="BO90" s="740"/>
      <c r="BP90" s="740"/>
      <c r="BQ90" s="740"/>
      <c r="BR90" s="740"/>
      <c r="BS90" s="740"/>
      <c r="BT90" s="740"/>
      <c r="BU90" s="740"/>
      <c r="BV90" s="740"/>
      <c r="BW90" s="740"/>
      <c r="BX90" s="740"/>
      <c r="BY90" s="740"/>
      <c r="BZ90" s="740"/>
      <c r="CA90" s="740"/>
      <c r="CB90" s="740"/>
      <c r="CC90" s="740"/>
      <c r="CD90" s="740"/>
      <c r="CE90" s="740"/>
      <c r="CF90" s="740"/>
      <c r="CG90" s="740"/>
      <c r="CH90" s="740"/>
      <c r="CI90" s="740"/>
      <c r="CJ90" s="740"/>
      <c r="CK90" s="740"/>
      <c r="CL90" s="740"/>
      <c r="CM90" s="740"/>
      <c r="CN90" s="740"/>
      <c r="CO90" s="740"/>
      <c r="CP90" s="740"/>
      <c r="CQ90" s="740"/>
      <c r="CR90" s="740"/>
      <c r="CS90" s="740"/>
      <c r="CT90" s="740"/>
      <c r="CU90" s="740"/>
      <c r="CV90" s="740"/>
      <c r="CW90" s="740"/>
      <c r="CX90" s="740"/>
      <c r="CY90" s="740"/>
      <c r="CZ90" s="740"/>
      <c r="DA90" s="740"/>
      <c r="DB90" s="740"/>
      <c r="DC90" s="740"/>
      <c r="DD90" s="740"/>
      <c r="DE90" s="740"/>
      <c r="DF90" s="740"/>
      <c r="DG90" s="740"/>
      <c r="DH90" s="740"/>
      <c r="DI90" s="740"/>
    </row>
    <row r="91" spans="1:113" s="735" customFormat="1" ht="12.75" customHeight="1" x14ac:dyDescent="0.2">
      <c r="A91" s="180">
        <v>27605</v>
      </c>
      <c r="B91" s="180" t="s">
        <v>610</v>
      </c>
      <c r="C91" s="181" t="s">
        <v>616</v>
      </c>
      <c r="D91" s="602">
        <v>42886</v>
      </c>
      <c r="E91" s="180">
        <v>214</v>
      </c>
      <c r="F91" s="603">
        <v>2700</v>
      </c>
      <c r="G91" s="182">
        <f t="shared" si="31"/>
        <v>577800</v>
      </c>
      <c r="H91" s="508">
        <f t="shared" si="32"/>
        <v>10.807199999999998</v>
      </c>
      <c r="I91" s="173">
        <f t="shared" si="30"/>
        <v>0.35549999999999998</v>
      </c>
      <c r="J91" s="170">
        <v>2.4500000000000001E-2</v>
      </c>
      <c r="K91" s="533">
        <v>0.38</v>
      </c>
      <c r="L91" s="484">
        <f t="shared" si="27"/>
        <v>210221</v>
      </c>
      <c r="M91" s="1022">
        <v>0.66</v>
      </c>
      <c r="N91" s="484">
        <f t="shared" si="28"/>
        <v>9343</v>
      </c>
      <c r="O91" s="484">
        <f t="shared" si="29"/>
        <v>219564</v>
      </c>
      <c r="P91" s="604"/>
      <c r="Q91" s="605"/>
      <c r="R91" s="607"/>
      <c r="S91" s="607"/>
      <c r="T91" s="605"/>
      <c r="U91" s="605"/>
      <c r="V91" s="600"/>
      <c r="W91" s="600"/>
      <c r="X91" s="600"/>
      <c r="Y91" s="600"/>
      <c r="Z91" s="740"/>
      <c r="AA91" s="740"/>
      <c r="AB91" s="740"/>
      <c r="AC91" s="740"/>
      <c r="AD91" s="740"/>
      <c r="AE91" s="740"/>
      <c r="AF91" s="740"/>
      <c r="AG91" s="740"/>
      <c r="AH91" s="740"/>
      <c r="AI91" s="740"/>
      <c r="AJ91" s="740"/>
      <c r="AK91" s="740"/>
      <c r="AL91" s="740"/>
      <c r="AM91" s="740"/>
      <c r="AN91" s="740"/>
      <c r="AO91" s="740"/>
      <c r="AP91" s="740"/>
      <c r="AQ91" s="740"/>
      <c r="AR91" s="740"/>
      <c r="AS91" s="740"/>
      <c r="AT91" s="740"/>
      <c r="AU91" s="740"/>
      <c r="AV91" s="740"/>
      <c r="AW91" s="740"/>
      <c r="AX91" s="740"/>
      <c r="AY91" s="740"/>
      <c r="AZ91" s="740"/>
      <c r="BA91" s="740"/>
      <c r="BB91" s="740"/>
      <c r="BC91" s="740"/>
      <c r="BD91" s="740"/>
      <c r="BE91" s="740"/>
      <c r="BF91" s="740"/>
      <c r="BG91" s="740"/>
      <c r="BH91" s="740"/>
      <c r="BI91" s="740"/>
      <c r="BJ91" s="740"/>
      <c r="BK91" s="740"/>
      <c r="BL91" s="740"/>
      <c r="BM91" s="740"/>
      <c r="BN91" s="740"/>
      <c r="BO91" s="740"/>
      <c r="BP91" s="740"/>
      <c r="BQ91" s="740"/>
      <c r="BR91" s="740"/>
      <c r="BS91" s="740"/>
      <c r="BT91" s="740"/>
      <c r="BU91" s="740"/>
      <c r="BV91" s="740"/>
      <c r="BW91" s="740"/>
      <c r="BX91" s="740"/>
      <c r="BY91" s="740"/>
      <c r="BZ91" s="740"/>
      <c r="CA91" s="740"/>
      <c r="CB91" s="740"/>
      <c r="CC91" s="740"/>
      <c r="CD91" s="740"/>
      <c r="CE91" s="740"/>
      <c r="CF91" s="740"/>
      <c r="CG91" s="740"/>
      <c r="CH91" s="740"/>
      <c r="CI91" s="740"/>
      <c r="CJ91" s="740"/>
      <c r="CK91" s="740"/>
      <c r="CL91" s="740"/>
      <c r="CM91" s="740"/>
      <c r="CN91" s="740"/>
      <c r="CO91" s="740"/>
      <c r="CP91" s="740"/>
      <c r="CQ91" s="740"/>
      <c r="CR91" s="740"/>
      <c r="CS91" s="740"/>
      <c r="CT91" s="740"/>
      <c r="CU91" s="740"/>
      <c r="CV91" s="740"/>
      <c r="CW91" s="740"/>
      <c r="CX91" s="740"/>
      <c r="CY91" s="740"/>
      <c r="CZ91" s="740"/>
      <c r="DA91" s="740"/>
      <c r="DB91" s="740"/>
      <c r="DC91" s="740"/>
      <c r="DD91" s="740"/>
      <c r="DE91" s="740"/>
      <c r="DF91" s="740"/>
      <c r="DG91" s="740"/>
      <c r="DH91" s="740"/>
      <c r="DI91" s="740"/>
    </row>
    <row r="92" spans="1:113" s="735" customFormat="1" ht="12.75" customHeight="1" x14ac:dyDescent="0.2">
      <c r="A92" s="180">
        <v>27607</v>
      </c>
      <c r="B92" s="180" t="s">
        <v>778</v>
      </c>
      <c r="C92" s="181" t="s">
        <v>616</v>
      </c>
      <c r="D92" s="602">
        <v>38077</v>
      </c>
      <c r="E92" s="180">
        <v>214</v>
      </c>
      <c r="F92" s="603">
        <v>1700</v>
      </c>
      <c r="G92" s="182">
        <f t="shared" si="31"/>
        <v>363800</v>
      </c>
      <c r="H92" s="508">
        <f t="shared" si="32"/>
        <v>52.455199999999998</v>
      </c>
      <c r="I92" s="173">
        <f t="shared" si="30"/>
        <v>1.7255</v>
      </c>
      <c r="J92" s="170">
        <v>2.4500000000000001E-2</v>
      </c>
      <c r="K92" s="533">
        <v>1.75</v>
      </c>
      <c r="L92" s="484">
        <f t="shared" si="27"/>
        <v>630767</v>
      </c>
      <c r="M92" s="1022">
        <v>0.66</v>
      </c>
      <c r="N92" s="484">
        <f t="shared" si="28"/>
        <v>5883</v>
      </c>
      <c r="O92" s="484">
        <f t="shared" si="29"/>
        <v>636650</v>
      </c>
      <c r="P92" s="604"/>
      <c r="Q92" s="605"/>
      <c r="R92" s="607"/>
      <c r="S92" s="607"/>
      <c r="T92" s="605"/>
      <c r="U92" s="605"/>
      <c r="V92" s="600"/>
      <c r="W92" s="600"/>
      <c r="X92" s="600"/>
      <c r="Y92" s="600"/>
      <c r="Z92" s="740"/>
      <c r="AA92" s="740"/>
      <c r="AB92" s="740"/>
      <c r="AC92" s="740"/>
      <c r="AD92" s="740"/>
      <c r="AE92" s="740"/>
      <c r="AF92" s="740"/>
      <c r="AG92" s="740"/>
      <c r="AH92" s="740"/>
      <c r="AI92" s="740"/>
      <c r="AJ92" s="740"/>
      <c r="AK92" s="740"/>
      <c r="AL92" s="740"/>
      <c r="AM92" s="740"/>
      <c r="AN92" s="740"/>
      <c r="AO92" s="740"/>
      <c r="AP92" s="740"/>
      <c r="AQ92" s="740"/>
      <c r="AR92" s="740"/>
      <c r="AS92" s="740"/>
      <c r="AT92" s="740"/>
      <c r="AU92" s="740"/>
      <c r="AV92" s="740"/>
      <c r="AW92" s="740"/>
      <c r="AX92" s="740"/>
      <c r="AY92" s="740"/>
      <c r="AZ92" s="740"/>
      <c r="BA92" s="740"/>
      <c r="BB92" s="740"/>
      <c r="BC92" s="740"/>
      <c r="BD92" s="740"/>
      <c r="BE92" s="740"/>
      <c r="BF92" s="740"/>
      <c r="BG92" s="740"/>
      <c r="BH92" s="740"/>
      <c r="BI92" s="740"/>
      <c r="BJ92" s="740"/>
      <c r="BK92" s="740"/>
      <c r="BL92" s="740"/>
      <c r="BM92" s="740"/>
      <c r="BN92" s="740"/>
      <c r="BO92" s="740"/>
      <c r="BP92" s="740"/>
      <c r="BQ92" s="740"/>
      <c r="BR92" s="740"/>
      <c r="BS92" s="740"/>
      <c r="BT92" s="740"/>
      <c r="BU92" s="740"/>
      <c r="BV92" s="740"/>
      <c r="BW92" s="740"/>
      <c r="BX92" s="740"/>
      <c r="BY92" s="740"/>
      <c r="BZ92" s="740"/>
      <c r="CA92" s="740"/>
      <c r="CB92" s="740"/>
      <c r="CC92" s="740"/>
      <c r="CD92" s="740"/>
      <c r="CE92" s="740"/>
      <c r="CF92" s="740"/>
      <c r="CG92" s="740"/>
      <c r="CH92" s="740"/>
      <c r="CI92" s="740"/>
      <c r="CJ92" s="740"/>
      <c r="CK92" s="740"/>
      <c r="CL92" s="740"/>
      <c r="CM92" s="740"/>
      <c r="CN92" s="740"/>
      <c r="CO92" s="740"/>
      <c r="CP92" s="740"/>
      <c r="CQ92" s="740"/>
      <c r="CR92" s="740"/>
      <c r="CS92" s="740"/>
      <c r="CT92" s="740"/>
      <c r="CU92" s="740"/>
      <c r="CV92" s="740"/>
      <c r="CW92" s="740"/>
      <c r="CX92" s="740"/>
      <c r="CY92" s="740"/>
      <c r="CZ92" s="740"/>
      <c r="DA92" s="740"/>
      <c r="DB92" s="740"/>
      <c r="DC92" s="740"/>
      <c r="DD92" s="740"/>
      <c r="DE92" s="740"/>
      <c r="DF92" s="740"/>
      <c r="DG92" s="740"/>
      <c r="DH92" s="740"/>
      <c r="DI92" s="740"/>
    </row>
    <row r="93" spans="1:113" s="735" customFormat="1" ht="12.75" customHeight="1" x14ac:dyDescent="0.2">
      <c r="A93" s="180">
        <v>27608</v>
      </c>
      <c r="B93" s="180" t="s">
        <v>606</v>
      </c>
      <c r="C93" s="181" t="s">
        <v>616</v>
      </c>
      <c r="D93" s="602">
        <v>42886</v>
      </c>
      <c r="E93" s="180">
        <v>214</v>
      </c>
      <c r="F93" s="603">
        <v>10000</v>
      </c>
      <c r="G93" s="182">
        <f t="shared" si="31"/>
        <v>2140000</v>
      </c>
      <c r="H93" s="508">
        <f t="shared" si="32"/>
        <v>10.959199999999999</v>
      </c>
      <c r="I93" s="173">
        <f t="shared" si="30"/>
        <v>0.36049999999999999</v>
      </c>
      <c r="J93" s="170">
        <v>2.4500000000000001E-2</v>
      </c>
      <c r="K93" s="533">
        <v>0.38500000000000001</v>
      </c>
      <c r="L93" s="484">
        <f t="shared" si="27"/>
        <v>789296</v>
      </c>
      <c r="M93" s="1022">
        <v>0.66</v>
      </c>
      <c r="N93" s="484">
        <f t="shared" si="28"/>
        <v>34604</v>
      </c>
      <c r="O93" s="484">
        <f t="shared" si="29"/>
        <v>823900</v>
      </c>
      <c r="P93" s="604"/>
      <c r="Q93" s="605"/>
      <c r="R93" s="607"/>
      <c r="S93" s="607"/>
      <c r="T93" s="605"/>
      <c r="U93" s="605"/>
      <c r="V93" s="600"/>
      <c r="W93" s="600"/>
      <c r="X93" s="600"/>
      <c r="Y93" s="600"/>
      <c r="Z93" s="740"/>
      <c r="AA93" s="740"/>
      <c r="AB93" s="740"/>
      <c r="AC93" s="740"/>
      <c r="AD93" s="740"/>
      <c r="AE93" s="740"/>
      <c r="AF93" s="740"/>
      <c r="AG93" s="740"/>
      <c r="AH93" s="740"/>
      <c r="AI93" s="740"/>
      <c r="AJ93" s="740"/>
      <c r="AK93" s="740"/>
      <c r="AL93" s="740"/>
      <c r="AM93" s="740"/>
      <c r="AN93" s="740"/>
      <c r="AO93" s="740"/>
      <c r="AP93" s="740"/>
      <c r="AQ93" s="740"/>
      <c r="AR93" s="740"/>
      <c r="AS93" s="740"/>
      <c r="AT93" s="740"/>
      <c r="AU93" s="740"/>
      <c r="AV93" s="740"/>
      <c r="AW93" s="740"/>
      <c r="AX93" s="740"/>
      <c r="AY93" s="740"/>
      <c r="AZ93" s="740"/>
      <c r="BA93" s="740"/>
      <c r="BB93" s="740"/>
      <c r="BC93" s="740"/>
      <c r="BD93" s="740"/>
      <c r="BE93" s="740"/>
      <c r="BF93" s="740"/>
      <c r="BG93" s="740"/>
      <c r="BH93" s="740"/>
      <c r="BI93" s="740"/>
      <c r="BJ93" s="740"/>
      <c r="BK93" s="740"/>
      <c r="BL93" s="740"/>
      <c r="BM93" s="740"/>
      <c r="BN93" s="740"/>
      <c r="BO93" s="740"/>
      <c r="BP93" s="740"/>
      <c r="BQ93" s="740"/>
      <c r="BR93" s="740"/>
      <c r="BS93" s="740"/>
      <c r="BT93" s="740"/>
      <c r="BU93" s="740"/>
      <c r="BV93" s="740"/>
      <c r="BW93" s="740"/>
      <c r="BX93" s="740"/>
      <c r="BY93" s="740"/>
      <c r="BZ93" s="740"/>
      <c r="CA93" s="740"/>
      <c r="CB93" s="740"/>
      <c r="CC93" s="740"/>
      <c r="CD93" s="740"/>
      <c r="CE93" s="740"/>
      <c r="CF93" s="740"/>
      <c r="CG93" s="740"/>
      <c r="CH93" s="740"/>
      <c r="CI93" s="740"/>
      <c r="CJ93" s="740"/>
      <c r="CK93" s="740"/>
      <c r="CL93" s="740"/>
      <c r="CM93" s="740"/>
      <c r="CN93" s="740"/>
      <c r="CO93" s="740"/>
      <c r="CP93" s="740"/>
      <c r="CQ93" s="740"/>
      <c r="CR93" s="740"/>
      <c r="CS93" s="740"/>
      <c r="CT93" s="740"/>
      <c r="CU93" s="740"/>
      <c r="CV93" s="740"/>
      <c r="CW93" s="740"/>
      <c r="CX93" s="740"/>
      <c r="CY93" s="740"/>
      <c r="CZ93" s="740"/>
      <c r="DA93" s="740"/>
      <c r="DB93" s="740"/>
      <c r="DC93" s="740"/>
      <c r="DD93" s="740"/>
      <c r="DE93" s="740"/>
      <c r="DF93" s="740"/>
      <c r="DG93" s="740"/>
      <c r="DH93" s="740"/>
      <c r="DI93" s="740"/>
    </row>
    <row r="94" spans="1:113" s="735" customFormat="1" ht="12.75" customHeight="1" x14ac:dyDescent="0.2">
      <c r="A94" s="180">
        <v>27609</v>
      </c>
      <c r="B94" s="180" t="s">
        <v>306</v>
      </c>
      <c r="C94" s="181" t="s">
        <v>616</v>
      </c>
      <c r="D94" s="602">
        <v>41060</v>
      </c>
      <c r="E94" s="180">
        <v>214</v>
      </c>
      <c r="F94" s="603">
        <v>15000</v>
      </c>
      <c r="G94" s="182">
        <f t="shared" si="31"/>
        <v>3210000</v>
      </c>
      <c r="H94" s="508">
        <f t="shared" si="32"/>
        <v>10.807199999999998</v>
      </c>
      <c r="I94" s="173">
        <f t="shared" si="30"/>
        <v>0.35549999999999998</v>
      </c>
      <c r="J94" s="170">
        <v>2.4500000000000001E-2</v>
      </c>
      <c r="K94" s="533">
        <v>0.38</v>
      </c>
      <c r="L94" s="484">
        <f t="shared" si="27"/>
        <v>1167894</v>
      </c>
      <c r="M94" s="1022">
        <v>0.66</v>
      </c>
      <c r="N94" s="484">
        <f t="shared" si="28"/>
        <v>51906</v>
      </c>
      <c r="O94" s="484">
        <f t="shared" si="29"/>
        <v>1219800</v>
      </c>
      <c r="P94" s="604"/>
      <c r="Q94" s="605"/>
      <c r="R94" s="607"/>
      <c r="S94" s="607"/>
      <c r="T94" s="605"/>
      <c r="U94" s="605"/>
      <c r="V94" s="600"/>
      <c r="W94" s="600"/>
      <c r="X94" s="600"/>
      <c r="Y94" s="600"/>
      <c r="Z94" s="740"/>
      <c r="AA94" s="740"/>
      <c r="AB94" s="740"/>
      <c r="AC94" s="740"/>
      <c r="AD94" s="740"/>
      <c r="AE94" s="740"/>
      <c r="AF94" s="740"/>
      <c r="AG94" s="740"/>
      <c r="AH94" s="740"/>
      <c r="AI94" s="740"/>
      <c r="AJ94" s="740"/>
      <c r="AK94" s="740"/>
      <c r="AL94" s="740"/>
      <c r="AM94" s="740"/>
      <c r="AN94" s="740"/>
      <c r="AO94" s="740"/>
      <c r="AP94" s="740"/>
      <c r="AQ94" s="740"/>
      <c r="AR94" s="740"/>
      <c r="AS94" s="740"/>
      <c r="AT94" s="740"/>
      <c r="AU94" s="740"/>
      <c r="AV94" s="740"/>
      <c r="AW94" s="740"/>
      <c r="AX94" s="740"/>
      <c r="AY94" s="740"/>
      <c r="AZ94" s="740"/>
      <c r="BA94" s="740"/>
      <c r="BB94" s="740"/>
      <c r="BC94" s="740"/>
      <c r="BD94" s="740"/>
      <c r="BE94" s="740"/>
      <c r="BF94" s="740"/>
      <c r="BG94" s="740"/>
      <c r="BH94" s="740"/>
      <c r="BI94" s="740"/>
      <c r="BJ94" s="740"/>
      <c r="BK94" s="740"/>
      <c r="BL94" s="740"/>
      <c r="BM94" s="740"/>
      <c r="BN94" s="740"/>
      <c r="BO94" s="740"/>
      <c r="BP94" s="740"/>
      <c r="BQ94" s="740"/>
      <c r="BR94" s="740"/>
      <c r="BS94" s="740"/>
      <c r="BT94" s="740"/>
      <c r="BU94" s="740"/>
      <c r="BV94" s="740"/>
      <c r="BW94" s="740"/>
      <c r="BX94" s="740"/>
      <c r="BY94" s="740"/>
      <c r="BZ94" s="740"/>
      <c r="CA94" s="740"/>
      <c r="CB94" s="740"/>
      <c r="CC94" s="740"/>
      <c r="CD94" s="740"/>
      <c r="CE94" s="740"/>
      <c r="CF94" s="740"/>
      <c r="CG94" s="740"/>
      <c r="CH94" s="740"/>
      <c r="CI94" s="740"/>
      <c r="CJ94" s="740"/>
      <c r="CK94" s="740"/>
      <c r="CL94" s="740"/>
      <c r="CM94" s="740"/>
      <c r="CN94" s="740"/>
      <c r="CO94" s="740"/>
      <c r="CP94" s="740"/>
      <c r="CQ94" s="740"/>
      <c r="CR94" s="740"/>
      <c r="CS94" s="740"/>
      <c r="CT94" s="740"/>
      <c r="CU94" s="740"/>
      <c r="CV94" s="740"/>
      <c r="CW94" s="740"/>
      <c r="CX94" s="740"/>
      <c r="CY94" s="740"/>
      <c r="CZ94" s="740"/>
      <c r="DA94" s="740"/>
      <c r="DB94" s="740"/>
      <c r="DC94" s="740"/>
      <c r="DD94" s="740"/>
      <c r="DE94" s="740"/>
      <c r="DF94" s="740"/>
      <c r="DG94" s="740"/>
      <c r="DH94" s="740"/>
      <c r="DI94" s="740"/>
    </row>
    <row r="95" spans="1:113" s="735" customFormat="1" ht="12.75" customHeight="1" x14ac:dyDescent="0.2">
      <c r="A95" s="180">
        <v>27622</v>
      </c>
      <c r="B95" s="180" t="s">
        <v>609</v>
      </c>
      <c r="C95" s="181" t="s">
        <v>616</v>
      </c>
      <c r="D95" s="602">
        <v>41882</v>
      </c>
      <c r="E95" s="180">
        <v>214</v>
      </c>
      <c r="F95" s="603">
        <v>4500</v>
      </c>
      <c r="G95" s="182">
        <f t="shared" si="31"/>
        <v>963000</v>
      </c>
      <c r="H95" s="508">
        <f t="shared" si="32"/>
        <v>12.023199999999997</v>
      </c>
      <c r="I95" s="173">
        <f t="shared" si="30"/>
        <v>0.39549999999999996</v>
      </c>
      <c r="J95" s="170">
        <v>2.4500000000000001E-2</v>
      </c>
      <c r="K95" s="533">
        <v>0.42</v>
      </c>
      <c r="L95" s="484">
        <f t="shared" si="27"/>
        <v>388888</v>
      </c>
      <c r="M95" s="1022">
        <v>0.66</v>
      </c>
      <c r="N95" s="484">
        <f t="shared" si="28"/>
        <v>15572</v>
      </c>
      <c r="O95" s="484">
        <f t="shared" si="29"/>
        <v>404460</v>
      </c>
      <c r="P95" s="604"/>
      <c r="Q95" s="605"/>
      <c r="R95" s="607"/>
      <c r="S95" s="607"/>
      <c r="T95" s="605"/>
      <c r="U95" s="605"/>
      <c r="V95" s="600"/>
      <c r="W95" s="600"/>
      <c r="X95" s="600"/>
      <c r="Y95" s="600"/>
      <c r="Z95" s="740"/>
      <c r="AA95" s="740"/>
      <c r="AB95" s="740"/>
      <c r="AC95" s="740"/>
      <c r="AD95" s="740"/>
      <c r="AE95" s="740"/>
      <c r="AF95" s="740"/>
      <c r="AG95" s="740"/>
      <c r="AH95" s="740"/>
      <c r="AI95" s="740"/>
      <c r="AJ95" s="740"/>
      <c r="AK95" s="740"/>
      <c r="AL95" s="740"/>
      <c r="AM95" s="740"/>
      <c r="AN95" s="740"/>
      <c r="AO95" s="740"/>
      <c r="AP95" s="740"/>
      <c r="AQ95" s="740"/>
      <c r="AR95" s="740"/>
      <c r="AS95" s="740"/>
      <c r="AT95" s="740"/>
      <c r="AU95" s="740"/>
      <c r="AV95" s="740"/>
      <c r="AW95" s="740"/>
      <c r="AX95" s="740"/>
      <c r="AY95" s="740"/>
      <c r="AZ95" s="740"/>
      <c r="BA95" s="740"/>
      <c r="BB95" s="740"/>
      <c r="BC95" s="740"/>
      <c r="BD95" s="740"/>
      <c r="BE95" s="740"/>
      <c r="BF95" s="740"/>
      <c r="BG95" s="740"/>
      <c r="BH95" s="740"/>
      <c r="BI95" s="740"/>
      <c r="BJ95" s="740"/>
      <c r="BK95" s="740"/>
      <c r="BL95" s="740"/>
      <c r="BM95" s="740"/>
      <c r="BN95" s="740"/>
      <c r="BO95" s="740"/>
      <c r="BP95" s="740"/>
      <c r="BQ95" s="740"/>
      <c r="BR95" s="740"/>
      <c r="BS95" s="740"/>
      <c r="BT95" s="740"/>
      <c r="BU95" s="740"/>
      <c r="BV95" s="740"/>
      <c r="BW95" s="740"/>
      <c r="BX95" s="740"/>
      <c r="BY95" s="740"/>
      <c r="BZ95" s="740"/>
      <c r="CA95" s="740"/>
      <c r="CB95" s="740"/>
      <c r="CC95" s="740"/>
      <c r="CD95" s="740"/>
      <c r="CE95" s="740"/>
      <c r="CF95" s="740"/>
      <c r="CG95" s="740"/>
      <c r="CH95" s="740"/>
      <c r="CI95" s="740"/>
      <c r="CJ95" s="740"/>
      <c r="CK95" s="740"/>
      <c r="CL95" s="740"/>
      <c r="CM95" s="740"/>
      <c r="CN95" s="740"/>
      <c r="CO95" s="740"/>
      <c r="CP95" s="740"/>
      <c r="CQ95" s="740"/>
      <c r="CR95" s="740"/>
      <c r="CS95" s="740"/>
      <c r="CT95" s="740"/>
      <c r="CU95" s="740"/>
      <c r="CV95" s="740"/>
      <c r="CW95" s="740"/>
      <c r="CX95" s="740"/>
      <c r="CY95" s="740"/>
      <c r="CZ95" s="740"/>
      <c r="DA95" s="740"/>
      <c r="DB95" s="740"/>
      <c r="DC95" s="740"/>
      <c r="DD95" s="740"/>
      <c r="DE95" s="740"/>
      <c r="DF95" s="740"/>
      <c r="DG95" s="740"/>
      <c r="DH95" s="740"/>
      <c r="DI95" s="740"/>
    </row>
    <row r="96" spans="1:113" s="735" customFormat="1" ht="12.75" customHeight="1" x14ac:dyDescent="0.2">
      <c r="A96" s="180">
        <v>27641</v>
      </c>
      <c r="B96" s="180" t="s">
        <v>605</v>
      </c>
      <c r="C96" s="181" t="s">
        <v>616</v>
      </c>
      <c r="D96" s="602">
        <v>48395</v>
      </c>
      <c r="E96" s="180">
        <v>214</v>
      </c>
      <c r="F96" s="603">
        <v>20000</v>
      </c>
      <c r="G96" s="182">
        <f t="shared" si="31"/>
        <v>4280000</v>
      </c>
      <c r="H96" s="508">
        <f t="shared" si="32"/>
        <v>10.807199999999998</v>
      </c>
      <c r="I96" s="173">
        <f t="shared" si="30"/>
        <v>0.35549999999999998</v>
      </c>
      <c r="J96" s="170">
        <v>2.4500000000000001E-2</v>
      </c>
      <c r="K96" s="533">
        <v>0.38</v>
      </c>
      <c r="L96" s="484">
        <f t="shared" si="27"/>
        <v>1557192</v>
      </c>
      <c r="M96" s="1022">
        <v>0.66</v>
      </c>
      <c r="N96" s="484">
        <f t="shared" si="28"/>
        <v>69208</v>
      </c>
      <c r="O96" s="484">
        <f t="shared" si="29"/>
        <v>1626400</v>
      </c>
      <c r="P96" s="604"/>
      <c r="Q96" s="605"/>
      <c r="R96" s="607"/>
      <c r="S96" s="607"/>
      <c r="T96" s="605"/>
      <c r="U96" s="605"/>
      <c r="V96" s="600"/>
      <c r="W96" s="600"/>
      <c r="X96" s="600"/>
      <c r="Y96" s="600"/>
      <c r="Z96" s="740"/>
      <c r="AA96" s="740"/>
      <c r="AB96" s="740"/>
      <c r="AC96" s="740"/>
      <c r="AD96" s="740"/>
      <c r="AE96" s="740"/>
      <c r="AF96" s="740"/>
      <c r="AG96" s="740"/>
      <c r="AH96" s="740"/>
      <c r="AI96" s="740"/>
      <c r="AJ96" s="740"/>
      <c r="AK96" s="740"/>
      <c r="AL96" s="740"/>
      <c r="AM96" s="740"/>
      <c r="AN96" s="740"/>
      <c r="AO96" s="740"/>
      <c r="AP96" s="740"/>
      <c r="AQ96" s="740"/>
      <c r="AR96" s="740"/>
      <c r="AS96" s="740"/>
      <c r="AT96" s="740"/>
      <c r="AU96" s="740"/>
      <c r="AV96" s="740"/>
      <c r="AW96" s="740"/>
      <c r="AX96" s="740"/>
      <c r="AY96" s="740"/>
      <c r="AZ96" s="740"/>
      <c r="BA96" s="740"/>
      <c r="BB96" s="740"/>
      <c r="BC96" s="740"/>
      <c r="BD96" s="740"/>
      <c r="BE96" s="740"/>
      <c r="BF96" s="740"/>
      <c r="BG96" s="740"/>
      <c r="BH96" s="740"/>
      <c r="BI96" s="740"/>
      <c r="BJ96" s="740"/>
      <c r="BK96" s="740"/>
      <c r="BL96" s="740"/>
      <c r="BM96" s="740"/>
      <c r="BN96" s="740"/>
      <c r="BO96" s="740"/>
      <c r="BP96" s="740"/>
      <c r="BQ96" s="740"/>
      <c r="BR96" s="740"/>
      <c r="BS96" s="740"/>
      <c r="BT96" s="740"/>
      <c r="BU96" s="740"/>
      <c r="BV96" s="740"/>
      <c r="BW96" s="740"/>
      <c r="BX96" s="740"/>
      <c r="BY96" s="740"/>
      <c r="BZ96" s="740"/>
      <c r="CA96" s="740"/>
      <c r="CB96" s="740"/>
      <c r="CC96" s="740"/>
      <c r="CD96" s="740"/>
      <c r="CE96" s="740"/>
      <c r="CF96" s="740"/>
      <c r="CG96" s="740"/>
      <c r="CH96" s="740"/>
      <c r="CI96" s="740"/>
      <c r="CJ96" s="740"/>
      <c r="CK96" s="740"/>
      <c r="CL96" s="740"/>
      <c r="CM96" s="740"/>
      <c r="CN96" s="740"/>
      <c r="CO96" s="740"/>
      <c r="CP96" s="740"/>
      <c r="CQ96" s="740"/>
      <c r="CR96" s="740"/>
      <c r="CS96" s="740"/>
      <c r="CT96" s="740"/>
      <c r="CU96" s="740"/>
      <c r="CV96" s="740"/>
      <c r="CW96" s="740"/>
      <c r="CX96" s="740"/>
      <c r="CY96" s="740"/>
      <c r="CZ96" s="740"/>
      <c r="DA96" s="740"/>
      <c r="DB96" s="740"/>
      <c r="DC96" s="740"/>
      <c r="DD96" s="740"/>
      <c r="DE96" s="740"/>
      <c r="DF96" s="740"/>
      <c r="DG96" s="740"/>
      <c r="DH96" s="740"/>
      <c r="DI96" s="740"/>
    </row>
    <row r="97" spans="1:113" s="735" customFormat="1" ht="12.75" customHeight="1" x14ac:dyDescent="0.2">
      <c r="A97" s="180">
        <v>27642</v>
      </c>
      <c r="B97" s="180" t="s">
        <v>608</v>
      </c>
      <c r="C97" s="181" t="s">
        <v>616</v>
      </c>
      <c r="D97" s="602">
        <v>42886</v>
      </c>
      <c r="E97" s="180">
        <f>31+31+30+31+30+31</f>
        <v>184</v>
      </c>
      <c r="F97" s="603">
        <v>40000</v>
      </c>
      <c r="G97" s="182">
        <f t="shared" si="31"/>
        <v>7360000</v>
      </c>
      <c r="H97" s="508">
        <f t="shared" si="32"/>
        <v>10.807199999999998</v>
      </c>
      <c r="I97" s="173">
        <f t="shared" si="30"/>
        <v>0.35549999999999998</v>
      </c>
      <c r="J97" s="170">
        <v>2.4500000000000001E-2</v>
      </c>
      <c r="K97" s="533">
        <v>0.38</v>
      </c>
      <c r="L97" s="484">
        <f t="shared" si="27"/>
        <v>2677789</v>
      </c>
      <c r="M97" s="1022">
        <v>0.66</v>
      </c>
      <c r="N97" s="484">
        <f t="shared" si="28"/>
        <v>119011</v>
      </c>
      <c r="O97" s="484">
        <f t="shared" si="29"/>
        <v>2796800</v>
      </c>
      <c r="P97" s="604"/>
      <c r="Q97" s="605"/>
      <c r="R97" s="607"/>
      <c r="S97" s="607"/>
      <c r="T97" s="605"/>
      <c r="U97" s="605"/>
      <c r="V97" s="600"/>
      <c r="W97" s="600"/>
      <c r="X97" s="600"/>
      <c r="Y97" s="600"/>
      <c r="Z97" s="740"/>
      <c r="AA97" s="740"/>
      <c r="AB97" s="740"/>
      <c r="AC97" s="740"/>
      <c r="AD97" s="740"/>
      <c r="AE97" s="740"/>
      <c r="AF97" s="740"/>
      <c r="AG97" s="740"/>
      <c r="AH97" s="740"/>
      <c r="AI97" s="740"/>
      <c r="AJ97" s="740"/>
      <c r="AK97" s="740"/>
      <c r="AL97" s="740"/>
      <c r="AM97" s="740"/>
      <c r="AN97" s="740"/>
      <c r="AO97" s="740"/>
      <c r="AP97" s="740"/>
      <c r="AQ97" s="740"/>
      <c r="AR97" s="740"/>
      <c r="AS97" s="740"/>
      <c r="AT97" s="740"/>
      <c r="AU97" s="740"/>
      <c r="AV97" s="740"/>
      <c r="AW97" s="740"/>
      <c r="AX97" s="740"/>
      <c r="AY97" s="740"/>
      <c r="AZ97" s="740"/>
      <c r="BA97" s="740"/>
      <c r="BB97" s="740"/>
      <c r="BC97" s="740"/>
      <c r="BD97" s="740"/>
      <c r="BE97" s="740"/>
      <c r="BF97" s="740"/>
      <c r="BG97" s="740"/>
      <c r="BH97" s="740"/>
      <c r="BI97" s="740"/>
      <c r="BJ97" s="740"/>
      <c r="BK97" s="740"/>
      <c r="BL97" s="740"/>
      <c r="BM97" s="740"/>
      <c r="BN97" s="740"/>
      <c r="BO97" s="740"/>
      <c r="BP97" s="740"/>
      <c r="BQ97" s="740"/>
      <c r="BR97" s="740"/>
      <c r="BS97" s="740"/>
      <c r="BT97" s="740"/>
      <c r="BU97" s="740"/>
      <c r="BV97" s="740"/>
      <c r="BW97" s="740"/>
      <c r="BX97" s="740"/>
      <c r="BY97" s="740"/>
      <c r="BZ97" s="740"/>
      <c r="CA97" s="740"/>
      <c r="CB97" s="740"/>
      <c r="CC97" s="740"/>
      <c r="CD97" s="740"/>
      <c r="CE97" s="740"/>
      <c r="CF97" s="740"/>
      <c r="CG97" s="740"/>
      <c r="CH97" s="740"/>
      <c r="CI97" s="740"/>
      <c r="CJ97" s="740"/>
      <c r="CK97" s="740"/>
      <c r="CL97" s="740"/>
      <c r="CM97" s="740"/>
      <c r="CN97" s="740"/>
      <c r="CO97" s="740"/>
      <c r="CP97" s="740"/>
      <c r="CQ97" s="740"/>
      <c r="CR97" s="740"/>
      <c r="CS97" s="740"/>
      <c r="CT97" s="740"/>
      <c r="CU97" s="740"/>
      <c r="CV97" s="740"/>
      <c r="CW97" s="740"/>
      <c r="CX97" s="740"/>
      <c r="CY97" s="740"/>
      <c r="CZ97" s="740"/>
      <c r="DA97" s="740"/>
      <c r="DB97" s="740"/>
      <c r="DC97" s="740"/>
      <c r="DD97" s="740"/>
      <c r="DE97" s="740"/>
      <c r="DF97" s="740"/>
      <c r="DG97" s="740"/>
      <c r="DH97" s="740"/>
      <c r="DI97" s="740"/>
    </row>
    <row r="98" spans="1:113" s="735" customFormat="1" ht="12.75" customHeight="1" x14ac:dyDescent="0.2">
      <c r="A98" s="180">
        <v>27649</v>
      </c>
      <c r="B98" s="180" t="s">
        <v>605</v>
      </c>
      <c r="C98" s="181" t="s">
        <v>616</v>
      </c>
      <c r="D98" s="602">
        <v>39233</v>
      </c>
      <c r="E98" s="180">
        <v>214</v>
      </c>
      <c r="F98" s="603">
        <v>7500</v>
      </c>
      <c r="G98" s="182">
        <f t="shared" si="31"/>
        <v>1605000</v>
      </c>
      <c r="H98" s="508">
        <f t="shared" si="32"/>
        <v>6.0952000000000002</v>
      </c>
      <c r="I98" s="173">
        <f t="shared" si="30"/>
        <v>0.20050000000000001</v>
      </c>
      <c r="J98" s="170">
        <v>2.4500000000000001E-2</v>
      </c>
      <c r="K98" s="533">
        <v>0.22500000000000001</v>
      </c>
      <c r="L98" s="527">
        <f t="shared" si="27"/>
        <v>335172</v>
      </c>
      <c r="M98" s="1022">
        <v>0.66</v>
      </c>
      <c r="N98" s="527">
        <f t="shared" si="28"/>
        <v>25953</v>
      </c>
      <c r="O98" s="527">
        <f t="shared" si="29"/>
        <v>361125</v>
      </c>
      <c r="P98" s="604"/>
      <c r="Q98" s="605"/>
      <c r="R98" s="607"/>
      <c r="S98" s="607"/>
      <c r="T98" s="605"/>
      <c r="U98" s="605"/>
      <c r="V98" s="600"/>
      <c r="W98" s="600"/>
      <c r="X98" s="600"/>
      <c r="Y98" s="600"/>
      <c r="Z98" s="740"/>
      <c r="AA98" s="740"/>
      <c r="AB98" s="740"/>
      <c r="AC98" s="740"/>
      <c r="AD98" s="740"/>
      <c r="AE98" s="740"/>
      <c r="AF98" s="740"/>
      <c r="AG98" s="740"/>
      <c r="AH98" s="740"/>
      <c r="AI98" s="740"/>
      <c r="AJ98" s="740"/>
      <c r="AK98" s="740"/>
      <c r="AL98" s="740"/>
      <c r="AM98" s="740"/>
      <c r="AN98" s="740"/>
      <c r="AO98" s="740"/>
      <c r="AP98" s="740"/>
      <c r="AQ98" s="740"/>
      <c r="AR98" s="740"/>
      <c r="AS98" s="740"/>
      <c r="AT98" s="740"/>
      <c r="AU98" s="740"/>
      <c r="AV98" s="740"/>
      <c r="AW98" s="740"/>
      <c r="AX98" s="740"/>
      <c r="AY98" s="740"/>
      <c r="AZ98" s="740"/>
      <c r="BA98" s="740"/>
      <c r="BB98" s="740"/>
      <c r="BC98" s="740"/>
      <c r="BD98" s="740"/>
      <c r="BE98" s="740"/>
      <c r="BF98" s="740"/>
      <c r="BG98" s="740"/>
      <c r="BH98" s="740"/>
      <c r="BI98" s="740"/>
      <c r="BJ98" s="740"/>
      <c r="BK98" s="740"/>
      <c r="BL98" s="740"/>
      <c r="BM98" s="740"/>
      <c r="BN98" s="740"/>
      <c r="BO98" s="740"/>
      <c r="BP98" s="740"/>
      <c r="BQ98" s="740"/>
      <c r="BR98" s="740"/>
      <c r="BS98" s="740"/>
      <c r="BT98" s="740"/>
      <c r="BU98" s="740"/>
      <c r="BV98" s="740"/>
      <c r="BW98" s="740"/>
      <c r="BX98" s="740"/>
      <c r="BY98" s="740"/>
      <c r="BZ98" s="740"/>
      <c r="CA98" s="740"/>
      <c r="CB98" s="740"/>
      <c r="CC98" s="740"/>
      <c r="CD98" s="740"/>
      <c r="CE98" s="740"/>
      <c r="CF98" s="740"/>
      <c r="CG98" s="740"/>
      <c r="CH98" s="740"/>
      <c r="CI98" s="740"/>
      <c r="CJ98" s="740"/>
      <c r="CK98" s="740"/>
      <c r="CL98" s="740"/>
      <c r="CM98" s="740"/>
      <c r="CN98" s="740"/>
      <c r="CO98" s="740"/>
      <c r="CP98" s="740"/>
      <c r="CQ98" s="740"/>
      <c r="CR98" s="740"/>
      <c r="CS98" s="740"/>
      <c r="CT98" s="740"/>
      <c r="CU98" s="740"/>
      <c r="CV98" s="740"/>
      <c r="CW98" s="740"/>
      <c r="CX98" s="740"/>
      <c r="CY98" s="740"/>
      <c r="CZ98" s="740"/>
      <c r="DA98" s="740"/>
      <c r="DB98" s="740"/>
      <c r="DC98" s="740"/>
      <c r="DD98" s="740"/>
      <c r="DE98" s="740"/>
      <c r="DF98" s="740"/>
      <c r="DG98" s="740"/>
      <c r="DH98" s="740"/>
      <c r="DI98" s="740"/>
    </row>
    <row r="99" spans="1:113" x14ac:dyDescent="0.2">
      <c r="A99" s="998"/>
      <c r="B99" s="998"/>
      <c r="C99" s="181"/>
      <c r="D99" s="1055"/>
      <c r="E99" s="998"/>
      <c r="F99" s="1056"/>
      <c r="G99" s="1009"/>
      <c r="H99" s="1010"/>
      <c r="I99" s="1001"/>
      <c r="J99" s="1057"/>
      <c r="K99" s="1057"/>
      <c r="L99" s="1092">
        <f>SUM(L77:L98)</f>
        <v>58727799.200000003</v>
      </c>
      <c r="M99" s="1095"/>
      <c r="N99" s="1092">
        <f>SUM(N77:N98)</f>
        <v>1546239</v>
      </c>
      <c r="O99" s="1092">
        <f t="shared" si="29"/>
        <v>60274038.200000003</v>
      </c>
      <c r="P99" s="728"/>
      <c r="Q99" s="605"/>
      <c r="R99" s="607"/>
      <c r="S99" s="607"/>
      <c r="T99" s="605"/>
      <c r="U99" s="605"/>
      <c r="V99" s="29"/>
      <c r="W99" s="29"/>
      <c r="X99" s="29"/>
      <c r="Y99" s="29"/>
    </row>
    <row r="100" spans="1:113" s="570" customFormat="1" ht="12.75" customHeight="1" x14ac:dyDescent="0.2">
      <c r="A100" s="591"/>
      <c r="B100" s="591"/>
      <c r="C100" s="489"/>
      <c r="D100" s="602"/>
      <c r="E100" s="35"/>
      <c r="F100" s="603"/>
      <c r="G100" s="603"/>
      <c r="H100" s="779"/>
      <c r="I100" s="533"/>
      <c r="J100" s="533"/>
      <c r="K100" s="533"/>
      <c r="L100" s="604"/>
      <c r="M100" s="1023"/>
      <c r="N100" s="616"/>
      <c r="O100" s="616"/>
      <c r="P100" s="536"/>
      <c r="Q100" s="605"/>
      <c r="R100" s="607"/>
      <c r="S100" s="607"/>
      <c r="T100" s="605"/>
      <c r="U100" s="617"/>
      <c r="V100" s="618"/>
      <c r="W100" s="618"/>
      <c r="X100" s="618"/>
      <c r="Y100" s="618"/>
      <c r="Z100" s="618"/>
      <c r="AA100" s="618"/>
      <c r="AB100" s="618"/>
      <c r="AC100" s="618"/>
      <c r="AD100" s="618"/>
      <c r="AE100" s="618"/>
      <c r="AF100" s="618"/>
      <c r="AG100" s="618"/>
      <c r="AH100" s="618"/>
      <c r="AI100" s="618"/>
      <c r="AJ100" s="618"/>
      <c r="AK100" s="618"/>
      <c r="AL100" s="618"/>
      <c r="AM100" s="618"/>
      <c r="AN100" s="618"/>
      <c r="AO100" s="618"/>
      <c r="AP100" s="618"/>
      <c r="AQ100" s="618"/>
      <c r="AR100" s="618"/>
      <c r="AS100" s="618"/>
      <c r="AT100" s="618"/>
      <c r="AU100" s="618"/>
      <c r="AV100" s="618"/>
      <c r="AW100" s="618"/>
      <c r="AX100" s="618"/>
      <c r="AY100" s="618"/>
      <c r="AZ100" s="618"/>
      <c r="BA100" s="618"/>
      <c r="BB100" s="618"/>
      <c r="BC100" s="618"/>
      <c r="BD100" s="618"/>
      <c r="BE100" s="618"/>
      <c r="BF100" s="618"/>
      <c r="BG100" s="618"/>
      <c r="BH100" s="618"/>
      <c r="BI100" s="618"/>
      <c r="BJ100" s="618"/>
      <c r="BK100" s="618"/>
      <c r="BL100" s="618"/>
      <c r="BM100" s="618"/>
      <c r="BN100" s="618"/>
      <c r="BO100" s="618"/>
      <c r="BP100" s="618"/>
      <c r="BQ100" s="618"/>
      <c r="BR100" s="618"/>
      <c r="BS100" s="618"/>
      <c r="BT100" s="618"/>
      <c r="BU100" s="618"/>
      <c r="BV100" s="618"/>
      <c r="BW100" s="618"/>
      <c r="BX100" s="618"/>
      <c r="BY100" s="618"/>
      <c r="BZ100" s="618"/>
      <c r="CA100" s="618"/>
      <c r="CB100" s="618"/>
      <c r="CC100" s="618"/>
      <c r="CD100" s="618"/>
      <c r="CE100" s="618"/>
      <c r="CF100" s="618"/>
      <c r="CG100" s="618"/>
      <c r="CH100" s="618"/>
      <c r="CI100" s="618"/>
      <c r="CJ100" s="618"/>
      <c r="CK100" s="618"/>
      <c r="CL100" s="618"/>
      <c r="CM100" s="618"/>
      <c r="CN100" s="618"/>
      <c r="CO100" s="618"/>
      <c r="CP100" s="618"/>
      <c r="CQ100" s="618"/>
      <c r="CR100" s="618"/>
      <c r="CS100" s="618"/>
      <c r="CT100" s="618"/>
      <c r="CU100" s="618"/>
      <c r="CV100" s="618"/>
      <c r="CW100" s="618"/>
      <c r="CX100" s="618"/>
      <c r="CY100" s="618"/>
      <c r="CZ100" s="618"/>
      <c r="DA100" s="618"/>
      <c r="DB100" s="618"/>
      <c r="DC100" s="618"/>
      <c r="DD100" s="618"/>
      <c r="DE100" s="618"/>
      <c r="DF100" s="618"/>
      <c r="DG100" s="618"/>
      <c r="DH100" s="618"/>
      <c r="DI100" s="618"/>
    </row>
    <row r="101" spans="1:113" s="570" customFormat="1" ht="12.75" customHeight="1" x14ac:dyDescent="0.2">
      <c r="A101" s="591"/>
      <c r="B101" s="591"/>
      <c r="C101" s="489"/>
      <c r="D101" s="602"/>
      <c r="E101" s="35"/>
      <c r="F101" s="530"/>
      <c r="G101" s="567"/>
      <c r="H101" s="532"/>
      <c r="I101" s="533"/>
      <c r="J101" s="533"/>
      <c r="K101" s="534"/>
      <c r="L101" s="604"/>
      <c r="M101" s="1023"/>
      <c r="N101" s="616"/>
      <c r="O101" s="616"/>
      <c r="P101" s="536"/>
      <c r="Q101" s="605"/>
      <c r="R101" s="607"/>
      <c r="S101" s="607"/>
      <c r="T101" s="605"/>
      <c r="U101" s="617"/>
      <c r="V101" s="618"/>
      <c r="W101" s="618"/>
      <c r="X101" s="618"/>
      <c r="Y101" s="618"/>
      <c r="Z101" s="618"/>
      <c r="AA101" s="618"/>
      <c r="AB101" s="618"/>
      <c r="AC101" s="618"/>
      <c r="AD101" s="618"/>
      <c r="AE101" s="618"/>
      <c r="AF101" s="618"/>
      <c r="AG101" s="618"/>
      <c r="AH101" s="618"/>
      <c r="AI101" s="618"/>
      <c r="AJ101" s="618"/>
      <c r="AK101" s="618"/>
      <c r="AL101" s="618"/>
      <c r="AM101" s="618"/>
      <c r="AN101" s="618"/>
      <c r="AO101" s="618"/>
      <c r="AP101" s="618"/>
      <c r="AQ101" s="618"/>
      <c r="AR101" s="618"/>
      <c r="AS101" s="618"/>
      <c r="AT101" s="618"/>
      <c r="AU101" s="618"/>
      <c r="AV101" s="618"/>
      <c r="AW101" s="618"/>
      <c r="AX101" s="618"/>
      <c r="AY101" s="618"/>
      <c r="AZ101" s="618"/>
      <c r="BA101" s="618"/>
      <c r="BB101" s="618"/>
      <c r="BC101" s="618"/>
      <c r="BD101" s="618"/>
      <c r="BE101" s="618"/>
      <c r="BF101" s="618"/>
      <c r="BG101" s="618"/>
      <c r="BH101" s="618"/>
      <c r="BI101" s="618"/>
      <c r="BJ101" s="618"/>
      <c r="BK101" s="618"/>
      <c r="BL101" s="618"/>
      <c r="BM101" s="618"/>
      <c r="BN101" s="618"/>
      <c r="BO101" s="618"/>
      <c r="BP101" s="618"/>
      <c r="BQ101" s="618"/>
      <c r="BR101" s="618"/>
      <c r="BS101" s="618"/>
      <c r="BT101" s="618"/>
      <c r="BU101" s="618"/>
      <c r="BV101" s="618"/>
      <c r="BW101" s="618"/>
      <c r="BX101" s="618"/>
      <c r="BY101" s="618"/>
      <c r="BZ101" s="618"/>
      <c r="CA101" s="618"/>
      <c r="CB101" s="618"/>
      <c r="CC101" s="618"/>
      <c r="CD101" s="618"/>
      <c r="CE101" s="618"/>
      <c r="CF101" s="618"/>
      <c r="CG101" s="618"/>
      <c r="CH101" s="618"/>
      <c r="CI101" s="618"/>
      <c r="CJ101" s="618"/>
      <c r="CK101" s="618"/>
      <c r="CL101" s="618"/>
      <c r="CM101" s="618"/>
      <c r="CN101" s="618"/>
      <c r="CO101" s="618"/>
      <c r="CP101" s="618"/>
      <c r="CQ101" s="618"/>
      <c r="CR101" s="618"/>
      <c r="CS101" s="618"/>
      <c r="CT101" s="618"/>
      <c r="CU101" s="618"/>
      <c r="CV101" s="618"/>
      <c r="CW101" s="618"/>
      <c r="CX101" s="618"/>
      <c r="CY101" s="618"/>
      <c r="CZ101" s="618"/>
      <c r="DA101" s="618"/>
      <c r="DB101" s="618"/>
      <c r="DC101" s="618"/>
      <c r="DD101" s="618"/>
      <c r="DE101" s="618"/>
      <c r="DF101" s="618"/>
      <c r="DG101" s="618"/>
      <c r="DH101" s="618"/>
      <c r="DI101" s="618"/>
    </row>
    <row r="102" spans="1:113" s="570" customFormat="1" ht="12.75" customHeight="1" x14ac:dyDescent="0.2">
      <c r="A102" s="540" t="s">
        <v>507</v>
      </c>
      <c r="B102" s="540" t="s">
        <v>494</v>
      </c>
      <c r="C102" s="489"/>
      <c r="D102" s="602"/>
      <c r="E102" s="35"/>
      <c r="F102" s="531"/>
      <c r="G102" s="567"/>
      <c r="H102" s="541"/>
      <c r="I102" s="533"/>
      <c r="J102" s="533"/>
      <c r="K102" s="534"/>
      <c r="L102" s="604"/>
      <c r="M102" s="1023"/>
      <c r="N102" s="616"/>
      <c r="O102" s="616"/>
      <c r="P102" s="536"/>
      <c r="Q102" s="605"/>
      <c r="R102" s="607"/>
      <c r="S102" s="607"/>
      <c r="T102" s="605"/>
      <c r="U102" s="617"/>
      <c r="V102" s="618"/>
      <c r="W102" s="618"/>
      <c r="X102" s="618"/>
      <c r="Y102" s="618"/>
      <c r="Z102" s="618"/>
      <c r="AA102" s="618"/>
      <c r="AB102" s="618"/>
      <c r="AC102" s="618"/>
      <c r="AD102" s="618"/>
      <c r="AE102" s="618"/>
      <c r="AF102" s="618"/>
      <c r="AG102" s="618"/>
      <c r="AH102" s="618"/>
      <c r="AI102" s="618"/>
      <c r="AJ102" s="618"/>
      <c r="AK102" s="618"/>
      <c r="AL102" s="618"/>
      <c r="AM102" s="618"/>
      <c r="AN102" s="618"/>
      <c r="AO102" s="618"/>
      <c r="AP102" s="618"/>
      <c r="AQ102" s="618"/>
      <c r="AR102" s="618"/>
      <c r="AS102" s="618"/>
      <c r="AT102" s="618"/>
      <c r="AU102" s="618"/>
      <c r="AV102" s="618"/>
      <c r="AW102" s="618"/>
      <c r="AX102" s="618"/>
      <c r="AY102" s="618"/>
      <c r="AZ102" s="618"/>
      <c r="BA102" s="618"/>
      <c r="BB102" s="618"/>
      <c r="BC102" s="618"/>
      <c r="BD102" s="618"/>
      <c r="BE102" s="618"/>
      <c r="BF102" s="618"/>
      <c r="BG102" s="618"/>
      <c r="BH102" s="618"/>
      <c r="BI102" s="618"/>
      <c r="BJ102" s="618"/>
      <c r="BK102" s="618"/>
      <c r="BL102" s="618"/>
      <c r="BM102" s="618"/>
      <c r="BN102" s="618"/>
      <c r="BO102" s="618"/>
      <c r="BP102" s="618"/>
      <c r="BQ102" s="618"/>
      <c r="BR102" s="618"/>
      <c r="BS102" s="618"/>
      <c r="BT102" s="618"/>
      <c r="BU102" s="618"/>
      <c r="BV102" s="618"/>
      <c r="BW102" s="618"/>
      <c r="BX102" s="618"/>
      <c r="BY102" s="618"/>
      <c r="BZ102" s="618"/>
      <c r="CA102" s="618"/>
      <c r="CB102" s="618"/>
      <c r="CC102" s="618"/>
      <c r="CD102" s="618"/>
      <c r="CE102" s="618"/>
      <c r="CF102" s="618"/>
      <c r="CG102" s="618"/>
      <c r="CH102" s="618"/>
      <c r="CI102" s="618"/>
      <c r="CJ102" s="618"/>
      <c r="CK102" s="618"/>
      <c r="CL102" s="618"/>
      <c r="CM102" s="618"/>
      <c r="CN102" s="618"/>
      <c r="CO102" s="618"/>
      <c r="CP102" s="618"/>
      <c r="CQ102" s="618"/>
      <c r="CR102" s="618"/>
      <c r="CS102" s="618"/>
      <c r="CT102" s="618"/>
      <c r="CU102" s="618"/>
      <c r="CV102" s="618"/>
      <c r="CW102" s="618"/>
      <c r="CX102" s="618"/>
      <c r="CY102" s="618"/>
      <c r="CZ102" s="618"/>
      <c r="DA102" s="618"/>
      <c r="DB102" s="618"/>
      <c r="DC102" s="618"/>
      <c r="DD102" s="618"/>
      <c r="DE102" s="618"/>
      <c r="DF102" s="618"/>
      <c r="DG102" s="618"/>
      <c r="DH102" s="618"/>
      <c r="DI102" s="618"/>
    </row>
    <row r="103" spans="1:113" s="487" customFormat="1" ht="12.75" customHeight="1" x14ac:dyDescent="0.2">
      <c r="A103" s="180">
        <v>25071</v>
      </c>
      <c r="B103" s="180" t="s">
        <v>297</v>
      </c>
      <c r="C103" s="181" t="s">
        <v>327</v>
      </c>
      <c r="D103" s="181">
        <v>39782</v>
      </c>
      <c r="E103" s="180">
        <v>365</v>
      </c>
      <c r="F103" s="182">
        <v>60000</v>
      </c>
      <c r="G103" s="182">
        <f>SUM(E103*F103)</f>
        <v>21900000</v>
      </c>
      <c r="H103" s="508">
        <f>SUM(I103*30.4)</f>
        <v>4.9096000000000002</v>
      </c>
      <c r="I103" s="173">
        <f>K103-J103</f>
        <v>0.1615</v>
      </c>
      <c r="J103" s="170">
        <v>1.8499999999999999E-2</v>
      </c>
      <c r="K103" s="170">
        <v>0.18</v>
      </c>
      <c r="L103" s="1092">
        <f>(SUM(K103*G103))-N103</f>
        <v>3573313</v>
      </c>
      <c r="M103" s="1022">
        <v>0.91</v>
      </c>
      <c r="N103" s="1092">
        <f>ROUND(J103*G103*M103,0)</f>
        <v>368687</v>
      </c>
      <c r="O103" s="1092">
        <f>L103+N103</f>
        <v>3942000</v>
      </c>
      <c r="P103" s="619" t="s">
        <v>562</v>
      </c>
      <c r="Q103" s="175" t="s">
        <v>563</v>
      </c>
      <c r="R103" s="511" t="s">
        <v>507</v>
      </c>
      <c r="S103" s="511" t="s">
        <v>494</v>
      </c>
      <c r="T103" s="175"/>
      <c r="U103" s="172" t="s">
        <v>515</v>
      </c>
      <c r="V103" s="601"/>
      <c r="W103" s="601"/>
      <c r="X103" s="601"/>
      <c r="Y103" s="601"/>
      <c r="Z103" s="601"/>
      <c r="AA103" s="601"/>
      <c r="AB103" s="601"/>
      <c r="AC103" s="601"/>
      <c r="AD103" s="601"/>
      <c r="AE103" s="601"/>
      <c r="AF103" s="601"/>
      <c r="AG103" s="601"/>
      <c r="AH103" s="601"/>
      <c r="AI103" s="601"/>
      <c r="AJ103" s="601"/>
      <c r="AK103" s="601"/>
      <c r="AL103" s="601"/>
      <c r="AM103" s="601"/>
      <c r="AN103" s="601"/>
      <c r="AO103" s="601"/>
      <c r="AP103" s="601"/>
      <c r="AQ103" s="601"/>
      <c r="AR103" s="601"/>
      <c r="AS103" s="601"/>
      <c r="AT103" s="601"/>
      <c r="AU103" s="601"/>
      <c r="AV103" s="601"/>
      <c r="AW103" s="601"/>
      <c r="AX103" s="601"/>
      <c r="AY103" s="601"/>
      <c r="AZ103" s="601"/>
      <c r="BA103" s="601"/>
      <c r="BB103" s="601"/>
      <c r="BC103" s="601"/>
      <c r="BD103" s="601"/>
      <c r="BE103" s="601"/>
      <c r="BF103" s="601"/>
      <c r="BG103" s="601"/>
      <c r="BH103" s="601"/>
      <c r="BI103" s="601"/>
      <c r="BJ103" s="601"/>
      <c r="BK103" s="601"/>
      <c r="BL103" s="601"/>
      <c r="BM103" s="601"/>
      <c r="BN103" s="601"/>
      <c r="BO103" s="601"/>
      <c r="BP103" s="601"/>
      <c r="BQ103" s="601"/>
      <c r="BR103" s="601"/>
      <c r="BS103" s="601"/>
      <c r="BT103" s="601"/>
      <c r="BU103" s="601"/>
      <c r="BV103" s="601"/>
      <c r="BW103" s="601"/>
      <c r="BX103" s="601"/>
      <c r="BY103" s="601"/>
      <c r="BZ103" s="601"/>
      <c r="CA103" s="601"/>
      <c r="CB103" s="601"/>
      <c r="CC103" s="601"/>
      <c r="CD103" s="601"/>
      <c r="CE103" s="601"/>
      <c r="CF103" s="601"/>
      <c r="CG103" s="601"/>
      <c r="CH103" s="601"/>
      <c r="CI103" s="601"/>
      <c r="CJ103" s="601"/>
      <c r="CK103" s="601"/>
      <c r="CL103" s="601"/>
      <c r="CM103" s="601"/>
      <c r="CN103" s="601"/>
      <c r="CO103" s="601"/>
      <c r="CP103" s="601"/>
      <c r="CQ103" s="601"/>
      <c r="CR103" s="601"/>
      <c r="CS103" s="601"/>
      <c r="CT103" s="601"/>
      <c r="CU103" s="601"/>
      <c r="CV103" s="601"/>
      <c r="CW103" s="601"/>
      <c r="CX103" s="601"/>
      <c r="CY103" s="601"/>
      <c r="CZ103" s="601"/>
      <c r="DA103" s="601"/>
      <c r="DB103" s="601"/>
      <c r="DC103" s="601"/>
      <c r="DD103" s="601"/>
      <c r="DE103" s="601"/>
      <c r="DF103" s="601"/>
      <c r="DG103" s="601"/>
      <c r="DH103" s="601"/>
      <c r="DI103" s="601"/>
    </row>
    <row r="104" spans="1:113" s="570" customFormat="1" ht="12.75" customHeight="1" x14ac:dyDescent="0.2">
      <c r="A104" s="488"/>
      <c r="B104" s="488"/>
      <c r="C104" s="489"/>
      <c r="D104" s="528"/>
      <c r="E104" s="529"/>
      <c r="F104" s="603"/>
      <c r="G104" s="603"/>
      <c r="H104" s="779"/>
      <c r="I104" s="533"/>
      <c r="J104" s="533"/>
      <c r="K104" s="533"/>
      <c r="L104" s="604"/>
      <c r="M104" s="1023"/>
      <c r="N104" s="536"/>
      <c r="O104" s="536"/>
      <c r="P104" s="620"/>
      <c r="Q104" s="537"/>
      <c r="R104" s="538"/>
      <c r="S104" s="538"/>
      <c r="T104" s="537"/>
      <c r="U104" s="539"/>
      <c r="V104" s="618"/>
      <c r="W104" s="618"/>
      <c r="X104" s="618"/>
      <c r="Y104" s="618"/>
      <c r="Z104" s="618"/>
      <c r="AA104" s="618"/>
      <c r="AB104" s="618"/>
      <c r="AC104" s="618"/>
      <c r="AD104" s="618"/>
      <c r="AE104" s="618"/>
      <c r="AF104" s="618"/>
      <c r="AG104" s="618"/>
      <c r="AH104" s="618"/>
      <c r="AI104" s="618"/>
      <c r="AJ104" s="618"/>
      <c r="AK104" s="618"/>
      <c r="AL104" s="618"/>
      <c r="AM104" s="618"/>
      <c r="AN104" s="618"/>
      <c r="AO104" s="618"/>
      <c r="AP104" s="618"/>
      <c r="AQ104" s="618"/>
      <c r="AR104" s="618"/>
      <c r="AS104" s="618"/>
      <c r="AT104" s="618"/>
      <c r="AU104" s="618"/>
      <c r="AV104" s="618"/>
      <c r="AW104" s="618"/>
      <c r="AX104" s="618"/>
      <c r="AY104" s="618"/>
      <c r="AZ104" s="618"/>
      <c r="BA104" s="618"/>
      <c r="BB104" s="618"/>
      <c r="BC104" s="618"/>
      <c r="BD104" s="618"/>
      <c r="BE104" s="618"/>
      <c r="BF104" s="618"/>
      <c r="BG104" s="618"/>
      <c r="BH104" s="618"/>
      <c r="BI104" s="618"/>
      <c r="BJ104" s="618"/>
      <c r="BK104" s="618"/>
      <c r="BL104" s="618"/>
      <c r="BM104" s="618"/>
      <c r="BN104" s="618"/>
      <c r="BO104" s="618"/>
      <c r="BP104" s="618"/>
      <c r="BQ104" s="618"/>
      <c r="BR104" s="618"/>
      <c r="BS104" s="618"/>
      <c r="BT104" s="618"/>
      <c r="BU104" s="618"/>
      <c r="BV104" s="618"/>
      <c r="BW104" s="618"/>
      <c r="BX104" s="618"/>
      <c r="BY104" s="618"/>
      <c r="BZ104" s="618"/>
      <c r="CA104" s="618"/>
      <c r="CB104" s="618"/>
      <c r="CC104" s="618"/>
      <c r="CD104" s="618"/>
      <c r="CE104" s="618"/>
      <c r="CF104" s="618"/>
      <c r="CG104" s="618"/>
      <c r="CH104" s="618"/>
      <c r="CI104" s="618"/>
      <c r="CJ104" s="618"/>
      <c r="CK104" s="618"/>
      <c r="CL104" s="618"/>
      <c r="CM104" s="618"/>
      <c r="CN104" s="618"/>
      <c r="CO104" s="618"/>
      <c r="CP104" s="618"/>
      <c r="CQ104" s="618"/>
      <c r="CR104" s="618"/>
      <c r="CS104" s="618"/>
      <c r="CT104" s="618"/>
      <c r="CU104" s="618"/>
      <c r="CV104" s="618"/>
      <c r="CW104" s="618"/>
      <c r="CX104" s="618"/>
      <c r="CY104" s="618"/>
      <c r="CZ104" s="618"/>
      <c r="DA104" s="618"/>
      <c r="DB104" s="618"/>
      <c r="DC104" s="618"/>
      <c r="DD104" s="618"/>
      <c r="DE104" s="618"/>
      <c r="DF104" s="618"/>
      <c r="DG104" s="618"/>
      <c r="DH104" s="618"/>
      <c r="DI104" s="618"/>
    </row>
    <row r="105" spans="1:113" s="570" customFormat="1" ht="12.75" customHeight="1" x14ac:dyDescent="0.2">
      <c r="A105" s="488"/>
      <c r="B105" s="488"/>
      <c r="C105" s="489"/>
      <c r="D105" s="528"/>
      <c r="E105" s="529"/>
      <c r="F105" s="530"/>
      <c r="G105" s="531"/>
      <c r="H105" s="532"/>
      <c r="I105" s="533"/>
      <c r="J105" s="534"/>
      <c r="K105" s="534"/>
      <c r="L105" s="604"/>
      <c r="M105" s="1023"/>
      <c r="N105" s="536"/>
      <c r="O105" s="536"/>
      <c r="P105" s="620"/>
      <c r="Q105" s="537"/>
      <c r="R105" s="538"/>
      <c r="S105" s="538"/>
      <c r="T105" s="537"/>
      <c r="U105" s="539"/>
      <c r="V105" s="618"/>
      <c r="W105" s="618"/>
      <c r="X105" s="618"/>
      <c r="Y105" s="618"/>
      <c r="Z105" s="618"/>
      <c r="AA105" s="618"/>
      <c r="AB105" s="618"/>
      <c r="AC105" s="618"/>
      <c r="AD105" s="618"/>
      <c r="AE105" s="618"/>
      <c r="AF105" s="618"/>
      <c r="AG105" s="618"/>
      <c r="AH105" s="618"/>
      <c r="AI105" s="618"/>
      <c r="AJ105" s="618"/>
      <c r="AK105" s="618"/>
      <c r="AL105" s="618"/>
      <c r="AM105" s="618"/>
      <c r="AN105" s="618"/>
      <c r="AO105" s="618"/>
      <c r="AP105" s="618"/>
      <c r="AQ105" s="618"/>
      <c r="AR105" s="618"/>
      <c r="AS105" s="618"/>
      <c r="AT105" s="618"/>
      <c r="AU105" s="618"/>
      <c r="AV105" s="618"/>
      <c r="AW105" s="618"/>
      <c r="AX105" s="618"/>
      <c r="AY105" s="618"/>
      <c r="AZ105" s="618"/>
      <c r="BA105" s="618"/>
      <c r="BB105" s="618"/>
      <c r="BC105" s="618"/>
      <c r="BD105" s="618"/>
      <c r="BE105" s="618"/>
      <c r="BF105" s="618"/>
      <c r="BG105" s="618"/>
      <c r="BH105" s="618"/>
      <c r="BI105" s="618"/>
      <c r="BJ105" s="618"/>
      <c r="BK105" s="618"/>
      <c r="BL105" s="618"/>
      <c r="BM105" s="618"/>
      <c r="BN105" s="618"/>
      <c r="BO105" s="618"/>
      <c r="BP105" s="618"/>
      <c r="BQ105" s="618"/>
      <c r="BR105" s="618"/>
      <c r="BS105" s="618"/>
      <c r="BT105" s="618"/>
      <c r="BU105" s="618"/>
      <c r="BV105" s="618"/>
      <c r="BW105" s="618"/>
      <c r="BX105" s="618"/>
      <c r="BY105" s="618"/>
      <c r="BZ105" s="618"/>
      <c r="CA105" s="618"/>
      <c r="CB105" s="618"/>
      <c r="CC105" s="618"/>
      <c r="CD105" s="618"/>
      <c r="CE105" s="618"/>
      <c r="CF105" s="618"/>
      <c r="CG105" s="618"/>
      <c r="CH105" s="618"/>
      <c r="CI105" s="618"/>
      <c r="CJ105" s="618"/>
      <c r="CK105" s="618"/>
      <c r="CL105" s="618"/>
      <c r="CM105" s="618"/>
      <c r="CN105" s="618"/>
      <c r="CO105" s="618"/>
      <c r="CP105" s="618"/>
      <c r="CQ105" s="618"/>
      <c r="CR105" s="618"/>
      <c r="CS105" s="618"/>
      <c r="CT105" s="618"/>
      <c r="CU105" s="618"/>
      <c r="CV105" s="618"/>
      <c r="CW105" s="618"/>
      <c r="CX105" s="618"/>
      <c r="CY105" s="618"/>
      <c r="CZ105" s="618"/>
      <c r="DA105" s="618"/>
      <c r="DB105" s="618"/>
      <c r="DC105" s="618"/>
      <c r="DD105" s="618"/>
      <c r="DE105" s="618"/>
      <c r="DF105" s="618"/>
      <c r="DG105" s="618"/>
      <c r="DH105" s="618"/>
      <c r="DI105" s="618"/>
    </row>
    <row r="106" spans="1:113" s="570" customFormat="1" ht="12.75" customHeight="1" x14ac:dyDescent="0.2">
      <c r="A106" s="540" t="s">
        <v>512</v>
      </c>
      <c r="B106" s="540" t="s">
        <v>494</v>
      </c>
      <c r="C106" s="489"/>
      <c r="D106" s="528"/>
      <c r="E106" s="529"/>
      <c r="F106" s="531"/>
      <c r="G106" s="531"/>
      <c r="H106" s="541"/>
      <c r="I106" s="534"/>
      <c r="J106" s="534"/>
      <c r="K106" s="534"/>
      <c r="L106" s="604"/>
      <c r="M106" s="1023"/>
      <c r="N106" s="536"/>
      <c r="O106" s="536"/>
      <c r="P106" s="620"/>
      <c r="Q106" s="537"/>
      <c r="R106" s="538"/>
      <c r="S106" s="538"/>
      <c r="T106" s="537"/>
      <c r="U106" s="539"/>
      <c r="V106" s="618"/>
      <c r="W106" s="618"/>
      <c r="X106" s="618"/>
      <c r="Y106" s="618"/>
      <c r="Z106" s="618"/>
      <c r="AA106" s="618"/>
      <c r="AB106" s="618"/>
      <c r="AC106" s="618"/>
      <c r="AD106" s="618"/>
      <c r="AE106" s="618"/>
      <c r="AF106" s="618"/>
      <c r="AG106" s="618"/>
      <c r="AH106" s="618"/>
      <c r="AI106" s="618"/>
      <c r="AJ106" s="618"/>
      <c r="AK106" s="618"/>
      <c r="AL106" s="618"/>
      <c r="AM106" s="618"/>
      <c r="AN106" s="618"/>
      <c r="AO106" s="618"/>
      <c r="AP106" s="618"/>
      <c r="AQ106" s="618"/>
      <c r="AR106" s="618"/>
      <c r="AS106" s="618"/>
      <c r="AT106" s="618"/>
      <c r="AU106" s="618"/>
      <c r="AV106" s="618"/>
      <c r="AW106" s="618"/>
      <c r="AX106" s="618"/>
      <c r="AY106" s="618"/>
      <c r="AZ106" s="618"/>
      <c r="BA106" s="618"/>
      <c r="BB106" s="618"/>
      <c r="BC106" s="618"/>
      <c r="BD106" s="618"/>
      <c r="BE106" s="618"/>
      <c r="BF106" s="618"/>
      <c r="BG106" s="618"/>
      <c r="BH106" s="618"/>
      <c r="BI106" s="618"/>
      <c r="BJ106" s="618"/>
      <c r="BK106" s="618"/>
      <c r="BL106" s="618"/>
      <c r="BM106" s="618"/>
      <c r="BN106" s="618"/>
      <c r="BO106" s="618"/>
      <c r="BP106" s="618"/>
      <c r="BQ106" s="618"/>
      <c r="BR106" s="618"/>
      <c r="BS106" s="618"/>
      <c r="BT106" s="618"/>
      <c r="BU106" s="618"/>
      <c r="BV106" s="618"/>
      <c r="BW106" s="618"/>
      <c r="BX106" s="618"/>
      <c r="BY106" s="618"/>
      <c r="BZ106" s="618"/>
      <c r="CA106" s="618"/>
      <c r="CB106" s="618"/>
      <c r="CC106" s="618"/>
      <c r="CD106" s="618"/>
      <c r="CE106" s="618"/>
      <c r="CF106" s="618"/>
      <c r="CG106" s="618"/>
      <c r="CH106" s="618"/>
      <c r="CI106" s="618"/>
      <c r="CJ106" s="618"/>
      <c r="CK106" s="618"/>
      <c r="CL106" s="618"/>
      <c r="CM106" s="618"/>
      <c r="CN106" s="618"/>
      <c r="CO106" s="618"/>
      <c r="CP106" s="618"/>
      <c r="CQ106" s="618"/>
      <c r="CR106" s="618"/>
      <c r="CS106" s="618"/>
      <c r="CT106" s="618"/>
      <c r="CU106" s="618"/>
      <c r="CV106" s="618"/>
      <c r="CW106" s="618"/>
      <c r="CX106" s="618"/>
      <c r="CY106" s="618"/>
      <c r="CZ106" s="618"/>
      <c r="DA106" s="618"/>
      <c r="DB106" s="618"/>
      <c r="DC106" s="618"/>
      <c r="DD106" s="618"/>
      <c r="DE106" s="618"/>
      <c r="DF106" s="618"/>
      <c r="DG106" s="618"/>
      <c r="DH106" s="618"/>
      <c r="DI106" s="618"/>
    </row>
    <row r="107" spans="1:113" s="487" customFormat="1" ht="12.75" customHeight="1" x14ac:dyDescent="0.2">
      <c r="A107" s="180">
        <v>24670</v>
      </c>
      <c r="B107" s="180" t="s">
        <v>294</v>
      </c>
      <c r="C107" s="181" t="s">
        <v>327</v>
      </c>
      <c r="D107" s="181" t="s">
        <v>295</v>
      </c>
      <c r="E107" s="180">
        <f>31+28+31</f>
        <v>90</v>
      </c>
      <c r="F107" s="182">
        <v>10000</v>
      </c>
      <c r="G107" s="182">
        <f t="shared" ref="G107:G114" si="33">SUM(E107*F107)</f>
        <v>900000</v>
      </c>
      <c r="H107" s="508">
        <f t="shared" ref="H107:H114" si="34">SUM(I107*30.4)</f>
        <v>4.6056000000000008</v>
      </c>
      <c r="I107" s="173">
        <f t="shared" ref="I107:I121" si="35">K107-J107</f>
        <v>0.15150000000000002</v>
      </c>
      <c r="J107" s="170">
        <v>1.8499999999999999E-2</v>
      </c>
      <c r="K107" s="170">
        <v>0.17</v>
      </c>
      <c r="L107" s="484">
        <f t="shared" ref="L107:L121" si="36">(SUM(K107*G107))-N107</f>
        <v>137848</v>
      </c>
      <c r="M107" s="1022">
        <v>0.91</v>
      </c>
      <c r="N107" s="484">
        <f t="shared" ref="N107:N121" si="37">ROUND(J107*G107*M107,0)</f>
        <v>15152</v>
      </c>
      <c r="O107" s="484">
        <f t="shared" ref="O107:O122" si="38">L107+N107</f>
        <v>153000</v>
      </c>
      <c r="P107" s="183" t="s">
        <v>564</v>
      </c>
      <c r="Q107" s="583" t="s">
        <v>565</v>
      </c>
      <c r="R107" s="511" t="s">
        <v>512</v>
      </c>
      <c r="S107" s="511" t="s">
        <v>494</v>
      </c>
      <c r="T107" s="583"/>
      <c r="U107" s="172" t="s">
        <v>515</v>
      </c>
      <c r="V107" s="601"/>
      <c r="W107" s="601"/>
      <c r="X107" s="601"/>
      <c r="Y107" s="601"/>
      <c r="Z107" s="601"/>
      <c r="AA107" s="601"/>
      <c r="AB107" s="601"/>
      <c r="AC107" s="601"/>
      <c r="AD107" s="601"/>
      <c r="AE107" s="601"/>
      <c r="AF107" s="601"/>
      <c r="AG107" s="601"/>
      <c r="AH107" s="601"/>
      <c r="AI107" s="601"/>
      <c r="AJ107" s="601"/>
      <c r="AK107" s="601"/>
      <c r="AL107" s="601"/>
      <c r="AM107" s="601"/>
      <c r="AN107" s="601"/>
      <c r="AO107" s="601"/>
      <c r="AP107" s="601"/>
      <c r="AQ107" s="601"/>
      <c r="AR107" s="601"/>
      <c r="AS107" s="601"/>
      <c r="AT107" s="601"/>
      <c r="AU107" s="601"/>
      <c r="AV107" s="601"/>
      <c r="AW107" s="601"/>
      <c r="AX107" s="601"/>
      <c r="AY107" s="601"/>
      <c r="AZ107" s="601"/>
      <c r="BA107" s="601"/>
      <c r="BB107" s="601"/>
      <c r="BC107" s="601"/>
      <c r="BD107" s="601"/>
      <c r="BE107" s="601"/>
      <c r="BF107" s="601"/>
      <c r="BG107" s="601"/>
      <c r="BH107" s="601"/>
      <c r="BI107" s="601"/>
      <c r="BJ107" s="601"/>
      <c r="BK107" s="601"/>
      <c r="BL107" s="601"/>
      <c r="BM107" s="601"/>
      <c r="BN107" s="601"/>
      <c r="BO107" s="601"/>
      <c r="BP107" s="601"/>
      <c r="BQ107" s="601"/>
      <c r="BR107" s="601"/>
      <c r="BS107" s="601"/>
      <c r="BT107" s="601"/>
      <c r="BU107" s="601"/>
      <c r="BV107" s="601"/>
      <c r="BW107" s="601"/>
      <c r="BX107" s="601"/>
      <c r="BY107" s="601"/>
      <c r="BZ107" s="601"/>
      <c r="CA107" s="601"/>
      <c r="CB107" s="601"/>
      <c r="CC107" s="601"/>
      <c r="CD107" s="601"/>
      <c r="CE107" s="601"/>
      <c r="CF107" s="601"/>
      <c r="CG107" s="601"/>
      <c r="CH107" s="601"/>
      <c r="CI107" s="601"/>
      <c r="CJ107" s="601"/>
      <c r="CK107" s="601"/>
      <c r="CL107" s="601"/>
      <c r="CM107" s="601"/>
      <c r="CN107" s="601"/>
      <c r="CO107" s="601"/>
      <c r="CP107" s="601"/>
      <c r="CQ107" s="601"/>
      <c r="CR107" s="601"/>
      <c r="CS107" s="601"/>
      <c r="CT107" s="601"/>
      <c r="CU107" s="601"/>
      <c r="CV107" s="601"/>
      <c r="CW107" s="601"/>
      <c r="CX107" s="601"/>
      <c r="CY107" s="601"/>
      <c r="CZ107" s="601"/>
      <c r="DA107" s="601"/>
      <c r="DB107" s="601"/>
      <c r="DC107" s="601"/>
      <c r="DD107" s="601"/>
      <c r="DE107" s="601"/>
      <c r="DF107" s="601"/>
      <c r="DG107" s="601"/>
      <c r="DH107" s="601"/>
      <c r="DI107" s="601"/>
    </row>
    <row r="108" spans="1:113" s="487" customFormat="1" ht="12.75" customHeight="1" x14ac:dyDescent="0.2">
      <c r="A108" s="180">
        <v>24670</v>
      </c>
      <c r="B108" s="180" t="s">
        <v>294</v>
      </c>
      <c r="C108" s="181" t="s">
        <v>327</v>
      </c>
      <c r="D108" s="181" t="s">
        <v>295</v>
      </c>
      <c r="E108" s="180">
        <f>365-90</f>
        <v>275</v>
      </c>
      <c r="F108" s="182">
        <v>10000</v>
      </c>
      <c r="G108" s="182">
        <f t="shared" si="33"/>
        <v>2750000</v>
      </c>
      <c r="H108" s="508">
        <f t="shared" si="34"/>
        <v>4.7576000000000001</v>
      </c>
      <c r="I108" s="173">
        <f t="shared" si="35"/>
        <v>0.1565</v>
      </c>
      <c r="J108" s="170">
        <v>1.8499999999999999E-2</v>
      </c>
      <c r="K108" s="170">
        <v>0.17499999999999999</v>
      </c>
      <c r="L108" s="484">
        <f t="shared" si="36"/>
        <v>434953.99999999994</v>
      </c>
      <c r="M108" s="1022">
        <v>0.91</v>
      </c>
      <c r="N108" s="484">
        <f t="shared" si="37"/>
        <v>46296</v>
      </c>
      <c r="O108" s="484">
        <f t="shared" si="38"/>
        <v>481249.99999999994</v>
      </c>
      <c r="P108" s="183"/>
      <c r="Q108" s="583"/>
      <c r="R108" s="511"/>
      <c r="S108" s="511"/>
      <c r="T108" s="583"/>
      <c r="U108" s="172"/>
      <c r="V108" s="601"/>
      <c r="W108" s="601"/>
      <c r="X108" s="601"/>
      <c r="Y108" s="601"/>
      <c r="Z108" s="601"/>
      <c r="AA108" s="601"/>
      <c r="AB108" s="601"/>
      <c r="AC108" s="601"/>
      <c r="AD108" s="601"/>
      <c r="AE108" s="601"/>
      <c r="AF108" s="601"/>
      <c r="AG108" s="601"/>
      <c r="AH108" s="601"/>
      <c r="AI108" s="601"/>
      <c r="AJ108" s="601"/>
      <c r="AK108" s="601"/>
      <c r="AL108" s="601"/>
      <c r="AM108" s="601"/>
      <c r="AN108" s="601"/>
      <c r="AO108" s="601"/>
      <c r="AP108" s="601"/>
      <c r="AQ108" s="601"/>
      <c r="AR108" s="601"/>
      <c r="AS108" s="601"/>
      <c r="AT108" s="601"/>
      <c r="AU108" s="601"/>
      <c r="AV108" s="601"/>
      <c r="AW108" s="601"/>
      <c r="AX108" s="601"/>
      <c r="AY108" s="601"/>
      <c r="AZ108" s="601"/>
      <c r="BA108" s="601"/>
      <c r="BB108" s="601"/>
      <c r="BC108" s="601"/>
      <c r="BD108" s="601"/>
      <c r="BE108" s="601"/>
      <c r="BF108" s="601"/>
      <c r="BG108" s="601"/>
      <c r="BH108" s="601"/>
      <c r="BI108" s="601"/>
      <c r="BJ108" s="601"/>
      <c r="BK108" s="601"/>
      <c r="BL108" s="601"/>
      <c r="BM108" s="601"/>
      <c r="BN108" s="601"/>
      <c r="BO108" s="601"/>
      <c r="BP108" s="601"/>
      <c r="BQ108" s="601"/>
      <c r="BR108" s="601"/>
      <c r="BS108" s="601"/>
      <c r="BT108" s="601"/>
      <c r="BU108" s="601"/>
      <c r="BV108" s="601"/>
      <c r="BW108" s="601"/>
      <c r="BX108" s="601"/>
      <c r="BY108" s="601"/>
      <c r="BZ108" s="601"/>
      <c r="CA108" s="601"/>
      <c r="CB108" s="601"/>
      <c r="CC108" s="601"/>
      <c r="CD108" s="601"/>
      <c r="CE108" s="601"/>
      <c r="CF108" s="601"/>
      <c r="CG108" s="601"/>
      <c r="CH108" s="601"/>
      <c r="CI108" s="601"/>
      <c r="CJ108" s="601"/>
      <c r="CK108" s="601"/>
      <c r="CL108" s="601"/>
      <c r="CM108" s="601"/>
      <c r="CN108" s="601"/>
      <c r="CO108" s="601"/>
      <c r="CP108" s="601"/>
      <c r="CQ108" s="601"/>
      <c r="CR108" s="601"/>
      <c r="CS108" s="601"/>
      <c r="CT108" s="601"/>
      <c r="CU108" s="601"/>
      <c r="CV108" s="601"/>
      <c r="CW108" s="601"/>
      <c r="CX108" s="601"/>
      <c r="CY108" s="601"/>
      <c r="CZ108" s="601"/>
      <c r="DA108" s="601"/>
      <c r="DB108" s="601"/>
      <c r="DC108" s="601"/>
      <c r="DD108" s="601"/>
      <c r="DE108" s="601"/>
      <c r="DF108" s="601"/>
      <c r="DG108" s="601"/>
      <c r="DH108" s="601"/>
      <c r="DI108" s="601"/>
    </row>
    <row r="109" spans="1:113" s="487" customFormat="1" ht="12.75" customHeight="1" x14ac:dyDescent="0.2">
      <c r="A109" s="180">
        <v>25071</v>
      </c>
      <c r="B109" s="180" t="s">
        <v>297</v>
      </c>
      <c r="C109" s="181" t="s">
        <v>327</v>
      </c>
      <c r="D109" s="181">
        <v>39782</v>
      </c>
      <c r="E109" s="180">
        <v>365</v>
      </c>
      <c r="F109" s="182">
        <v>30000</v>
      </c>
      <c r="G109" s="182">
        <f t="shared" si="33"/>
        <v>10950000</v>
      </c>
      <c r="H109" s="508">
        <f t="shared" si="34"/>
        <v>4.9096000000000002</v>
      </c>
      <c r="I109" s="173">
        <f t="shared" si="35"/>
        <v>0.1615</v>
      </c>
      <c r="J109" s="170">
        <v>1.8499999999999999E-2</v>
      </c>
      <c r="K109" s="170">
        <v>0.18</v>
      </c>
      <c r="L109" s="484">
        <f t="shared" si="36"/>
        <v>1786657</v>
      </c>
      <c r="M109" s="1022">
        <v>0.91</v>
      </c>
      <c r="N109" s="484">
        <f t="shared" si="37"/>
        <v>184343</v>
      </c>
      <c r="O109" s="484">
        <f t="shared" si="38"/>
        <v>1971000</v>
      </c>
      <c r="P109" s="619" t="s">
        <v>562</v>
      </c>
      <c r="Q109" s="175" t="s">
        <v>563</v>
      </c>
      <c r="R109" s="511" t="s">
        <v>507</v>
      </c>
      <c r="S109" s="511" t="s">
        <v>494</v>
      </c>
      <c r="T109" s="175"/>
      <c r="U109" s="172" t="s">
        <v>515</v>
      </c>
      <c r="V109" s="601"/>
      <c r="W109" s="601"/>
      <c r="X109" s="601"/>
      <c r="Y109" s="601"/>
      <c r="Z109" s="601"/>
      <c r="AA109" s="601"/>
      <c r="AB109" s="601"/>
      <c r="AC109" s="601"/>
      <c r="AD109" s="601"/>
      <c r="AE109" s="601"/>
      <c r="AF109" s="601"/>
      <c r="AG109" s="601"/>
      <c r="AH109" s="601"/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601"/>
      <c r="AS109" s="601"/>
      <c r="AT109" s="601"/>
      <c r="AU109" s="601"/>
      <c r="AV109" s="601"/>
      <c r="AW109" s="601"/>
      <c r="AX109" s="601"/>
      <c r="AY109" s="601"/>
      <c r="AZ109" s="601"/>
      <c r="BA109" s="601"/>
      <c r="BB109" s="601"/>
      <c r="BC109" s="601"/>
      <c r="BD109" s="601"/>
      <c r="BE109" s="601"/>
      <c r="BF109" s="601"/>
      <c r="BG109" s="601"/>
      <c r="BH109" s="601"/>
      <c r="BI109" s="601"/>
      <c r="BJ109" s="601"/>
      <c r="BK109" s="601"/>
      <c r="BL109" s="601"/>
      <c r="BM109" s="601"/>
      <c r="BN109" s="601"/>
      <c r="BO109" s="601"/>
      <c r="BP109" s="601"/>
      <c r="BQ109" s="601"/>
      <c r="BR109" s="601"/>
      <c r="BS109" s="601"/>
      <c r="BT109" s="601"/>
      <c r="BU109" s="601"/>
      <c r="BV109" s="601"/>
      <c r="BW109" s="601"/>
      <c r="BX109" s="601"/>
      <c r="BY109" s="601"/>
      <c r="BZ109" s="601"/>
      <c r="CA109" s="601"/>
      <c r="CB109" s="601"/>
      <c r="CC109" s="601"/>
      <c r="CD109" s="601"/>
      <c r="CE109" s="601"/>
      <c r="CF109" s="601"/>
      <c r="CG109" s="601"/>
      <c r="CH109" s="601"/>
      <c r="CI109" s="601"/>
      <c r="CJ109" s="601"/>
      <c r="CK109" s="601"/>
      <c r="CL109" s="601"/>
      <c r="CM109" s="601"/>
      <c r="CN109" s="601"/>
      <c r="CO109" s="601"/>
      <c r="CP109" s="601"/>
      <c r="CQ109" s="601"/>
      <c r="CR109" s="601"/>
      <c r="CS109" s="601"/>
      <c r="CT109" s="601"/>
      <c r="CU109" s="601"/>
      <c r="CV109" s="601"/>
      <c r="CW109" s="601"/>
      <c r="CX109" s="601"/>
      <c r="CY109" s="601"/>
      <c r="CZ109" s="601"/>
      <c r="DA109" s="601"/>
      <c r="DB109" s="601"/>
      <c r="DC109" s="601"/>
      <c r="DD109" s="601"/>
      <c r="DE109" s="601"/>
      <c r="DF109" s="601"/>
      <c r="DG109" s="601"/>
      <c r="DH109" s="601"/>
      <c r="DI109" s="601"/>
    </row>
    <row r="110" spans="1:113" s="487" customFormat="1" ht="12.75" customHeight="1" x14ac:dyDescent="0.2">
      <c r="A110" s="180">
        <v>25700</v>
      </c>
      <c r="B110" s="180" t="s">
        <v>297</v>
      </c>
      <c r="C110" s="181">
        <v>36526</v>
      </c>
      <c r="D110" s="181">
        <v>37621</v>
      </c>
      <c r="E110" s="180">
        <v>365</v>
      </c>
      <c r="F110" s="182">
        <v>25000</v>
      </c>
      <c r="G110" s="182">
        <f t="shared" si="33"/>
        <v>9125000</v>
      </c>
      <c r="H110" s="508">
        <f t="shared" si="34"/>
        <v>5.2136000000000005</v>
      </c>
      <c r="I110" s="173">
        <f t="shared" si="35"/>
        <v>0.17150000000000001</v>
      </c>
      <c r="J110" s="170">
        <v>1.8499999999999999E-2</v>
      </c>
      <c r="K110" s="170">
        <v>0.19</v>
      </c>
      <c r="L110" s="484">
        <f t="shared" si="36"/>
        <v>1580131</v>
      </c>
      <c r="M110" s="1022">
        <v>0.91</v>
      </c>
      <c r="N110" s="484">
        <f t="shared" si="37"/>
        <v>153619</v>
      </c>
      <c r="O110" s="484">
        <f t="shared" si="38"/>
        <v>1733750</v>
      </c>
      <c r="P110" s="183" t="s">
        <v>478</v>
      </c>
      <c r="Q110" s="175" t="s">
        <v>566</v>
      </c>
      <c r="R110" s="511" t="s">
        <v>512</v>
      </c>
      <c r="S110" s="511" t="s">
        <v>494</v>
      </c>
      <c r="T110" s="175"/>
      <c r="U110" s="175"/>
    </row>
    <row r="111" spans="1:113" s="487" customFormat="1" ht="12.75" customHeight="1" x14ac:dyDescent="0.2">
      <c r="A111" s="180">
        <v>26125</v>
      </c>
      <c r="B111" s="180" t="s">
        <v>298</v>
      </c>
      <c r="C111" s="181">
        <v>35947</v>
      </c>
      <c r="D111" s="181">
        <v>37772</v>
      </c>
      <c r="E111" s="180">
        <v>365</v>
      </c>
      <c r="F111" s="182">
        <v>8600</v>
      </c>
      <c r="G111" s="182">
        <f t="shared" si="33"/>
        <v>3139000</v>
      </c>
      <c r="H111" s="508">
        <f t="shared" si="34"/>
        <v>3.3895999999999997</v>
      </c>
      <c r="I111" s="173">
        <f t="shared" si="35"/>
        <v>0.1115</v>
      </c>
      <c r="J111" s="170">
        <v>1.8499999999999999E-2</v>
      </c>
      <c r="K111" s="170">
        <v>0.13</v>
      </c>
      <c r="L111" s="484">
        <f t="shared" si="36"/>
        <v>355225</v>
      </c>
      <c r="M111" s="1022">
        <v>0.91</v>
      </c>
      <c r="N111" s="484">
        <f t="shared" si="37"/>
        <v>52845</v>
      </c>
      <c r="O111" s="484">
        <f t="shared" si="38"/>
        <v>408070</v>
      </c>
      <c r="P111" s="183" t="s">
        <v>478</v>
      </c>
      <c r="Q111" s="175" t="s">
        <v>567</v>
      </c>
      <c r="R111" s="511" t="s">
        <v>512</v>
      </c>
      <c r="S111" s="511" t="s">
        <v>494</v>
      </c>
      <c r="T111" s="175"/>
      <c r="U111" s="175"/>
    </row>
    <row r="112" spans="1:113" ht="12.75" customHeight="1" x14ac:dyDescent="0.2">
      <c r="A112" s="180">
        <v>26719</v>
      </c>
      <c r="B112" s="180" t="s">
        <v>568</v>
      </c>
      <c r="C112" s="181" t="s">
        <v>569</v>
      </c>
      <c r="D112" s="181">
        <v>38472</v>
      </c>
      <c r="E112" s="180">
        <v>365</v>
      </c>
      <c r="F112" s="603">
        <v>25000</v>
      </c>
      <c r="G112" s="603">
        <f t="shared" si="33"/>
        <v>9125000</v>
      </c>
      <c r="H112" s="621">
        <f t="shared" si="34"/>
        <v>5.6696</v>
      </c>
      <c r="I112" s="173">
        <f t="shared" si="35"/>
        <v>0.1865</v>
      </c>
      <c r="J112" s="170">
        <v>1.8499999999999999E-2</v>
      </c>
      <c r="K112" s="533">
        <v>0.20499999999999999</v>
      </c>
      <c r="L112" s="484">
        <f t="shared" si="36"/>
        <v>1717006</v>
      </c>
      <c r="M112" s="1022">
        <v>0.91</v>
      </c>
      <c r="N112" s="484">
        <f t="shared" si="37"/>
        <v>153619</v>
      </c>
      <c r="O112" s="484">
        <f t="shared" si="38"/>
        <v>1870625</v>
      </c>
      <c r="P112" s="604" t="s">
        <v>492</v>
      </c>
      <c r="Q112" s="605" t="s">
        <v>570</v>
      </c>
      <c r="R112" s="607" t="s">
        <v>571</v>
      </c>
      <c r="S112" s="607" t="s">
        <v>494</v>
      </c>
      <c r="T112" s="605"/>
      <c r="U112" s="605" t="s">
        <v>558</v>
      </c>
    </row>
    <row r="113" spans="1:21" s="11" customFormat="1" ht="12.75" customHeight="1" x14ac:dyDescent="0.2">
      <c r="A113" s="180">
        <v>26813</v>
      </c>
      <c r="B113" s="180" t="s">
        <v>572</v>
      </c>
      <c r="C113" s="181" t="s">
        <v>569</v>
      </c>
      <c r="D113" s="181">
        <v>39569</v>
      </c>
      <c r="E113" s="180">
        <v>365</v>
      </c>
      <c r="F113" s="603">
        <v>3500</v>
      </c>
      <c r="G113" s="603">
        <f t="shared" si="33"/>
        <v>1277500</v>
      </c>
      <c r="H113" s="621">
        <f t="shared" si="34"/>
        <v>5.2896000000000001</v>
      </c>
      <c r="I113" s="173">
        <f t="shared" si="35"/>
        <v>0.17400000000000002</v>
      </c>
      <c r="J113" s="170">
        <v>1.8499999999999999E-2</v>
      </c>
      <c r="K113" s="533">
        <v>0.1925</v>
      </c>
      <c r="L113" s="484">
        <f t="shared" si="36"/>
        <v>224411.75</v>
      </c>
      <c r="M113" s="1022">
        <v>0.91</v>
      </c>
      <c r="N113" s="484">
        <f t="shared" si="37"/>
        <v>21507</v>
      </c>
      <c r="O113" s="484">
        <f t="shared" si="38"/>
        <v>245918.75</v>
      </c>
      <c r="P113" s="604" t="s">
        <v>492</v>
      </c>
      <c r="Q113" s="605" t="s">
        <v>573</v>
      </c>
      <c r="R113" s="607" t="s">
        <v>571</v>
      </c>
      <c r="S113" s="607" t="s">
        <v>494</v>
      </c>
      <c r="T113" s="605"/>
      <c r="U113" s="605"/>
    </row>
    <row r="114" spans="1:21" s="11" customFormat="1" ht="12.75" customHeight="1" x14ac:dyDescent="0.2">
      <c r="A114" s="180">
        <v>26816</v>
      </c>
      <c r="B114" s="180" t="s">
        <v>27</v>
      </c>
      <c r="C114" s="181" t="s">
        <v>569</v>
      </c>
      <c r="D114" s="181">
        <v>38472</v>
      </c>
      <c r="E114" s="180">
        <v>365</v>
      </c>
      <c r="F114" s="603">
        <v>21500</v>
      </c>
      <c r="G114" s="603">
        <f t="shared" si="33"/>
        <v>7847500</v>
      </c>
      <c r="H114" s="621">
        <f t="shared" si="34"/>
        <v>4.6056000000000008</v>
      </c>
      <c r="I114" s="173">
        <f t="shared" si="35"/>
        <v>0.15150000000000002</v>
      </c>
      <c r="J114" s="170">
        <v>1.8499999999999999E-2</v>
      </c>
      <c r="K114" s="533">
        <v>0.17</v>
      </c>
      <c r="L114" s="484">
        <f t="shared" si="36"/>
        <v>1201962</v>
      </c>
      <c r="M114" s="1022">
        <v>0.91</v>
      </c>
      <c r="N114" s="484">
        <f t="shared" si="37"/>
        <v>132113</v>
      </c>
      <c r="O114" s="484">
        <f t="shared" si="38"/>
        <v>1334075</v>
      </c>
      <c r="P114" s="604" t="s">
        <v>548</v>
      </c>
      <c r="Q114" s="605" t="s">
        <v>574</v>
      </c>
      <c r="R114" s="607" t="s">
        <v>571</v>
      </c>
      <c r="S114" s="607" t="s">
        <v>494</v>
      </c>
      <c r="T114" s="605"/>
      <c r="U114" s="605"/>
    </row>
    <row r="115" spans="1:21" s="11" customFormat="1" ht="12.75" customHeight="1" x14ac:dyDescent="0.2">
      <c r="A115" s="180">
        <v>26884</v>
      </c>
      <c r="B115" s="180" t="s">
        <v>575</v>
      </c>
      <c r="C115" s="181" t="s">
        <v>569</v>
      </c>
      <c r="D115" s="181">
        <v>38656</v>
      </c>
      <c r="E115" s="180">
        <v>365</v>
      </c>
      <c r="F115" s="182">
        <v>40000</v>
      </c>
      <c r="G115" s="182">
        <f t="shared" ref="G115:G121" si="39">SUM(E115*F115)</f>
        <v>14600000</v>
      </c>
      <c r="H115" s="508">
        <f>SUM(I115*30.4)</f>
        <v>5.5936000000000003</v>
      </c>
      <c r="I115" s="173">
        <f t="shared" si="35"/>
        <v>0.18400000000000002</v>
      </c>
      <c r="J115" s="170">
        <v>1.8499999999999999E-2</v>
      </c>
      <c r="K115" s="170">
        <v>0.20250000000000001</v>
      </c>
      <c r="L115" s="484">
        <f t="shared" si="36"/>
        <v>2710709</v>
      </c>
      <c r="M115" s="1022">
        <v>0.91</v>
      </c>
      <c r="N115" s="484">
        <f t="shared" si="37"/>
        <v>245791</v>
      </c>
      <c r="O115" s="484">
        <f t="shared" si="38"/>
        <v>2956500</v>
      </c>
      <c r="P115" s="604" t="s">
        <v>492</v>
      </c>
      <c r="Q115" s="605" t="s">
        <v>573</v>
      </c>
      <c r="R115" s="607" t="s">
        <v>571</v>
      </c>
      <c r="S115" s="607" t="s">
        <v>494</v>
      </c>
      <c r="T115" s="605"/>
      <c r="U115" s="605"/>
    </row>
    <row r="116" spans="1:21" s="11" customFormat="1" ht="12.75" customHeight="1" x14ac:dyDescent="0.2">
      <c r="A116" s="180">
        <v>26960</v>
      </c>
      <c r="B116" s="180" t="s">
        <v>299</v>
      </c>
      <c r="C116" s="181"/>
      <c r="D116" s="181">
        <v>37346</v>
      </c>
      <c r="E116" s="180">
        <f>31+28+31</f>
        <v>90</v>
      </c>
      <c r="F116" s="182">
        <v>20000</v>
      </c>
      <c r="G116" s="182">
        <f t="shared" si="39"/>
        <v>1800000</v>
      </c>
      <c r="H116" s="508">
        <f>SUM(I116*30.4)</f>
        <v>5.2136000000000005</v>
      </c>
      <c r="I116" s="173">
        <f t="shared" si="35"/>
        <v>0.17150000000000001</v>
      </c>
      <c r="J116" s="170">
        <v>1.8499999999999999E-2</v>
      </c>
      <c r="K116" s="170">
        <v>0.19</v>
      </c>
      <c r="L116" s="484">
        <f t="shared" si="36"/>
        <v>311697</v>
      </c>
      <c r="M116" s="1022">
        <v>0.91</v>
      </c>
      <c r="N116" s="484">
        <f t="shared" si="37"/>
        <v>30303</v>
      </c>
      <c r="O116" s="484">
        <f t="shared" si="38"/>
        <v>342000</v>
      </c>
      <c r="P116" s="604" t="s">
        <v>492</v>
      </c>
      <c r="Q116" s="605" t="s">
        <v>573</v>
      </c>
      <c r="R116" s="607" t="s">
        <v>571</v>
      </c>
      <c r="S116" s="607" t="s">
        <v>494</v>
      </c>
      <c r="T116" s="605"/>
      <c r="U116" s="605"/>
    </row>
    <row r="117" spans="1:21" s="11" customFormat="1" ht="12.75" customHeight="1" x14ac:dyDescent="0.2">
      <c r="A117" s="180">
        <v>26960</v>
      </c>
      <c r="B117" s="180" t="s">
        <v>299</v>
      </c>
      <c r="C117" s="181">
        <v>37347</v>
      </c>
      <c r="D117" s="181">
        <v>38077</v>
      </c>
      <c r="E117" s="180">
        <f>365-90</f>
        <v>275</v>
      </c>
      <c r="F117" s="182">
        <v>20000</v>
      </c>
      <c r="G117" s="182">
        <f>SUM(E117*F117)</f>
        <v>5500000</v>
      </c>
      <c r="H117" s="508">
        <f>SUM(I117*30.4)</f>
        <v>10.621759999999998</v>
      </c>
      <c r="I117" s="173">
        <f>K117-J117</f>
        <v>0.34939999999999999</v>
      </c>
      <c r="J117" s="170">
        <v>1.8499999999999999E-2</v>
      </c>
      <c r="K117" s="170">
        <v>0.3679</v>
      </c>
      <c r="L117" s="484">
        <f>(SUM(K117*G117))-N117</f>
        <v>1930857</v>
      </c>
      <c r="M117" s="1022">
        <v>0.91</v>
      </c>
      <c r="N117" s="484">
        <f>ROUND(J117*G117*M117,0)</f>
        <v>92593</v>
      </c>
      <c r="O117" s="484">
        <f>L117+N117</f>
        <v>2023450</v>
      </c>
      <c r="P117" s="604"/>
      <c r="Q117" s="605"/>
      <c r="R117" s="607"/>
      <c r="S117" s="607"/>
      <c r="T117" s="605"/>
      <c r="U117" s="605"/>
    </row>
    <row r="118" spans="1:21" s="11" customFormat="1" ht="12.75" customHeight="1" x14ac:dyDescent="0.2">
      <c r="A118" s="180">
        <v>27454</v>
      </c>
      <c r="B118" s="180" t="s">
        <v>289</v>
      </c>
      <c r="C118" s="181">
        <v>37257</v>
      </c>
      <c r="D118" s="181">
        <v>37621</v>
      </c>
      <c r="E118" s="180">
        <v>365</v>
      </c>
      <c r="F118" s="733">
        <v>27500</v>
      </c>
      <c r="G118" s="182">
        <f t="shared" si="39"/>
        <v>10037500</v>
      </c>
      <c r="H118" s="755" t="s">
        <v>618</v>
      </c>
      <c r="I118" s="173">
        <f t="shared" si="35"/>
        <v>1.2515000000000001</v>
      </c>
      <c r="J118" s="170">
        <v>1.8499999999999999E-2</v>
      </c>
      <c r="K118" s="170">
        <v>1.27</v>
      </c>
      <c r="L118" s="484">
        <f t="shared" si="36"/>
        <v>12578644</v>
      </c>
      <c r="M118" s="1022">
        <v>0.91</v>
      </c>
      <c r="N118" s="484">
        <f t="shared" si="37"/>
        <v>168981</v>
      </c>
      <c r="O118" s="484">
        <f t="shared" si="38"/>
        <v>12747625</v>
      </c>
      <c r="P118" s="728" t="s">
        <v>604</v>
      </c>
      <c r="Q118" s="605" t="s">
        <v>573</v>
      </c>
      <c r="R118" s="607" t="s">
        <v>571</v>
      </c>
      <c r="S118" s="607" t="s">
        <v>494</v>
      </c>
      <c r="T118" s="605"/>
      <c r="U118" s="605"/>
    </row>
    <row r="119" spans="1:21" s="11" customFormat="1" ht="12.75" customHeight="1" x14ac:dyDescent="0.2">
      <c r="A119" s="180">
        <v>27456</v>
      </c>
      <c r="B119" s="180" t="s">
        <v>300</v>
      </c>
      <c r="C119" s="181">
        <v>37561</v>
      </c>
      <c r="D119" s="181">
        <v>37621</v>
      </c>
      <c r="E119" s="180">
        <v>61</v>
      </c>
      <c r="F119" s="733">
        <v>21500</v>
      </c>
      <c r="G119" s="182">
        <f t="shared" si="39"/>
        <v>1311500</v>
      </c>
      <c r="H119" s="755" t="s">
        <v>618</v>
      </c>
      <c r="I119" s="173">
        <f t="shared" si="35"/>
        <v>1.0115000000000001</v>
      </c>
      <c r="J119" s="170">
        <v>1.8499999999999999E-2</v>
      </c>
      <c r="K119" s="170">
        <v>1.03</v>
      </c>
      <c r="L119" s="484">
        <f t="shared" si="36"/>
        <v>1328766</v>
      </c>
      <c r="M119" s="1022">
        <v>0.91</v>
      </c>
      <c r="N119" s="484">
        <f t="shared" si="37"/>
        <v>22079</v>
      </c>
      <c r="O119" s="484">
        <f t="shared" si="38"/>
        <v>1350845</v>
      </c>
      <c r="P119" s="728" t="s">
        <v>604</v>
      </c>
      <c r="Q119" s="605" t="s">
        <v>573</v>
      </c>
      <c r="R119" s="607" t="s">
        <v>571</v>
      </c>
      <c r="S119" s="607" t="s">
        <v>494</v>
      </c>
      <c r="T119" s="605"/>
      <c r="U119" s="605"/>
    </row>
    <row r="120" spans="1:21" s="11" customFormat="1" ht="12.75" customHeight="1" x14ac:dyDescent="0.2">
      <c r="A120" s="180">
        <v>27566</v>
      </c>
      <c r="B120" s="180" t="s">
        <v>293</v>
      </c>
      <c r="C120" s="181">
        <v>37316</v>
      </c>
      <c r="D120" s="181">
        <v>39172</v>
      </c>
      <c r="E120" s="180">
        <f>365-61</f>
        <v>304</v>
      </c>
      <c r="F120" s="733">
        <v>20000</v>
      </c>
      <c r="G120" s="182">
        <f t="shared" si="39"/>
        <v>6080000</v>
      </c>
      <c r="H120" s="508">
        <f>SUM(I120*30.4)</f>
        <v>11.18416</v>
      </c>
      <c r="I120" s="173">
        <f t="shared" si="35"/>
        <v>0.3679</v>
      </c>
      <c r="J120" s="170">
        <v>0</v>
      </c>
      <c r="K120" s="170">
        <v>0.3679</v>
      </c>
      <c r="L120" s="484">
        <f t="shared" si="36"/>
        <v>2236832</v>
      </c>
      <c r="M120" s="1022">
        <v>0.91</v>
      </c>
      <c r="N120" s="484">
        <f t="shared" si="37"/>
        <v>0</v>
      </c>
      <c r="O120" s="484">
        <f t="shared" si="38"/>
        <v>2236832</v>
      </c>
      <c r="P120" s="728"/>
      <c r="Q120" s="605"/>
      <c r="R120" s="607"/>
      <c r="S120" s="607"/>
      <c r="T120" s="605"/>
      <c r="U120" s="605"/>
    </row>
    <row r="121" spans="1:21" ht="12.75" customHeight="1" x14ac:dyDescent="0.2">
      <c r="A121" s="180">
        <v>27566</v>
      </c>
      <c r="B121" s="180" t="s">
        <v>293</v>
      </c>
      <c r="C121" s="181" t="s">
        <v>781</v>
      </c>
      <c r="D121" s="181">
        <v>39172</v>
      </c>
      <c r="E121" s="180">
        <f>365-61</f>
        <v>304</v>
      </c>
      <c r="F121" s="736">
        <v>20000</v>
      </c>
      <c r="G121" s="182">
        <f t="shared" si="39"/>
        <v>6080000</v>
      </c>
      <c r="H121" s="508">
        <f>SUM(I121*30.4)</f>
        <v>0.17327999999999999</v>
      </c>
      <c r="I121" s="173">
        <f t="shared" si="35"/>
        <v>5.7000000000000002E-3</v>
      </c>
      <c r="J121" s="170">
        <v>0</v>
      </c>
      <c r="K121" s="170">
        <v>5.7000000000000002E-3</v>
      </c>
      <c r="L121" s="527">
        <f t="shared" si="36"/>
        <v>34656</v>
      </c>
      <c r="M121" s="1022">
        <v>0.91</v>
      </c>
      <c r="N121" s="527">
        <f t="shared" si="37"/>
        <v>0</v>
      </c>
      <c r="O121" s="527">
        <f t="shared" si="38"/>
        <v>34656</v>
      </c>
      <c r="P121" s="728"/>
      <c r="Q121" s="605"/>
      <c r="R121" s="607"/>
      <c r="S121" s="607"/>
      <c r="T121" s="605"/>
      <c r="U121" s="605"/>
    </row>
    <row r="122" spans="1:21" ht="12.75" customHeight="1" x14ac:dyDescent="0.2">
      <c r="A122" s="591"/>
      <c r="B122" s="591"/>
      <c r="C122" s="593"/>
      <c r="D122" s="602"/>
      <c r="F122" s="603"/>
      <c r="G122" s="603"/>
      <c r="H122" s="779"/>
      <c r="I122" s="533"/>
      <c r="J122" s="533"/>
      <c r="K122" s="533"/>
      <c r="L122" s="1096">
        <f>SUM(L107:L121)</f>
        <v>28570355.75</v>
      </c>
      <c r="M122" s="1097"/>
      <c r="N122" s="1093">
        <f>SUM(N107:N121)</f>
        <v>1319241</v>
      </c>
      <c r="O122" s="1093">
        <f t="shared" si="38"/>
        <v>29889596.75</v>
      </c>
      <c r="P122" s="536"/>
      <c r="Q122" s="605"/>
      <c r="R122" s="607"/>
      <c r="S122" s="607"/>
      <c r="T122" s="605"/>
      <c r="U122" s="617"/>
    </row>
    <row r="123" spans="1:21" ht="12.75" customHeight="1" x14ac:dyDescent="0.2">
      <c r="A123" s="591"/>
      <c r="B123" s="591"/>
      <c r="C123" s="593"/>
      <c r="D123" s="602"/>
      <c r="F123" s="530"/>
      <c r="G123" s="567"/>
      <c r="H123" s="532"/>
      <c r="I123" s="533"/>
      <c r="J123" s="533"/>
      <c r="K123" s="534"/>
      <c r="L123" s="603"/>
      <c r="M123" s="901"/>
      <c r="N123" s="616"/>
      <c r="O123" s="616"/>
      <c r="P123" s="536"/>
      <c r="Q123" s="605"/>
      <c r="R123" s="607"/>
      <c r="S123" s="607"/>
      <c r="T123" s="605"/>
      <c r="U123" s="617"/>
    </row>
    <row r="124" spans="1:21" x14ac:dyDescent="0.2">
      <c r="A124" s="540" t="s">
        <v>534</v>
      </c>
      <c r="B124" s="540" t="s">
        <v>494</v>
      </c>
      <c r="C124" s="593"/>
      <c r="D124" s="602"/>
      <c r="F124" s="603"/>
      <c r="G124" s="567"/>
      <c r="H124" s="541"/>
      <c r="I124" s="533"/>
      <c r="J124" s="533"/>
      <c r="K124" s="534"/>
      <c r="L124" s="604"/>
      <c r="M124" s="1023"/>
      <c r="N124" s="616"/>
      <c r="O124" s="616"/>
      <c r="P124" s="536"/>
      <c r="Q124" s="605"/>
      <c r="R124" s="607"/>
      <c r="S124" s="607"/>
      <c r="T124" s="605"/>
      <c r="U124" s="617"/>
    </row>
    <row r="125" spans="1:21" ht="12.75" customHeight="1" x14ac:dyDescent="0.2">
      <c r="A125" s="180" t="s">
        <v>780</v>
      </c>
      <c r="B125" s="180" t="s">
        <v>576</v>
      </c>
      <c r="C125" s="579" t="s">
        <v>5</v>
      </c>
      <c r="D125" s="181">
        <v>38835</v>
      </c>
      <c r="E125" s="180">
        <v>365</v>
      </c>
      <c r="F125" s="733">
        <v>20000</v>
      </c>
      <c r="G125" s="182">
        <f t="shared" ref="G125:G136" si="40">SUM(E125*F125)</f>
        <v>7300000</v>
      </c>
      <c r="H125" s="508">
        <f t="shared" ref="H125:H136" si="41">SUM(I125*30.4)</f>
        <v>8.2657600000000002</v>
      </c>
      <c r="I125" s="173">
        <f t="shared" ref="I125:I137" si="42">K125-J125</f>
        <v>0.27190000000000003</v>
      </c>
      <c r="J125" s="565">
        <v>0</v>
      </c>
      <c r="K125" s="170">
        <f>0.2666+0.0053</f>
        <v>0.27190000000000003</v>
      </c>
      <c r="L125" s="484">
        <f t="shared" ref="L125:L137" si="43">(SUM(K125*G125))-N125</f>
        <v>1984870.0000000002</v>
      </c>
      <c r="M125" s="1022">
        <v>1.49</v>
      </c>
      <c r="N125" s="484">
        <f t="shared" ref="N125:N137" si="44">ROUND(J125*G125*M125,0)</f>
        <v>0</v>
      </c>
      <c r="O125" s="484">
        <f t="shared" ref="O125:O138" si="45">L125+N125</f>
        <v>1984870.0000000002</v>
      </c>
      <c r="P125" s="732" t="s">
        <v>292</v>
      </c>
      <c r="Q125" s="583" t="s">
        <v>577</v>
      </c>
      <c r="R125" s="511" t="s">
        <v>534</v>
      </c>
      <c r="S125" s="511" t="s">
        <v>494</v>
      </c>
      <c r="T125" s="168"/>
      <c r="U125" s="168"/>
    </row>
    <row r="126" spans="1:21" ht="12.75" customHeight="1" x14ac:dyDescent="0.2">
      <c r="A126" s="180" t="s">
        <v>780</v>
      </c>
      <c r="B126" s="180" t="s">
        <v>576</v>
      </c>
      <c r="C126" s="579" t="s">
        <v>5</v>
      </c>
      <c r="D126" s="181">
        <v>38835</v>
      </c>
      <c r="E126" s="180">
        <v>61</v>
      </c>
      <c r="F126" s="733">
        <v>20000</v>
      </c>
      <c r="G126" s="182">
        <f t="shared" si="40"/>
        <v>1220000</v>
      </c>
      <c r="H126" s="508">
        <f t="shared" si="41"/>
        <v>0.16416</v>
      </c>
      <c r="I126" s="173">
        <f t="shared" si="42"/>
        <v>5.4000000000000003E-3</v>
      </c>
      <c r="J126" s="565">
        <v>0</v>
      </c>
      <c r="K126" s="170">
        <v>5.4000000000000003E-3</v>
      </c>
      <c r="L126" s="484">
        <f t="shared" si="43"/>
        <v>6588</v>
      </c>
      <c r="M126" s="1022">
        <v>1.49</v>
      </c>
      <c r="N126" s="484">
        <f t="shared" si="44"/>
        <v>0</v>
      </c>
      <c r="O126" s="484">
        <f t="shared" si="45"/>
        <v>6588</v>
      </c>
      <c r="P126" s="732"/>
      <c r="Q126" s="583"/>
      <c r="R126" s="511"/>
      <c r="S126" s="511"/>
      <c r="T126" s="168"/>
      <c r="U126" s="168"/>
    </row>
    <row r="127" spans="1:21" ht="12.75" customHeight="1" x14ac:dyDescent="0.2">
      <c r="A127" s="180">
        <v>20747</v>
      </c>
      <c r="B127" s="180" t="s">
        <v>578</v>
      </c>
      <c r="C127" s="579" t="s">
        <v>579</v>
      </c>
      <c r="D127" s="181">
        <v>37315</v>
      </c>
      <c r="E127" s="180">
        <f>31+28</f>
        <v>59</v>
      </c>
      <c r="F127" s="733">
        <v>10000</v>
      </c>
      <c r="G127" s="182">
        <f t="shared" si="40"/>
        <v>590000</v>
      </c>
      <c r="H127" s="508">
        <f t="shared" si="41"/>
        <v>8.3174399999999995</v>
      </c>
      <c r="I127" s="173">
        <f t="shared" si="42"/>
        <v>0.27360000000000001</v>
      </c>
      <c r="J127" s="565">
        <v>0</v>
      </c>
      <c r="K127" s="170">
        <f>0.2683+0.0053</f>
        <v>0.27360000000000001</v>
      </c>
      <c r="L127" s="484">
        <f t="shared" si="43"/>
        <v>161424</v>
      </c>
      <c r="M127" s="1022">
        <v>1.49</v>
      </c>
      <c r="N127" s="484">
        <f t="shared" si="44"/>
        <v>0</v>
      </c>
      <c r="O127" s="484">
        <f t="shared" si="45"/>
        <v>161424</v>
      </c>
      <c r="P127" s="732" t="s">
        <v>292</v>
      </c>
      <c r="Q127" s="583" t="s">
        <v>580</v>
      </c>
      <c r="R127" s="511" t="s">
        <v>534</v>
      </c>
      <c r="S127" s="511" t="s">
        <v>494</v>
      </c>
      <c r="T127" s="583"/>
      <c r="U127" s="168"/>
    </row>
    <row r="128" spans="1:21" ht="12.75" customHeight="1" x14ac:dyDescent="0.2">
      <c r="A128" s="180">
        <v>20748</v>
      </c>
      <c r="B128" s="180" t="s">
        <v>578</v>
      </c>
      <c r="C128" s="579" t="s">
        <v>579</v>
      </c>
      <c r="D128" s="181">
        <v>37315</v>
      </c>
      <c r="E128" s="180">
        <v>59</v>
      </c>
      <c r="F128" s="733">
        <v>10000</v>
      </c>
      <c r="G128" s="182">
        <f t="shared" si="40"/>
        <v>590000</v>
      </c>
      <c r="H128" s="508">
        <f t="shared" si="41"/>
        <v>8.3113600000000005</v>
      </c>
      <c r="I128" s="173">
        <f t="shared" si="42"/>
        <v>0.27340000000000003</v>
      </c>
      <c r="J128" s="565">
        <v>0</v>
      </c>
      <c r="K128" s="170">
        <f>0.2681+0.0053</f>
        <v>0.27340000000000003</v>
      </c>
      <c r="L128" s="484">
        <f t="shared" si="43"/>
        <v>161306.00000000003</v>
      </c>
      <c r="M128" s="1022">
        <v>1.49</v>
      </c>
      <c r="N128" s="484">
        <f t="shared" si="44"/>
        <v>0</v>
      </c>
      <c r="O128" s="484">
        <f t="shared" si="45"/>
        <v>161306.00000000003</v>
      </c>
      <c r="P128" s="732" t="s">
        <v>292</v>
      </c>
      <c r="Q128" s="583" t="s">
        <v>580</v>
      </c>
      <c r="R128" s="511" t="s">
        <v>534</v>
      </c>
      <c r="S128" s="511" t="s">
        <v>494</v>
      </c>
      <c r="T128" s="583"/>
      <c r="U128" s="168"/>
    </row>
    <row r="129" spans="1:27" s="487" customFormat="1" ht="12.75" customHeight="1" x14ac:dyDescent="0.2">
      <c r="A129" s="180">
        <v>21165</v>
      </c>
      <c r="B129" s="180" t="s">
        <v>581</v>
      </c>
      <c r="C129" s="579" t="s">
        <v>579</v>
      </c>
      <c r="D129" s="181">
        <v>39172</v>
      </c>
      <c r="E129" s="180">
        <v>365</v>
      </c>
      <c r="F129" s="733">
        <v>150000</v>
      </c>
      <c r="G129" s="182">
        <f t="shared" si="40"/>
        <v>54750000</v>
      </c>
      <c r="H129" s="508">
        <f t="shared" si="41"/>
        <v>8.3235200000000003</v>
      </c>
      <c r="I129" s="173">
        <f t="shared" si="42"/>
        <v>0.27380000000000004</v>
      </c>
      <c r="J129" s="565">
        <v>0</v>
      </c>
      <c r="K129" s="170">
        <f>0.2685+0.0053</f>
        <v>0.27380000000000004</v>
      </c>
      <c r="L129" s="484">
        <f t="shared" si="43"/>
        <v>14990550.000000002</v>
      </c>
      <c r="M129" s="1022">
        <v>1.49</v>
      </c>
      <c r="N129" s="484">
        <f t="shared" si="44"/>
        <v>0</v>
      </c>
      <c r="O129" s="484">
        <f t="shared" si="45"/>
        <v>14990550.000000002</v>
      </c>
      <c r="P129" s="732" t="s">
        <v>292</v>
      </c>
      <c r="Q129" s="583" t="s">
        <v>577</v>
      </c>
      <c r="R129" s="511" t="s">
        <v>534</v>
      </c>
      <c r="S129" s="511" t="s">
        <v>494</v>
      </c>
      <c r="T129" s="583"/>
      <c r="U129" s="168"/>
    </row>
    <row r="130" spans="1:27" s="487" customFormat="1" ht="12.75" customHeight="1" x14ac:dyDescent="0.2">
      <c r="A130" s="180">
        <v>21165</v>
      </c>
      <c r="B130" s="180" t="s">
        <v>581</v>
      </c>
      <c r="C130" s="579" t="s">
        <v>579</v>
      </c>
      <c r="D130" s="181">
        <v>39172</v>
      </c>
      <c r="E130" s="180">
        <v>61</v>
      </c>
      <c r="F130" s="733">
        <v>150000</v>
      </c>
      <c r="G130" s="182">
        <f t="shared" si="40"/>
        <v>9150000</v>
      </c>
      <c r="H130" s="508">
        <f t="shared" si="41"/>
        <v>0.16416</v>
      </c>
      <c r="I130" s="173">
        <f t="shared" si="42"/>
        <v>5.4000000000000003E-3</v>
      </c>
      <c r="J130" s="565">
        <v>0</v>
      </c>
      <c r="K130" s="170">
        <v>5.4000000000000003E-3</v>
      </c>
      <c r="L130" s="484">
        <f t="shared" si="43"/>
        <v>49410</v>
      </c>
      <c r="M130" s="1022">
        <v>1.49</v>
      </c>
      <c r="N130" s="484">
        <f t="shared" si="44"/>
        <v>0</v>
      </c>
      <c r="O130" s="484">
        <f t="shared" si="45"/>
        <v>49410</v>
      </c>
      <c r="P130" s="732"/>
      <c r="Q130" s="583"/>
      <c r="R130" s="511"/>
      <c r="S130" s="511"/>
      <c r="T130" s="583"/>
      <c r="U130" s="168"/>
    </row>
    <row r="131" spans="1:27" s="601" customFormat="1" ht="12.75" customHeight="1" x14ac:dyDescent="0.2">
      <c r="A131" s="180">
        <v>26372</v>
      </c>
      <c r="B131" s="588" t="s">
        <v>542</v>
      </c>
      <c r="C131" s="579" t="s">
        <v>579</v>
      </c>
      <c r="D131" s="181">
        <v>39172</v>
      </c>
      <c r="E131" s="180">
        <v>365</v>
      </c>
      <c r="F131" s="733">
        <v>25000</v>
      </c>
      <c r="G131" s="182">
        <f t="shared" si="40"/>
        <v>9125000</v>
      </c>
      <c r="H131" s="508">
        <f t="shared" si="41"/>
        <v>8.3204800000000017</v>
      </c>
      <c r="I131" s="173">
        <f t="shared" si="42"/>
        <v>0.27370000000000005</v>
      </c>
      <c r="J131" s="565">
        <v>0</v>
      </c>
      <c r="K131" s="170">
        <f>0.2684+0.0053</f>
        <v>0.27370000000000005</v>
      </c>
      <c r="L131" s="484">
        <f t="shared" si="43"/>
        <v>2497512.5000000005</v>
      </c>
      <c r="M131" s="1022">
        <v>1.49</v>
      </c>
      <c r="N131" s="484">
        <f t="shared" si="44"/>
        <v>0</v>
      </c>
      <c r="O131" s="484">
        <f t="shared" si="45"/>
        <v>2497512.5000000005</v>
      </c>
      <c r="P131" s="732" t="s">
        <v>292</v>
      </c>
      <c r="Q131" s="583" t="s">
        <v>577</v>
      </c>
      <c r="R131" s="511" t="s">
        <v>534</v>
      </c>
      <c r="S131" s="511" t="s">
        <v>494</v>
      </c>
      <c r="T131" s="583"/>
      <c r="U131" s="168"/>
    </row>
    <row r="132" spans="1:27" s="601" customFormat="1" ht="12.75" customHeight="1" x14ac:dyDescent="0.2">
      <c r="A132" s="180">
        <v>26372</v>
      </c>
      <c r="B132" s="588" t="s">
        <v>542</v>
      </c>
      <c r="C132" s="579" t="s">
        <v>579</v>
      </c>
      <c r="D132" s="181">
        <v>39172</v>
      </c>
      <c r="E132" s="180">
        <v>61</v>
      </c>
      <c r="F132" s="733">
        <v>25000</v>
      </c>
      <c r="G132" s="182">
        <f t="shared" si="40"/>
        <v>1525000</v>
      </c>
      <c r="H132" s="508">
        <f t="shared" si="41"/>
        <v>0.16416</v>
      </c>
      <c r="I132" s="173">
        <f t="shared" si="42"/>
        <v>5.4000000000000003E-3</v>
      </c>
      <c r="J132" s="565">
        <v>0</v>
      </c>
      <c r="K132" s="170">
        <v>5.4000000000000003E-3</v>
      </c>
      <c r="L132" s="484">
        <f t="shared" si="43"/>
        <v>8235</v>
      </c>
      <c r="M132" s="1022">
        <v>1.49</v>
      </c>
      <c r="N132" s="484">
        <f t="shared" si="44"/>
        <v>0</v>
      </c>
      <c r="O132" s="484">
        <f t="shared" si="45"/>
        <v>8235</v>
      </c>
      <c r="P132" s="732"/>
      <c r="Q132" s="583"/>
      <c r="R132" s="511"/>
      <c r="S132" s="511"/>
      <c r="T132" s="583"/>
      <c r="U132" s="168"/>
    </row>
    <row r="133" spans="1:27" s="601" customFormat="1" ht="12.75" customHeight="1" x14ac:dyDescent="0.2">
      <c r="A133" s="180">
        <v>20822</v>
      </c>
      <c r="B133" s="180" t="s">
        <v>582</v>
      </c>
      <c r="C133" s="579" t="s">
        <v>579</v>
      </c>
      <c r="D133" s="181">
        <v>39141</v>
      </c>
      <c r="E133" s="180">
        <v>365</v>
      </c>
      <c r="F133" s="733">
        <v>25000</v>
      </c>
      <c r="G133" s="182">
        <f t="shared" si="40"/>
        <v>9125000</v>
      </c>
      <c r="H133" s="508">
        <f t="shared" si="41"/>
        <v>5.4111999999999991</v>
      </c>
      <c r="I133" s="173">
        <f t="shared" si="42"/>
        <v>0.17799999999999999</v>
      </c>
      <c r="J133" s="565">
        <v>0</v>
      </c>
      <c r="K133" s="170">
        <f>0.1727+0.0053</f>
        <v>0.17799999999999999</v>
      </c>
      <c r="L133" s="484">
        <f t="shared" si="43"/>
        <v>1624250</v>
      </c>
      <c r="M133" s="1022">
        <v>1.49</v>
      </c>
      <c r="N133" s="484">
        <f t="shared" si="44"/>
        <v>0</v>
      </c>
      <c r="O133" s="484">
        <f t="shared" si="45"/>
        <v>1624250</v>
      </c>
      <c r="P133" s="732" t="s">
        <v>292</v>
      </c>
      <c r="Q133" s="175" t="s">
        <v>583</v>
      </c>
      <c r="R133" s="511" t="s">
        <v>534</v>
      </c>
      <c r="S133" s="511" t="s">
        <v>494</v>
      </c>
      <c r="T133" s="175"/>
      <c r="U133" s="168"/>
    </row>
    <row r="134" spans="1:27" s="601" customFormat="1" ht="12.75" customHeight="1" x14ac:dyDescent="0.2">
      <c r="A134" s="180">
        <v>20822</v>
      </c>
      <c r="B134" s="180" t="s">
        <v>582</v>
      </c>
      <c r="C134" s="579" t="s">
        <v>579</v>
      </c>
      <c r="D134" s="181">
        <v>39141</v>
      </c>
      <c r="E134" s="180">
        <v>61</v>
      </c>
      <c r="F134" s="733">
        <v>25000</v>
      </c>
      <c r="G134" s="182">
        <f t="shared" si="40"/>
        <v>1525000</v>
      </c>
      <c r="H134" s="508">
        <f t="shared" si="41"/>
        <v>0.16416</v>
      </c>
      <c r="I134" s="173">
        <f t="shared" si="42"/>
        <v>5.4000000000000003E-3</v>
      </c>
      <c r="J134" s="565">
        <v>0</v>
      </c>
      <c r="K134" s="170">
        <v>5.4000000000000003E-3</v>
      </c>
      <c r="L134" s="484">
        <f t="shared" si="43"/>
        <v>8235</v>
      </c>
      <c r="M134" s="1022">
        <v>1.49</v>
      </c>
      <c r="N134" s="484">
        <f t="shared" si="44"/>
        <v>0</v>
      </c>
      <c r="O134" s="484">
        <f t="shared" si="45"/>
        <v>8235</v>
      </c>
      <c r="P134" s="732"/>
      <c r="Q134" s="175"/>
      <c r="R134" s="511"/>
      <c r="S134" s="511"/>
      <c r="T134" s="175"/>
      <c r="U134" s="168"/>
    </row>
    <row r="135" spans="1:27" s="601" customFormat="1" ht="12.75" customHeight="1" x14ac:dyDescent="0.2">
      <c r="A135" s="180">
        <v>26678</v>
      </c>
      <c r="B135" s="510" t="s">
        <v>544</v>
      </c>
      <c r="C135" s="579" t="s">
        <v>579</v>
      </c>
      <c r="D135" s="181">
        <v>39172</v>
      </c>
      <c r="E135" s="180">
        <v>365</v>
      </c>
      <c r="F135" s="733">
        <v>25000</v>
      </c>
      <c r="G135" s="182">
        <f t="shared" si="40"/>
        <v>9125000</v>
      </c>
      <c r="H135" s="508">
        <f t="shared" si="41"/>
        <v>8.2809600000000003</v>
      </c>
      <c r="I135" s="173">
        <f t="shared" si="42"/>
        <v>0.27240000000000003</v>
      </c>
      <c r="J135" s="565">
        <v>0</v>
      </c>
      <c r="K135" s="170">
        <f>0.2671+0.0053</f>
        <v>0.27240000000000003</v>
      </c>
      <c r="L135" s="484">
        <f t="shared" si="43"/>
        <v>2485650.0000000005</v>
      </c>
      <c r="M135" s="1022">
        <v>1.49</v>
      </c>
      <c r="N135" s="484">
        <f t="shared" si="44"/>
        <v>0</v>
      </c>
      <c r="O135" s="484">
        <f t="shared" si="45"/>
        <v>2485650.0000000005</v>
      </c>
      <c r="P135" s="732" t="s">
        <v>292</v>
      </c>
      <c r="Q135" s="583" t="s">
        <v>577</v>
      </c>
      <c r="R135" s="511" t="s">
        <v>534</v>
      </c>
      <c r="S135" s="511" t="s">
        <v>494</v>
      </c>
      <c r="T135" s="583"/>
      <c r="U135" s="168"/>
    </row>
    <row r="136" spans="1:27" s="601" customFormat="1" ht="12.75" customHeight="1" x14ac:dyDescent="0.2">
      <c r="A136" s="180">
        <v>26678</v>
      </c>
      <c r="B136" s="510" t="s">
        <v>544</v>
      </c>
      <c r="C136" s="579" t="s">
        <v>579</v>
      </c>
      <c r="D136" s="181">
        <v>39172</v>
      </c>
      <c r="E136" s="180">
        <v>61</v>
      </c>
      <c r="F136" s="733">
        <v>25000</v>
      </c>
      <c r="G136" s="182">
        <f t="shared" si="40"/>
        <v>1525000</v>
      </c>
      <c r="H136" s="508">
        <f t="shared" si="41"/>
        <v>0.16416</v>
      </c>
      <c r="I136" s="173">
        <f t="shared" si="42"/>
        <v>5.4000000000000003E-3</v>
      </c>
      <c r="J136" s="565">
        <v>0</v>
      </c>
      <c r="K136" s="170">
        <v>5.4000000000000003E-3</v>
      </c>
      <c r="L136" s="484">
        <f t="shared" si="43"/>
        <v>8235</v>
      </c>
      <c r="M136" s="1022">
        <v>1.49</v>
      </c>
      <c r="N136" s="484">
        <f t="shared" si="44"/>
        <v>0</v>
      </c>
      <c r="O136" s="484">
        <f t="shared" si="45"/>
        <v>8235</v>
      </c>
      <c r="P136" s="732" t="s">
        <v>292</v>
      </c>
      <c r="Q136" s="583"/>
      <c r="R136" s="511"/>
      <c r="S136" s="511"/>
      <c r="T136" s="583"/>
      <c r="U136" s="168"/>
    </row>
    <row r="137" spans="1:27" s="601" customFormat="1" ht="12.75" customHeight="1" x14ac:dyDescent="0.2">
      <c r="A137" s="180">
        <v>27583</v>
      </c>
      <c r="B137" s="510" t="s">
        <v>584</v>
      </c>
      <c r="C137" s="623" t="s">
        <v>585</v>
      </c>
      <c r="D137" s="624" t="s">
        <v>586</v>
      </c>
      <c r="E137" s="180">
        <f>31+28+31+30+31</f>
        <v>151</v>
      </c>
      <c r="F137" s="733">
        <v>1300</v>
      </c>
      <c r="G137" s="182">
        <f>SUM(E137*F137)</f>
        <v>196300</v>
      </c>
      <c r="H137" s="508">
        <f>SUM(I137*30.4)</f>
        <v>6.9585599999999994</v>
      </c>
      <c r="I137" s="173">
        <f t="shared" si="42"/>
        <v>0.22889999999999999</v>
      </c>
      <c r="J137" s="565">
        <v>0</v>
      </c>
      <c r="K137" s="170">
        <v>0.22889999999999999</v>
      </c>
      <c r="L137" s="527">
        <f t="shared" si="43"/>
        <v>44933.07</v>
      </c>
      <c r="M137" s="1022">
        <v>1.49</v>
      </c>
      <c r="N137" s="527">
        <f t="shared" si="44"/>
        <v>0</v>
      </c>
      <c r="O137" s="527">
        <f t="shared" si="45"/>
        <v>44933.07</v>
      </c>
      <c r="P137" s="732"/>
      <c r="Q137" s="583"/>
      <c r="R137" s="511"/>
      <c r="S137" s="511"/>
      <c r="T137" s="583"/>
      <c r="U137" s="168"/>
    </row>
    <row r="138" spans="1:27" s="601" customFormat="1" ht="12.75" customHeight="1" x14ac:dyDescent="0.2">
      <c r="A138" s="591"/>
      <c r="B138" s="591"/>
      <c r="C138" s="489"/>
      <c r="D138" s="602"/>
      <c r="E138" s="35"/>
      <c r="F138" s="603"/>
      <c r="G138" s="603"/>
      <c r="H138" s="779"/>
      <c r="I138" s="533"/>
      <c r="J138" s="533"/>
      <c r="K138" s="533"/>
      <c r="L138" s="1093">
        <f>SUM(L125:L137)</f>
        <v>24031198.57</v>
      </c>
      <c r="M138" s="1098"/>
      <c r="N138" s="1093">
        <f>SUM(N125:N137)</f>
        <v>0</v>
      </c>
      <c r="O138" s="1093">
        <f t="shared" si="45"/>
        <v>24031198.57</v>
      </c>
      <c r="P138" s="536"/>
      <c r="Q138" s="605"/>
      <c r="R138" s="607"/>
      <c r="S138" s="607"/>
      <c r="T138" s="605"/>
      <c r="U138" s="617"/>
    </row>
    <row r="139" spans="1:27" s="601" customFormat="1" ht="12.75" customHeight="1" x14ac:dyDescent="0.2">
      <c r="A139" s="591"/>
      <c r="B139" s="591"/>
      <c r="C139" s="489"/>
      <c r="D139" s="602"/>
      <c r="E139" s="35"/>
      <c r="F139" s="530"/>
      <c r="G139" s="567"/>
      <c r="H139" s="532"/>
      <c r="I139" s="533"/>
      <c r="J139" s="533"/>
      <c r="K139" s="534"/>
      <c r="L139" s="604"/>
      <c r="M139" s="1023"/>
      <c r="N139" s="616"/>
      <c r="O139" s="616"/>
      <c r="P139" s="536"/>
      <c r="Q139" s="605"/>
      <c r="R139" s="607"/>
      <c r="S139" s="607"/>
      <c r="T139" s="605"/>
      <c r="U139" s="617"/>
    </row>
    <row r="140" spans="1:27" s="512" customFormat="1" ht="12.75" customHeight="1" x14ac:dyDescent="0.2">
      <c r="A140" s="591"/>
      <c r="B140" s="591"/>
      <c r="C140" s="489"/>
      <c r="D140" s="602"/>
      <c r="E140" s="35"/>
      <c r="F140" s="530"/>
      <c r="G140" s="567"/>
      <c r="H140" s="532"/>
      <c r="I140" s="533"/>
      <c r="J140" s="533"/>
      <c r="K140" s="534"/>
      <c r="L140" s="604"/>
      <c r="M140" s="1023"/>
      <c r="N140" s="616"/>
      <c r="O140" s="616"/>
      <c r="P140" s="536"/>
      <c r="Q140" s="605"/>
      <c r="R140" s="607"/>
      <c r="S140" s="607"/>
      <c r="T140" s="605"/>
      <c r="U140" s="617"/>
      <c r="V140" s="601"/>
      <c r="W140" s="601"/>
      <c r="X140" s="601"/>
      <c r="Y140" s="601"/>
      <c r="Z140" s="601"/>
      <c r="AA140" s="601"/>
    </row>
    <row r="141" spans="1:27" s="11" customFormat="1" ht="12.75" customHeight="1" x14ac:dyDescent="0.2">
      <c r="A141" s="488">
        <v>25394</v>
      </c>
      <c r="B141" s="488" t="s">
        <v>297</v>
      </c>
      <c r="C141" s="489" t="s">
        <v>587</v>
      </c>
      <c r="D141" s="489">
        <v>37802</v>
      </c>
      <c r="E141" s="180">
        <f>$E$2</f>
        <v>0</v>
      </c>
      <c r="F141" s="490">
        <v>0</v>
      </c>
      <c r="G141" s="490">
        <f>SUM(E141*F141)</f>
        <v>0</v>
      </c>
      <c r="H141" s="502">
        <f>SUM(I141*30.4)</f>
        <v>0</v>
      </c>
      <c r="I141" s="493">
        <v>0</v>
      </c>
      <c r="J141" s="493">
        <v>0</v>
      </c>
      <c r="K141" s="493">
        <f>SUM(I141+J141)</f>
        <v>0</v>
      </c>
      <c r="L141" s="183">
        <f>SUM(I141*G141)</f>
        <v>0</v>
      </c>
      <c r="M141" s="516"/>
      <c r="N141" s="503">
        <f>SUM(J141*G141)</f>
        <v>0</v>
      </c>
      <c r="O141" s="484">
        <f>L141+N141</f>
        <v>0</v>
      </c>
      <c r="P141" s="503"/>
      <c r="Q141" s="625"/>
      <c r="R141" s="509"/>
      <c r="S141" s="509"/>
      <c r="T141" s="504"/>
      <c r="U141" s="499"/>
    </row>
    <row r="142" spans="1:27" s="11" customFormat="1" ht="12.75" customHeight="1" x14ac:dyDescent="0.2">
      <c r="A142" s="488"/>
      <c r="B142" s="488"/>
      <c r="C142" s="489"/>
      <c r="D142" s="528"/>
      <c r="E142" s="626"/>
      <c r="F142" s="531"/>
      <c r="G142" s="567"/>
      <c r="H142" s="541"/>
      <c r="I142" s="533"/>
      <c r="J142" s="533"/>
      <c r="K142" s="568"/>
      <c r="L142" s="622"/>
      <c r="M142" s="1023"/>
      <c r="N142" s="1059"/>
      <c r="O142" s="1059"/>
      <c r="P142" s="536"/>
      <c r="Q142" s="537"/>
      <c r="R142" s="538"/>
      <c r="S142" s="538"/>
      <c r="T142" s="537"/>
      <c r="U142" s="537"/>
    </row>
    <row r="143" spans="1:27" s="11" customFormat="1" ht="12.75" customHeight="1" x14ac:dyDescent="0.2">
      <c r="A143" s="627"/>
      <c r="B143" s="488"/>
      <c r="C143" s="489"/>
      <c r="D143" s="528"/>
      <c r="E143" s="626"/>
      <c r="F143" s="531"/>
      <c r="G143" s="531"/>
      <c r="H143" s="541"/>
      <c r="I143" s="534"/>
      <c r="J143" s="534"/>
      <c r="K143" s="534"/>
      <c r="L143" s="1093">
        <f>L23+L32+L45+L56+L74+L99+L103+L122+L138</f>
        <v>153786945.99599999</v>
      </c>
      <c r="M143" s="1098"/>
      <c r="N143" s="1093">
        <f>N23+N32+N45+N56+N74+N99+N103+N122+N138</f>
        <v>4070218</v>
      </c>
      <c r="O143" s="1093">
        <f>O23+O32+O45+O56+O74+O99+O103+O122+O138</f>
        <v>157857163.99599999</v>
      </c>
      <c r="P143" s="536"/>
      <c r="Q143" s="537"/>
      <c r="R143" s="538"/>
      <c r="S143" s="538"/>
      <c r="T143" s="537"/>
      <c r="U143" s="537"/>
    </row>
    <row r="144" spans="1:27" s="11" customFormat="1" ht="12.75" customHeight="1" x14ac:dyDescent="0.2">
      <c r="A144" s="488"/>
      <c r="B144" s="488"/>
      <c r="C144" s="489"/>
      <c r="D144" s="489"/>
      <c r="E144" s="488"/>
      <c r="F144" s="490"/>
      <c r="G144" s="490"/>
      <c r="H144" s="502"/>
      <c r="I144" s="493"/>
      <c r="J144" s="493"/>
      <c r="K144" s="493"/>
      <c r="L144" s="183"/>
      <c r="M144" s="516"/>
      <c r="N144" s="503"/>
      <c r="O144" s="503"/>
      <c r="P144" s="503"/>
      <c r="Q144" s="625"/>
      <c r="R144" s="509"/>
      <c r="S144" s="509"/>
      <c r="T144" s="504"/>
      <c r="U144" s="499"/>
    </row>
    <row r="145" spans="1:113" s="570" customFormat="1" ht="12.75" customHeight="1" x14ac:dyDescent="0.2">
      <c r="A145" s="488"/>
      <c r="B145" s="488"/>
      <c r="C145" s="489"/>
      <c r="D145" s="528"/>
      <c r="E145" s="626"/>
      <c r="F145" s="531"/>
      <c r="G145" s="567"/>
      <c r="H145" s="541"/>
      <c r="I145" s="533"/>
      <c r="J145" s="533"/>
      <c r="K145" s="568"/>
      <c r="L145" s="604"/>
      <c r="M145" s="1023"/>
      <c r="N145" s="536"/>
      <c r="O145" s="536"/>
      <c r="P145" s="536"/>
      <c r="Q145" s="537"/>
      <c r="R145" s="538"/>
      <c r="S145" s="538"/>
      <c r="T145" s="537"/>
      <c r="U145" s="537"/>
      <c r="V145" s="618"/>
      <c r="W145" s="618"/>
      <c r="X145" s="618"/>
      <c r="Y145" s="618"/>
      <c r="Z145" s="618"/>
      <c r="AA145" s="618"/>
      <c r="AB145" s="618"/>
      <c r="AC145" s="618"/>
      <c r="AD145" s="618"/>
      <c r="AE145" s="618"/>
      <c r="AF145" s="618"/>
      <c r="AG145" s="618"/>
      <c r="AH145" s="618"/>
      <c r="AI145" s="618"/>
      <c r="AJ145" s="618"/>
      <c r="AK145" s="618"/>
      <c r="AL145" s="618"/>
      <c r="AM145" s="618"/>
      <c r="AN145" s="618"/>
      <c r="AO145" s="618"/>
      <c r="AP145" s="618"/>
      <c r="AQ145" s="618"/>
      <c r="AR145" s="618"/>
      <c r="AS145" s="618"/>
      <c r="AT145" s="618"/>
      <c r="AU145" s="618"/>
      <c r="AV145" s="618"/>
      <c r="AW145" s="618"/>
      <c r="AX145" s="618"/>
      <c r="AY145" s="618"/>
      <c r="AZ145" s="618"/>
      <c r="BA145" s="618"/>
      <c r="BB145" s="618"/>
      <c r="BC145" s="618"/>
      <c r="BD145" s="618"/>
      <c r="BE145" s="618"/>
      <c r="BF145" s="618"/>
      <c r="BG145" s="618"/>
      <c r="BH145" s="618"/>
      <c r="BI145" s="618"/>
      <c r="BJ145" s="618"/>
      <c r="BK145" s="618"/>
      <c r="BL145" s="618"/>
      <c r="BM145" s="618"/>
      <c r="BN145" s="618"/>
      <c r="BO145" s="618"/>
      <c r="BP145" s="618"/>
      <c r="BQ145" s="618"/>
      <c r="BR145" s="618"/>
      <c r="BS145" s="618"/>
      <c r="BT145" s="618"/>
      <c r="BU145" s="618"/>
      <c r="BV145" s="618"/>
      <c r="BW145" s="618"/>
      <c r="BX145" s="618"/>
      <c r="BY145" s="618"/>
      <c r="BZ145" s="618"/>
      <c r="CA145" s="618"/>
      <c r="CB145" s="618"/>
      <c r="CC145" s="618"/>
      <c r="CD145" s="618"/>
      <c r="CE145" s="618"/>
      <c r="CF145" s="618"/>
      <c r="CG145" s="618"/>
      <c r="CH145" s="618"/>
      <c r="CI145" s="618"/>
      <c r="CJ145" s="618"/>
      <c r="CK145" s="618"/>
      <c r="CL145" s="618"/>
      <c r="CM145" s="618"/>
      <c r="CN145" s="618"/>
      <c r="CO145" s="618"/>
      <c r="CP145" s="618"/>
      <c r="CQ145" s="618"/>
      <c r="CR145" s="618"/>
      <c r="CS145" s="618"/>
      <c r="CT145" s="618"/>
      <c r="CU145" s="618"/>
      <c r="CV145" s="618"/>
      <c r="CW145" s="618"/>
      <c r="CX145" s="618"/>
      <c r="CY145" s="618"/>
      <c r="CZ145" s="618"/>
      <c r="DA145" s="618"/>
      <c r="DB145" s="618"/>
      <c r="DC145" s="618"/>
      <c r="DD145" s="618"/>
      <c r="DE145" s="618"/>
      <c r="DF145" s="618"/>
      <c r="DG145" s="618"/>
      <c r="DH145" s="618"/>
      <c r="DI145" s="618"/>
    </row>
    <row r="146" spans="1:113" s="570" customFormat="1" ht="12.75" customHeight="1" x14ac:dyDescent="0.2">
      <c r="A146" s="627"/>
      <c r="B146" s="488"/>
      <c r="C146" s="489"/>
      <c r="D146" s="528"/>
      <c r="E146" s="626"/>
      <c r="F146" s="531"/>
      <c r="G146" s="531"/>
      <c r="H146" s="541"/>
      <c r="I146" s="534"/>
      <c r="J146" s="534"/>
      <c r="K146" s="534"/>
      <c r="L146" s="604"/>
      <c r="M146" s="1023"/>
      <c r="N146" s="536"/>
      <c r="O146" s="536"/>
      <c r="P146" s="536"/>
      <c r="Q146" s="537"/>
      <c r="R146" s="538"/>
      <c r="S146" s="538"/>
      <c r="T146" s="537"/>
      <c r="U146" s="537"/>
      <c r="V146" s="618"/>
      <c r="W146" s="618"/>
      <c r="X146" s="618"/>
      <c r="Y146" s="618"/>
      <c r="Z146" s="618"/>
      <c r="AA146" s="618"/>
      <c r="AB146" s="618"/>
      <c r="AC146" s="618"/>
      <c r="AD146" s="618"/>
      <c r="AE146" s="618"/>
      <c r="AF146" s="618"/>
      <c r="AG146" s="618"/>
      <c r="AH146" s="618"/>
      <c r="AI146" s="618"/>
      <c r="AJ146" s="618"/>
      <c r="AK146" s="618"/>
      <c r="AL146" s="618"/>
      <c r="AM146" s="618"/>
      <c r="AN146" s="618"/>
      <c r="AO146" s="618"/>
      <c r="AP146" s="618"/>
      <c r="AQ146" s="618"/>
      <c r="AR146" s="618"/>
      <c r="AS146" s="618"/>
      <c r="AT146" s="618"/>
      <c r="AU146" s="618"/>
      <c r="AV146" s="618"/>
      <c r="AW146" s="618"/>
      <c r="AX146" s="618"/>
      <c r="AY146" s="618"/>
      <c r="AZ146" s="618"/>
      <c r="BA146" s="618"/>
      <c r="BB146" s="618"/>
      <c r="BC146" s="618"/>
      <c r="BD146" s="618"/>
      <c r="BE146" s="618"/>
      <c r="BF146" s="618"/>
      <c r="BG146" s="618"/>
      <c r="BH146" s="618"/>
      <c r="BI146" s="618"/>
      <c r="BJ146" s="618"/>
      <c r="BK146" s="618"/>
      <c r="BL146" s="618"/>
      <c r="BM146" s="618"/>
      <c r="BN146" s="618"/>
      <c r="BO146" s="618"/>
      <c r="BP146" s="618"/>
      <c r="BQ146" s="618"/>
      <c r="BR146" s="618"/>
      <c r="BS146" s="618"/>
      <c r="BT146" s="618"/>
      <c r="BU146" s="618"/>
      <c r="BV146" s="618"/>
      <c r="BW146" s="618"/>
      <c r="BX146" s="618"/>
      <c r="BY146" s="618"/>
      <c r="BZ146" s="618"/>
      <c r="CA146" s="618"/>
      <c r="CB146" s="618"/>
      <c r="CC146" s="618"/>
      <c r="CD146" s="618"/>
      <c r="CE146" s="618"/>
      <c r="CF146" s="618"/>
      <c r="CG146" s="618"/>
      <c r="CH146" s="618"/>
      <c r="CI146" s="618"/>
      <c r="CJ146" s="618"/>
      <c r="CK146" s="618"/>
      <c r="CL146" s="618"/>
      <c r="CM146" s="618"/>
      <c r="CN146" s="618"/>
      <c r="CO146" s="618"/>
      <c r="CP146" s="618"/>
      <c r="CQ146" s="618"/>
      <c r="CR146" s="618"/>
      <c r="CS146" s="618"/>
      <c r="CT146" s="618"/>
      <c r="CU146" s="618"/>
      <c r="CV146" s="618"/>
      <c r="CW146" s="618"/>
      <c r="CX146" s="618"/>
      <c r="CY146" s="618"/>
      <c r="CZ146" s="618"/>
      <c r="DA146" s="618"/>
      <c r="DB146" s="618"/>
      <c r="DC146" s="618"/>
      <c r="DD146" s="618"/>
      <c r="DE146" s="618"/>
      <c r="DF146" s="618"/>
      <c r="DG146" s="618"/>
      <c r="DH146" s="618"/>
      <c r="DI146" s="618"/>
    </row>
    <row r="147" spans="1:113" x14ac:dyDescent="0.2">
      <c r="A147" s="11"/>
      <c r="B147" s="628"/>
      <c r="C147" s="591"/>
      <c r="D147" s="529"/>
      <c r="E147" s="529"/>
      <c r="F147" s="567"/>
      <c r="G147" s="567"/>
      <c r="H147" s="541"/>
      <c r="I147" s="568"/>
      <c r="J147" s="568"/>
      <c r="K147" s="568"/>
      <c r="L147" s="604"/>
      <c r="M147" s="1023"/>
      <c r="N147" s="616"/>
      <c r="O147" s="616"/>
      <c r="P147" s="616"/>
      <c r="R147" s="549"/>
      <c r="S147" s="549"/>
      <c r="U147" s="629"/>
    </row>
    <row r="148" spans="1:113" x14ac:dyDescent="0.2">
      <c r="A148" s="11"/>
      <c r="B148" s="628"/>
      <c r="C148" s="591"/>
      <c r="D148" s="529"/>
      <c r="E148" s="529"/>
      <c r="F148" s="567"/>
      <c r="G148" s="567"/>
      <c r="H148" s="541"/>
      <c r="I148" s="568"/>
      <c r="J148" s="568"/>
      <c r="K148" s="568"/>
      <c r="L148" s="604"/>
      <c r="M148" s="1023"/>
      <c r="N148" s="616"/>
      <c r="O148" s="616"/>
      <c r="P148" s="616"/>
      <c r="R148" s="549"/>
      <c r="S148" s="549"/>
      <c r="U148" s="629"/>
    </row>
    <row r="149" spans="1:113" x14ac:dyDescent="0.2">
      <c r="A149" s="630"/>
      <c r="B149" s="628"/>
      <c r="C149" s="591"/>
      <c r="D149" s="529"/>
      <c r="E149" s="529"/>
      <c r="F149" s="567"/>
      <c r="G149" s="567"/>
      <c r="H149" s="541"/>
      <c r="I149" s="568"/>
      <c r="J149" s="568"/>
      <c r="K149" s="568"/>
      <c r="L149" s="604"/>
      <c r="M149" s="1023"/>
      <c r="N149" s="616"/>
      <c r="O149" s="616"/>
      <c r="P149" s="616"/>
      <c r="R149" s="549"/>
      <c r="S149" s="549"/>
      <c r="U149" s="629"/>
    </row>
    <row r="150" spans="1:113" x14ac:dyDescent="0.2">
      <c r="A150" s="506"/>
      <c r="B150" s="506"/>
      <c r="C150" s="506"/>
      <c r="D150" s="529"/>
      <c r="E150" s="529"/>
      <c r="F150" s="567"/>
      <c r="G150" s="567"/>
      <c r="H150" s="541"/>
      <c r="I150" s="568"/>
      <c r="J150" s="568"/>
      <c r="L150" s="604"/>
      <c r="M150" s="1023"/>
      <c r="N150" s="616"/>
      <c r="O150" s="616"/>
      <c r="P150" s="616"/>
      <c r="R150" s="549"/>
      <c r="S150" s="549"/>
      <c r="U150" s="629"/>
    </row>
    <row r="151" spans="1:113" x14ac:dyDescent="0.2">
      <c r="A151" s="569"/>
      <c r="B151" s="506"/>
      <c r="C151" s="506"/>
      <c r="D151" s="529"/>
      <c r="E151" s="529"/>
      <c r="F151" s="631"/>
      <c r="G151" s="632"/>
      <c r="H151" s="541"/>
      <c r="I151" s="633"/>
      <c r="J151" s="634"/>
      <c r="K151" s="547"/>
      <c r="L151" s="620"/>
      <c r="M151" s="1026"/>
      <c r="N151" s="536"/>
      <c r="O151" s="635"/>
      <c r="P151" s="536"/>
      <c r="R151" s="549"/>
      <c r="S151" s="549"/>
      <c r="U151" s="629"/>
    </row>
    <row r="152" spans="1:113" x14ac:dyDescent="0.2">
      <c r="A152" s="506"/>
      <c r="B152" s="506"/>
      <c r="C152" s="506"/>
      <c r="D152" s="529"/>
      <c r="E152" s="529"/>
      <c r="F152" s="567"/>
      <c r="G152" s="632"/>
      <c r="H152" s="541"/>
      <c r="I152" s="568"/>
      <c r="J152" s="568"/>
      <c r="L152" s="604"/>
      <c r="M152" s="1023"/>
      <c r="N152" s="616"/>
      <c r="O152" s="616"/>
      <c r="P152" s="616"/>
      <c r="R152" s="549"/>
      <c r="S152" s="549"/>
      <c r="U152" s="629"/>
    </row>
    <row r="153" spans="1:113" x14ac:dyDescent="0.2">
      <c r="A153" s="630"/>
      <c r="B153" s="591"/>
      <c r="C153" s="506"/>
      <c r="D153" s="529"/>
      <c r="E153" s="529"/>
      <c r="F153" s="567"/>
      <c r="G153" s="567"/>
      <c r="H153" s="568"/>
      <c r="I153" s="568"/>
      <c r="J153" s="568"/>
      <c r="L153" s="779"/>
      <c r="M153" s="1027"/>
      <c r="N153" s="636"/>
      <c r="O153" s="636"/>
      <c r="P153" s="636"/>
      <c r="R153" s="549"/>
      <c r="S153" s="549"/>
      <c r="U153" s="629"/>
    </row>
    <row r="154" spans="1:113" x14ac:dyDescent="0.2">
      <c r="A154" s="630"/>
      <c r="B154" s="591"/>
      <c r="C154" s="506"/>
      <c r="D154" s="529"/>
      <c r="E154" s="529"/>
      <c r="F154" s="567"/>
      <c r="G154" s="567"/>
      <c r="H154" s="568"/>
      <c r="I154" s="568"/>
      <c r="J154" s="568"/>
      <c r="L154" s="633"/>
      <c r="M154" s="1028"/>
      <c r="N154" s="634"/>
      <c r="O154" s="534"/>
      <c r="P154" s="534"/>
      <c r="R154" s="549"/>
      <c r="S154" s="549"/>
      <c r="U154" s="629"/>
    </row>
    <row r="155" spans="1:113" x14ac:dyDescent="0.2">
      <c r="A155" s="630"/>
      <c r="B155" s="591"/>
      <c r="C155" s="591"/>
      <c r="D155" s="529"/>
      <c r="E155" s="529"/>
      <c r="F155" s="567"/>
      <c r="G155" s="567"/>
      <c r="H155" s="568"/>
      <c r="I155" s="568"/>
      <c r="J155" s="568"/>
      <c r="L155" s="533"/>
      <c r="M155" s="902"/>
      <c r="N155" s="568"/>
      <c r="O155" s="568"/>
      <c r="P155" s="568"/>
      <c r="R155" s="549"/>
      <c r="S155" s="549"/>
      <c r="U155" s="629"/>
    </row>
    <row r="156" spans="1:113" x14ac:dyDescent="0.2">
      <c r="A156" s="630"/>
      <c r="B156" s="591"/>
      <c r="C156" s="591"/>
      <c r="D156" s="529"/>
      <c r="E156" s="529"/>
      <c r="F156" s="567"/>
      <c r="G156" s="567"/>
      <c r="H156" s="568"/>
      <c r="I156" s="568"/>
      <c r="J156" s="568"/>
      <c r="L156" s="533"/>
      <c r="M156" s="902"/>
      <c r="N156" s="568"/>
      <c r="O156" s="568"/>
      <c r="P156" s="568"/>
      <c r="R156" s="549"/>
      <c r="S156" s="549"/>
      <c r="U156" s="629"/>
    </row>
    <row r="157" spans="1:113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/>
      <c r="L157" s="29"/>
      <c r="M157" s="906"/>
      <c r="N157"/>
      <c r="O157"/>
      <c r="P157"/>
      <c r="Q157"/>
      <c r="R157" s="549"/>
      <c r="S157" s="549"/>
      <c r="U157" s="629"/>
    </row>
    <row r="158" spans="1:113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/>
      <c r="L158" s="29"/>
      <c r="M158" s="906"/>
      <c r="N158"/>
      <c r="O158"/>
      <c r="P158"/>
      <c r="Q158"/>
      <c r="R158" s="549"/>
      <c r="S158" s="549"/>
      <c r="U158" s="629"/>
    </row>
    <row r="159" spans="1:113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/>
      <c r="L159" s="29"/>
      <c r="M159" s="906"/>
      <c r="N159"/>
      <c r="O159"/>
      <c r="P159"/>
      <c r="Q159"/>
      <c r="R159" s="549"/>
      <c r="S159" s="549"/>
      <c r="U159" s="629"/>
    </row>
    <row r="160" spans="1:113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/>
      <c r="L160" s="29"/>
      <c r="M160" s="906"/>
      <c r="N160"/>
      <c r="O160"/>
      <c r="P160"/>
      <c r="Q160"/>
      <c r="R160" s="549"/>
      <c r="S160" s="549"/>
      <c r="U160" s="629"/>
    </row>
    <row r="161" spans="1:113" x14ac:dyDescent="0.2">
      <c r="A161" s="591"/>
      <c r="B161" s="591"/>
      <c r="C161" s="591"/>
      <c r="D161" s="529"/>
      <c r="E161" s="529"/>
      <c r="F161" s="567"/>
      <c r="G161" s="567"/>
      <c r="H161" s="568"/>
      <c r="I161" s="568"/>
      <c r="J161" s="568"/>
      <c r="R161" s="549"/>
      <c r="S161" s="549"/>
      <c r="U161" s="629"/>
    </row>
    <row r="162" spans="1:113" ht="20.25" x14ac:dyDescent="0.3">
      <c r="A162" s="637"/>
      <c r="B162" s="591"/>
      <c r="C162" s="591"/>
      <c r="D162" s="529"/>
      <c r="E162" s="529"/>
      <c r="F162" s="567"/>
      <c r="G162" s="567"/>
      <c r="H162" s="568"/>
      <c r="I162" s="568"/>
      <c r="J162" s="568"/>
      <c r="Q162" s="459">
        <f ca="1">NOW()</f>
        <v>41885.92788761574</v>
      </c>
      <c r="R162" s="638"/>
      <c r="S162" s="638"/>
      <c r="U162" s="629"/>
    </row>
    <row r="163" spans="1:113" x14ac:dyDescent="0.2">
      <c r="A163" s="639"/>
      <c r="B163" s="591"/>
      <c r="C163" s="591"/>
      <c r="D163" s="529"/>
      <c r="E163" s="529"/>
      <c r="F163" s="567"/>
      <c r="G163" s="567"/>
      <c r="H163" s="568"/>
      <c r="I163" s="568"/>
      <c r="J163" s="568"/>
      <c r="R163" s="549"/>
      <c r="S163" s="549"/>
      <c r="U163" s="629"/>
    </row>
    <row r="164" spans="1:113" x14ac:dyDescent="0.2">
      <c r="A164" s="478"/>
      <c r="B164" s="640"/>
      <c r="C164" s="478"/>
      <c r="D164" s="478"/>
      <c r="E164" s="478"/>
      <c r="F164" s="481"/>
      <c r="G164" s="641"/>
      <c r="H164" s="642"/>
      <c r="I164" s="642"/>
      <c r="J164" s="482"/>
      <c r="K164" s="643"/>
      <c r="L164" s="644"/>
      <c r="M164" s="1029"/>
      <c r="N164" s="644"/>
      <c r="O164" s="644"/>
      <c r="P164" s="644"/>
      <c r="Q164" s="479"/>
      <c r="R164" s="645"/>
      <c r="S164" s="645"/>
      <c r="T164" s="479"/>
      <c r="U164" s="646"/>
    </row>
    <row r="165" spans="1:113" x14ac:dyDescent="0.2">
      <c r="A165" s="478"/>
      <c r="B165" s="478"/>
      <c r="C165" s="478"/>
      <c r="D165" s="478"/>
      <c r="E165" s="478"/>
      <c r="F165" s="481"/>
      <c r="G165" s="481"/>
      <c r="H165" s="482"/>
      <c r="I165" s="482"/>
      <c r="J165" s="482"/>
      <c r="K165" s="482"/>
      <c r="L165" s="1034"/>
      <c r="M165" s="1021"/>
      <c r="N165" s="482"/>
      <c r="O165" s="482"/>
      <c r="P165" s="482"/>
      <c r="Q165" s="479"/>
      <c r="R165" s="645"/>
      <c r="S165" s="645"/>
      <c r="T165" s="479"/>
      <c r="U165" s="11"/>
    </row>
    <row r="166" spans="1:113" s="11" customFormat="1" ht="12.75" customHeight="1" x14ac:dyDescent="0.2">
      <c r="A166" s="591"/>
      <c r="B166" s="591"/>
      <c r="C166" s="593"/>
      <c r="D166" s="602"/>
      <c r="E166" s="529"/>
      <c r="F166" s="603"/>
      <c r="G166" s="567"/>
      <c r="H166" s="541"/>
      <c r="I166" s="533"/>
      <c r="J166" s="533"/>
      <c r="K166" s="534"/>
      <c r="L166" s="604"/>
      <c r="M166" s="1023"/>
      <c r="N166" s="616"/>
      <c r="O166" s="616"/>
      <c r="P166" s="536"/>
      <c r="Q166" s="605"/>
      <c r="R166" s="607"/>
      <c r="S166" s="607"/>
      <c r="T166" s="605"/>
      <c r="U166" s="617"/>
    </row>
    <row r="167" spans="1:113" s="11" customFormat="1" ht="12.75" customHeight="1" x14ac:dyDescent="0.2">
      <c r="A167" s="591"/>
      <c r="B167" s="591"/>
      <c r="C167" s="489"/>
      <c r="D167" s="602"/>
      <c r="E167" s="529"/>
      <c r="F167" s="603"/>
      <c r="G167" s="567"/>
      <c r="H167" s="541"/>
      <c r="I167" s="533"/>
      <c r="J167" s="533"/>
      <c r="K167" s="534"/>
      <c r="L167" s="604"/>
      <c r="M167" s="1023"/>
      <c r="N167" s="616"/>
      <c r="O167" s="616"/>
      <c r="P167" s="536"/>
      <c r="Q167" s="605"/>
      <c r="R167" s="607"/>
      <c r="S167" s="607"/>
      <c r="T167" s="605"/>
      <c r="U167" s="617"/>
    </row>
    <row r="168" spans="1:113" s="11" customFormat="1" ht="12.75" customHeight="1" x14ac:dyDescent="0.2">
      <c r="A168" s="591"/>
      <c r="B168" s="591"/>
      <c r="C168" s="593"/>
      <c r="D168" s="602"/>
      <c r="E168" s="529"/>
      <c r="F168" s="530"/>
      <c r="G168" s="567"/>
      <c r="H168" s="541"/>
      <c r="I168" s="533"/>
      <c r="J168" s="533"/>
      <c r="K168" s="534"/>
      <c r="L168" s="604"/>
      <c r="M168" s="1023"/>
      <c r="N168" s="616"/>
      <c r="O168" s="616"/>
      <c r="P168" s="536"/>
      <c r="Q168" s="605"/>
      <c r="R168" s="607"/>
      <c r="S168" s="607"/>
      <c r="T168" s="605"/>
      <c r="U168" s="617"/>
    </row>
    <row r="169" spans="1:113" s="11" customFormat="1" ht="12.75" customHeight="1" x14ac:dyDescent="0.2">
      <c r="A169" s="591"/>
      <c r="B169" s="591"/>
      <c r="C169" s="593"/>
      <c r="D169" s="602"/>
      <c r="E169" s="529"/>
      <c r="F169" s="603"/>
      <c r="G169" s="567"/>
      <c r="H169" s="541"/>
      <c r="I169" s="533"/>
      <c r="J169" s="533"/>
      <c r="K169" s="534"/>
      <c r="L169" s="604"/>
      <c r="M169" s="1023"/>
      <c r="N169" s="616"/>
      <c r="O169" s="616"/>
      <c r="P169" s="536"/>
      <c r="Q169" s="605"/>
      <c r="R169" s="607"/>
      <c r="S169" s="607"/>
      <c r="T169" s="605"/>
      <c r="U169" s="617"/>
    </row>
    <row r="170" spans="1:113" x14ac:dyDescent="0.2">
      <c r="A170" s="529"/>
      <c r="B170" s="529"/>
      <c r="C170" s="529"/>
      <c r="D170" s="529"/>
      <c r="E170" s="529"/>
      <c r="F170" s="567"/>
      <c r="G170" s="567"/>
      <c r="H170" s="568"/>
      <c r="I170" s="568"/>
      <c r="J170" s="568"/>
      <c r="K170" s="568"/>
      <c r="L170" s="533"/>
      <c r="M170" s="902"/>
      <c r="N170" s="568"/>
      <c r="O170" s="568"/>
      <c r="P170" s="568"/>
      <c r="Q170" s="647"/>
      <c r="R170" s="529"/>
      <c r="S170" s="529"/>
      <c r="T170" s="647"/>
      <c r="U170" s="529"/>
    </row>
    <row r="171" spans="1:113" s="570" customFormat="1" ht="12.75" customHeight="1" x14ac:dyDescent="0.2">
      <c r="A171" s="488"/>
      <c r="B171" s="488"/>
      <c r="C171" s="489"/>
      <c r="D171" s="528"/>
      <c r="E171" s="529"/>
      <c r="F171" s="531"/>
      <c r="G171" s="531"/>
      <c r="H171" s="541"/>
      <c r="I171" s="534"/>
      <c r="J171" s="534"/>
      <c r="K171" s="534"/>
      <c r="L171" s="604"/>
      <c r="M171" s="1023"/>
      <c r="N171" s="536"/>
      <c r="O171" s="536"/>
      <c r="P171" s="536"/>
      <c r="Q171" s="537"/>
      <c r="R171" s="538"/>
      <c r="S171" s="538"/>
      <c r="T171" s="537"/>
      <c r="U171" s="537"/>
      <c r="V171" s="618"/>
      <c r="W171" s="618"/>
      <c r="X171" s="618"/>
      <c r="Y171" s="618"/>
      <c r="Z171" s="618"/>
      <c r="AA171" s="618"/>
      <c r="AB171" s="618"/>
      <c r="AC171" s="618"/>
      <c r="AD171" s="618"/>
      <c r="AE171" s="618"/>
      <c r="AF171" s="618"/>
      <c r="AG171" s="618"/>
      <c r="AH171" s="618"/>
      <c r="AI171" s="618"/>
      <c r="AJ171" s="618"/>
      <c r="AK171" s="618"/>
      <c r="AL171" s="618"/>
      <c r="AM171" s="618"/>
      <c r="AN171" s="618"/>
      <c r="AO171" s="618"/>
      <c r="AP171" s="618"/>
      <c r="AQ171" s="618"/>
      <c r="AR171" s="618"/>
      <c r="AS171" s="618"/>
      <c r="AT171" s="618"/>
      <c r="AU171" s="618"/>
      <c r="AV171" s="618"/>
      <c r="AW171" s="618"/>
      <c r="AX171" s="618"/>
      <c r="AY171" s="618"/>
      <c r="AZ171" s="618"/>
      <c r="BA171" s="618"/>
      <c r="BB171" s="618"/>
      <c r="BC171" s="618"/>
      <c r="BD171" s="618"/>
      <c r="BE171" s="618"/>
      <c r="BF171" s="618"/>
      <c r="BG171" s="618"/>
      <c r="BH171" s="618"/>
      <c r="BI171" s="618"/>
      <c r="BJ171" s="618"/>
      <c r="BK171" s="618"/>
      <c r="BL171" s="618"/>
      <c r="BM171" s="618"/>
      <c r="BN171" s="618"/>
      <c r="BO171" s="618"/>
      <c r="BP171" s="618"/>
      <c r="BQ171" s="618"/>
      <c r="BR171" s="618"/>
      <c r="BS171" s="618"/>
      <c r="BT171" s="618"/>
      <c r="BU171" s="618"/>
      <c r="BV171" s="618"/>
      <c r="BW171" s="618"/>
      <c r="BX171" s="618"/>
      <c r="BY171" s="618"/>
      <c r="BZ171" s="618"/>
      <c r="CA171" s="618"/>
      <c r="CB171" s="618"/>
      <c r="CC171" s="618"/>
      <c r="CD171" s="618"/>
      <c r="CE171" s="618"/>
      <c r="CF171" s="618"/>
      <c r="CG171" s="618"/>
      <c r="CH171" s="618"/>
      <c r="CI171" s="618"/>
      <c r="CJ171" s="618"/>
      <c r="CK171" s="618"/>
      <c r="CL171" s="618"/>
      <c r="CM171" s="618"/>
      <c r="CN171" s="618"/>
      <c r="CO171" s="618"/>
      <c r="CP171" s="618"/>
      <c r="CQ171" s="618"/>
      <c r="CR171" s="618"/>
      <c r="CS171" s="618"/>
      <c r="CT171" s="618"/>
      <c r="CU171" s="618"/>
      <c r="CV171" s="618"/>
      <c r="CW171" s="618"/>
      <c r="CX171" s="618"/>
      <c r="CY171" s="618"/>
      <c r="CZ171" s="618"/>
      <c r="DA171" s="618"/>
      <c r="DB171" s="618"/>
      <c r="DC171" s="618"/>
      <c r="DD171" s="618"/>
      <c r="DE171" s="618"/>
      <c r="DF171" s="618"/>
      <c r="DG171" s="618"/>
      <c r="DH171" s="618"/>
      <c r="DI171" s="618"/>
    </row>
    <row r="172" spans="1:113" s="11" customFormat="1" ht="12.75" customHeight="1" x14ac:dyDescent="0.2">
      <c r="A172" s="648"/>
      <c r="B172" s="591"/>
      <c r="C172" s="593"/>
      <c r="D172" s="602"/>
      <c r="E172" s="529"/>
      <c r="F172" s="603"/>
      <c r="G172" s="567"/>
      <c r="H172" s="541"/>
      <c r="I172" s="533"/>
      <c r="J172" s="533"/>
      <c r="K172" s="534"/>
      <c r="L172" s="604"/>
      <c r="M172" s="1023"/>
      <c r="N172" s="616"/>
      <c r="O172" s="616"/>
      <c r="P172" s="536"/>
      <c r="Q172" s="605"/>
      <c r="R172" s="607"/>
      <c r="S172" s="607"/>
      <c r="T172" s="605"/>
      <c r="U172" s="617"/>
    </row>
    <row r="173" spans="1:113" s="11" customFormat="1" ht="12.75" customHeight="1" x14ac:dyDescent="0.2">
      <c r="A173" s="648"/>
      <c r="B173" s="591"/>
      <c r="C173" s="593"/>
      <c r="D173" s="602"/>
      <c r="E173" s="529"/>
      <c r="F173" s="603"/>
      <c r="G173" s="567"/>
      <c r="H173" s="541"/>
      <c r="I173" s="533"/>
      <c r="J173" s="533"/>
      <c r="K173" s="534"/>
      <c r="L173" s="604"/>
      <c r="M173" s="1023"/>
      <c r="N173" s="616"/>
      <c r="O173" s="616"/>
      <c r="P173" s="536"/>
      <c r="Q173" s="605"/>
      <c r="R173" s="607"/>
      <c r="S173" s="607"/>
      <c r="T173" s="605"/>
      <c r="U173" s="617"/>
    </row>
    <row r="174" spans="1:113" x14ac:dyDescent="0.2">
      <c r="A174" s="529"/>
      <c r="B174" s="529"/>
      <c r="C174" s="529"/>
      <c r="D174" s="529"/>
      <c r="E174" s="529"/>
      <c r="F174" s="567"/>
      <c r="G174" s="11"/>
      <c r="H174" s="568"/>
      <c r="I174" s="568"/>
      <c r="J174" s="568"/>
      <c r="K174" s="568"/>
      <c r="L174" s="604"/>
      <c r="M174" s="1023"/>
      <c r="N174" s="616"/>
      <c r="O174" s="616"/>
      <c r="P174" s="568"/>
      <c r="Q174" s="647"/>
      <c r="R174" s="538"/>
      <c r="S174" s="538"/>
      <c r="T174" s="647"/>
      <c r="U174" s="617"/>
    </row>
    <row r="175" spans="1:113" x14ac:dyDescent="0.2">
      <c r="A175" s="529"/>
      <c r="B175" s="529"/>
      <c r="C175" s="529"/>
      <c r="D175" s="529"/>
      <c r="E175" s="529"/>
      <c r="F175" s="567"/>
      <c r="G175" s="11"/>
      <c r="H175" s="568"/>
      <c r="I175" s="568"/>
      <c r="J175" s="568"/>
      <c r="K175" s="568"/>
      <c r="L175" s="604"/>
      <c r="M175" s="1023"/>
      <c r="N175" s="616"/>
      <c r="O175" s="616"/>
      <c r="P175" s="568"/>
      <c r="Q175" s="647"/>
      <c r="R175" s="538"/>
      <c r="S175" s="538"/>
      <c r="T175" s="647"/>
      <c r="U175" s="617"/>
    </row>
    <row r="176" spans="1:113" x14ac:dyDescent="0.2">
      <c r="A176" s="529"/>
      <c r="B176" s="529"/>
      <c r="C176" s="529"/>
      <c r="D176" s="529"/>
      <c r="E176" s="529"/>
      <c r="F176" s="567"/>
      <c r="G176" s="11"/>
      <c r="H176" s="568"/>
      <c r="I176" s="568"/>
      <c r="J176" s="568"/>
      <c r="K176" s="568"/>
      <c r="L176" s="604"/>
      <c r="M176" s="1023"/>
      <c r="N176" s="616"/>
      <c r="O176" s="616"/>
      <c r="P176" s="568"/>
      <c r="Q176" s="647"/>
      <c r="R176" s="538"/>
      <c r="S176" s="538"/>
      <c r="T176" s="647"/>
      <c r="U176" s="617"/>
    </row>
    <row r="177" spans="1:21" x14ac:dyDescent="0.2">
      <c r="A177" s="529"/>
      <c r="B177" s="529"/>
      <c r="C177" s="529"/>
      <c r="D177" s="529"/>
      <c r="E177" s="529"/>
      <c r="F177" s="567"/>
      <c r="G177" s="567"/>
      <c r="H177" s="568"/>
      <c r="I177" s="568"/>
      <c r="J177" s="568"/>
      <c r="K177" s="568"/>
      <c r="L177" s="1036"/>
      <c r="M177" s="1030"/>
      <c r="N177" s="616"/>
      <c r="O177" s="616"/>
      <c r="P177" s="568"/>
      <c r="Q177" s="647"/>
      <c r="R177" s="538"/>
      <c r="S177" s="538"/>
      <c r="T177" s="647"/>
      <c r="U177" s="617"/>
    </row>
    <row r="178" spans="1:21" x14ac:dyDescent="0.2">
      <c r="A178" s="529"/>
      <c r="B178" s="529"/>
      <c r="C178" s="529"/>
      <c r="D178" s="529"/>
      <c r="E178" s="529"/>
      <c r="F178" s="567"/>
      <c r="G178" s="632"/>
      <c r="H178" s="568"/>
      <c r="I178" s="568"/>
      <c r="J178" s="568"/>
      <c r="K178" s="568"/>
      <c r="L178" s="620"/>
      <c r="M178" s="1026"/>
      <c r="N178" s="536"/>
      <c r="O178" s="635"/>
      <c r="P178" s="568"/>
      <c r="Q178" s="647"/>
      <c r="R178" s="538"/>
      <c r="S178" s="538"/>
      <c r="T178" s="647"/>
      <c r="U178" s="617"/>
    </row>
    <row r="179" spans="1:21" ht="15.75" x14ac:dyDescent="0.25">
      <c r="A179" s="650"/>
      <c r="B179" s="529"/>
      <c r="C179" s="529"/>
      <c r="D179" s="529"/>
      <c r="E179" s="529"/>
      <c r="F179" s="567"/>
      <c r="G179" s="632"/>
      <c r="H179" s="568"/>
      <c r="I179" s="568"/>
      <c r="J179" s="568"/>
      <c r="K179" s="568"/>
      <c r="L179" s="604"/>
      <c r="M179" s="1023"/>
      <c r="N179" s="616"/>
      <c r="O179" s="616"/>
      <c r="P179" s="568"/>
      <c r="Q179" s="647"/>
      <c r="R179" s="538"/>
      <c r="S179" s="538"/>
      <c r="T179" s="647"/>
      <c r="U179" s="617"/>
    </row>
    <row r="180" spans="1:21" x14ac:dyDescent="0.2">
      <c r="A180" s="529"/>
      <c r="B180" s="529"/>
      <c r="C180" s="529"/>
      <c r="D180" s="529"/>
      <c r="E180" s="529"/>
      <c r="F180" s="567"/>
      <c r="G180" s="632"/>
      <c r="H180" s="568"/>
      <c r="I180" s="568"/>
      <c r="J180" s="568"/>
      <c r="K180" s="568"/>
      <c r="L180" s="779"/>
      <c r="M180" s="1027"/>
      <c r="N180" s="636"/>
      <c r="O180" s="636"/>
      <c r="P180" s="568"/>
      <c r="Q180" s="647"/>
      <c r="R180" s="538"/>
      <c r="S180" s="538"/>
      <c r="T180" s="647"/>
      <c r="U180" s="617"/>
    </row>
    <row r="181" spans="1:21" x14ac:dyDescent="0.2">
      <c r="A181" s="529"/>
      <c r="B181" s="529"/>
      <c r="C181" s="529"/>
      <c r="D181" s="529"/>
      <c r="E181" s="529"/>
      <c r="F181" s="567"/>
      <c r="G181" s="632"/>
      <c r="H181" s="568"/>
      <c r="I181" s="568"/>
      <c r="J181" s="568"/>
      <c r="K181" s="568"/>
      <c r="L181" s="633"/>
      <c r="M181" s="1028"/>
      <c r="N181" s="634"/>
      <c r="O181" s="534"/>
      <c r="P181" s="568"/>
      <c r="Q181" s="647"/>
      <c r="R181" s="538"/>
      <c r="S181" s="538"/>
      <c r="T181" s="647"/>
      <c r="U181" s="617"/>
    </row>
    <row r="182" spans="1:21" x14ac:dyDescent="0.2">
      <c r="A182" s="529"/>
      <c r="B182" s="529"/>
      <c r="C182" s="529"/>
      <c r="D182" s="529"/>
      <c r="E182" s="529"/>
      <c r="F182" s="567"/>
      <c r="G182" s="567"/>
      <c r="H182" s="568"/>
      <c r="I182" s="568"/>
      <c r="J182" s="568"/>
      <c r="K182" s="568"/>
      <c r="L182" s="533"/>
      <c r="M182" s="902"/>
      <c r="N182" s="568"/>
      <c r="O182" s="568"/>
      <c r="P182" s="568"/>
      <c r="Q182" s="647"/>
      <c r="R182" s="538"/>
      <c r="S182" s="538"/>
      <c r="T182" s="647"/>
      <c r="U182" s="617"/>
    </row>
    <row r="183" spans="1:21" x14ac:dyDescent="0.2">
      <c r="A183" s="529"/>
      <c r="B183" s="529"/>
      <c r="C183" s="529"/>
      <c r="D183" s="529"/>
      <c r="E183" s="529"/>
      <c r="F183" s="567"/>
      <c r="G183" s="567"/>
      <c r="H183" s="568"/>
      <c r="I183" s="568"/>
      <c r="J183" s="568"/>
      <c r="K183" s="568"/>
      <c r="L183" s="533"/>
      <c r="M183" s="902"/>
      <c r="N183" s="568"/>
      <c r="O183" s="568"/>
      <c r="P183" s="568"/>
      <c r="Q183" s="647"/>
      <c r="R183" s="538"/>
      <c r="S183" s="538"/>
      <c r="T183" s="647"/>
      <c r="U183" s="617"/>
    </row>
    <row r="184" spans="1:21" x14ac:dyDescent="0.2">
      <c r="A184" s="529"/>
      <c r="B184" s="529"/>
      <c r="C184" s="529"/>
      <c r="D184" s="529"/>
      <c r="E184" s="529"/>
      <c r="F184" s="567"/>
      <c r="G184" s="567"/>
      <c r="H184" s="568"/>
      <c r="I184" s="568"/>
      <c r="J184" s="568"/>
      <c r="K184" s="568"/>
      <c r="L184" s="533"/>
      <c r="M184" s="902"/>
      <c r="N184" s="568"/>
      <c r="O184" s="568"/>
      <c r="P184" s="568"/>
      <c r="Q184" s="647"/>
      <c r="R184" s="538"/>
      <c r="S184" s="538"/>
      <c r="T184" s="647"/>
      <c r="U184" s="617"/>
    </row>
    <row r="185" spans="1:21" x14ac:dyDescent="0.2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1037"/>
      <c r="M185" s="1031"/>
      <c r="N185" s="568"/>
      <c r="O185" s="568"/>
      <c r="P185" s="568"/>
      <c r="Q185" s="647"/>
      <c r="R185" s="538"/>
      <c r="S185" s="538"/>
      <c r="T185" s="647"/>
      <c r="U185" s="617"/>
    </row>
    <row r="186" spans="1:21" ht="20.25" x14ac:dyDescent="0.3">
      <c r="A186" s="652"/>
      <c r="B186" s="529"/>
      <c r="C186" s="529"/>
      <c r="D186" s="529"/>
      <c r="E186" s="529"/>
      <c r="F186" s="567"/>
      <c r="G186" s="567"/>
      <c r="H186" s="568"/>
      <c r="I186" s="568"/>
      <c r="J186" s="568"/>
      <c r="K186" s="568"/>
      <c r="L186" s="533"/>
      <c r="M186" s="902"/>
      <c r="N186" s="568"/>
      <c r="O186" s="568"/>
      <c r="P186" s="568"/>
      <c r="Q186" s="647"/>
      <c r="R186" s="538"/>
      <c r="S186" s="538"/>
      <c r="T186" s="647"/>
      <c r="U186" s="617"/>
    </row>
    <row r="187" spans="1:21" x14ac:dyDescent="0.2">
      <c r="A187" s="529"/>
      <c r="B187" s="529"/>
      <c r="C187" s="529"/>
      <c r="D187" s="529"/>
      <c r="E187" s="529"/>
      <c r="F187" s="567"/>
      <c r="G187" s="567"/>
      <c r="H187" s="568"/>
      <c r="I187" s="568"/>
      <c r="J187" s="568"/>
      <c r="R187" s="549"/>
      <c r="S187" s="549"/>
      <c r="U187" s="629"/>
    </row>
    <row r="188" spans="1:21" x14ac:dyDescent="0.2">
      <c r="A188" s="529"/>
      <c r="B188" s="529"/>
      <c r="C188" s="529"/>
      <c r="D188" s="529"/>
      <c r="E188" s="529"/>
      <c r="F188" s="567"/>
      <c r="G188" s="567"/>
      <c r="H188" s="568"/>
      <c r="I188" s="568"/>
      <c r="J188" s="568"/>
      <c r="R188" s="549"/>
      <c r="S188" s="549"/>
      <c r="U188" s="629"/>
    </row>
    <row r="189" spans="1:21" x14ac:dyDescent="0.2">
      <c r="A189" s="529"/>
      <c r="B189" s="616"/>
      <c r="C189" s="616"/>
      <c r="D189" s="616"/>
      <c r="E189" s="529"/>
      <c r="F189" s="567"/>
      <c r="G189" s="567"/>
      <c r="H189" s="568"/>
      <c r="I189" s="568"/>
      <c r="J189" s="568"/>
      <c r="R189" s="549"/>
      <c r="S189" s="549"/>
      <c r="U189" s="629"/>
    </row>
    <row r="190" spans="1:21" x14ac:dyDescent="0.2">
      <c r="A190" s="529"/>
      <c r="B190" s="616"/>
      <c r="C190" s="616"/>
      <c r="D190" s="616"/>
      <c r="E190" s="529"/>
      <c r="F190" s="567"/>
      <c r="G190" s="567"/>
      <c r="H190" s="568"/>
      <c r="I190" s="568"/>
      <c r="J190" s="568"/>
      <c r="R190" s="549"/>
      <c r="S190" s="549"/>
      <c r="U190" s="629"/>
    </row>
    <row r="191" spans="1:21" x14ac:dyDescent="0.2">
      <c r="A191" s="529"/>
      <c r="B191" s="616"/>
      <c r="C191" s="616"/>
      <c r="D191" s="616"/>
      <c r="E191" s="529"/>
      <c r="F191" s="567"/>
      <c r="G191" s="567"/>
      <c r="H191" s="568"/>
      <c r="I191" s="568"/>
      <c r="J191" s="568"/>
      <c r="R191" s="549"/>
      <c r="S191" s="549"/>
      <c r="U191" s="629"/>
    </row>
    <row r="192" spans="1:21" x14ac:dyDescent="0.2">
      <c r="A192" s="529"/>
      <c r="B192" s="649"/>
      <c r="C192" s="616"/>
      <c r="D192" s="616"/>
      <c r="E192" s="529"/>
      <c r="F192" s="567"/>
      <c r="G192" s="567"/>
      <c r="H192" s="568"/>
      <c r="I192" s="568"/>
      <c r="J192" s="568"/>
      <c r="R192" s="549"/>
      <c r="S192" s="549"/>
      <c r="U192" s="629"/>
    </row>
    <row r="193" spans="1:21" x14ac:dyDescent="0.2">
      <c r="A193" s="529"/>
      <c r="B193" s="620"/>
      <c r="C193" s="536"/>
      <c r="D193" s="635"/>
      <c r="E193" s="529"/>
      <c r="F193" s="567"/>
      <c r="G193" s="567"/>
      <c r="H193" s="568"/>
      <c r="I193" s="568"/>
      <c r="J193" s="568"/>
      <c r="R193" s="549"/>
      <c r="S193" s="549"/>
      <c r="U193" s="629"/>
    </row>
    <row r="194" spans="1:21" x14ac:dyDescent="0.2">
      <c r="A194" s="529"/>
      <c r="B194" s="616"/>
      <c r="C194" s="616"/>
      <c r="D194" s="616"/>
      <c r="E194" s="529"/>
      <c r="F194" s="567"/>
      <c r="G194" s="567"/>
      <c r="H194" s="568"/>
      <c r="I194" s="568"/>
      <c r="J194" s="568"/>
      <c r="R194" s="549"/>
      <c r="S194" s="549"/>
      <c r="U194" s="629"/>
    </row>
    <row r="195" spans="1:21" x14ac:dyDescent="0.2">
      <c r="B195" s="653" t="e">
        <f>B192/G189</f>
        <v>#DIV/0!</v>
      </c>
      <c r="C195" s="654" t="e">
        <f>+C192/G189</f>
        <v>#DIV/0!</v>
      </c>
      <c r="D195" s="655" t="e">
        <f>+D192/G189</f>
        <v>#DIV/0!</v>
      </c>
      <c r="R195" s="549"/>
      <c r="S195" s="549"/>
      <c r="U195" s="629"/>
    </row>
    <row r="196" spans="1:21" x14ac:dyDescent="0.2">
      <c r="B196" s="656" t="s">
        <v>589</v>
      </c>
      <c r="C196" s="634" t="s">
        <v>590</v>
      </c>
      <c r="D196" s="657" t="s">
        <v>591</v>
      </c>
      <c r="R196" s="549"/>
      <c r="S196" s="549"/>
      <c r="U196" s="629"/>
    </row>
    <row r="197" spans="1:21" ht="13.5" thickBot="1" x14ac:dyDescent="0.25">
      <c r="B197" s="658"/>
      <c r="C197" s="659"/>
      <c r="D197" s="660"/>
      <c r="R197" s="549"/>
      <c r="S197" s="549"/>
      <c r="U197" s="629"/>
    </row>
    <row r="198" spans="1:21" x14ac:dyDescent="0.2">
      <c r="A198"/>
      <c r="B198"/>
      <c r="C198"/>
      <c r="D198"/>
      <c r="E198"/>
      <c r="F198"/>
      <c r="G198"/>
      <c r="H198"/>
      <c r="I198"/>
      <c r="J198"/>
      <c r="K198"/>
      <c r="L198" s="29"/>
      <c r="M198" s="906"/>
      <c r="N198"/>
      <c r="O198"/>
      <c r="P198"/>
      <c r="Q198"/>
      <c r="R198" s="549"/>
      <c r="S198" s="549"/>
      <c r="T198"/>
      <c r="U198"/>
    </row>
    <row r="199" spans="1:21" x14ac:dyDescent="0.2">
      <c r="R199" s="549"/>
      <c r="S199" s="549"/>
      <c r="U199" s="629"/>
    </row>
    <row r="200" spans="1:21" x14ac:dyDescent="0.2">
      <c r="R200" s="549"/>
      <c r="S200" s="549"/>
      <c r="U200" s="629"/>
    </row>
    <row r="201" spans="1:21" x14ac:dyDescent="0.2">
      <c r="R201" s="549"/>
      <c r="S201" s="549"/>
      <c r="U201" s="629"/>
    </row>
    <row r="202" spans="1:21" x14ac:dyDescent="0.2">
      <c r="U202" s="629"/>
    </row>
    <row r="203" spans="1:21" x14ac:dyDescent="0.2">
      <c r="U203" s="629"/>
    </row>
    <row r="204" spans="1:21" x14ac:dyDescent="0.2">
      <c r="U204" s="629"/>
    </row>
    <row r="205" spans="1:21" x14ac:dyDescent="0.2">
      <c r="U205" s="629"/>
    </row>
    <row r="206" spans="1:21" x14ac:dyDescent="0.2">
      <c r="U206" s="629"/>
    </row>
    <row r="207" spans="1:21" x14ac:dyDescent="0.2">
      <c r="U207" s="629"/>
    </row>
    <row r="208" spans="1:21" x14ac:dyDescent="0.2">
      <c r="U208" s="629"/>
    </row>
    <row r="209" spans="21:21" x14ac:dyDescent="0.2">
      <c r="U209" s="629"/>
    </row>
    <row r="210" spans="21:21" x14ac:dyDescent="0.2">
      <c r="U210" s="629"/>
    </row>
    <row r="211" spans="21:21" x14ac:dyDescent="0.2">
      <c r="U211" s="629"/>
    </row>
    <row r="212" spans="21:21" x14ac:dyDescent="0.2">
      <c r="U212" s="629"/>
    </row>
    <row r="213" spans="21:21" x14ac:dyDescent="0.2">
      <c r="U213" s="629"/>
    </row>
    <row r="214" spans="21:21" x14ac:dyDescent="0.2">
      <c r="U214" s="629"/>
    </row>
    <row r="215" spans="21:21" x14ac:dyDescent="0.2">
      <c r="U215" s="629"/>
    </row>
    <row r="216" spans="21:21" x14ac:dyDescent="0.2">
      <c r="U216" s="629"/>
    </row>
    <row r="217" spans="21:21" x14ac:dyDescent="0.2">
      <c r="U217" s="629"/>
    </row>
    <row r="218" spans="21:21" x14ac:dyDescent="0.2">
      <c r="U218" s="629"/>
    </row>
    <row r="219" spans="21:21" x14ac:dyDescent="0.2">
      <c r="U219" s="629"/>
    </row>
    <row r="220" spans="21:21" x14ac:dyDescent="0.2">
      <c r="U220" s="629"/>
    </row>
    <row r="221" spans="21:21" x14ac:dyDescent="0.2">
      <c r="U221" s="629"/>
    </row>
    <row r="222" spans="21:21" x14ac:dyDescent="0.2">
      <c r="U222" s="629"/>
    </row>
    <row r="223" spans="21:21" x14ac:dyDescent="0.2">
      <c r="U223" s="629"/>
    </row>
    <row r="224" spans="21:21" x14ac:dyDescent="0.2">
      <c r="U224" s="629"/>
    </row>
    <row r="225" spans="1:22" x14ac:dyDescent="0.2">
      <c r="U225" s="629"/>
    </row>
    <row r="226" spans="1:22" x14ac:dyDescent="0.2">
      <c r="U226" s="629"/>
    </row>
    <row r="227" spans="1:22" x14ac:dyDescent="0.2">
      <c r="U227" s="629"/>
    </row>
    <row r="228" spans="1:22" x14ac:dyDescent="0.2">
      <c r="U228" s="629"/>
    </row>
    <row r="229" spans="1:22" x14ac:dyDescent="0.2">
      <c r="U229" s="629"/>
    </row>
    <row r="230" spans="1:22" x14ac:dyDescent="0.2">
      <c r="U230" s="629"/>
    </row>
    <row r="231" spans="1:22" x14ac:dyDescent="0.2">
      <c r="U231" s="629"/>
    </row>
    <row r="232" spans="1:22" x14ac:dyDescent="0.2">
      <c r="A232" s="488"/>
      <c r="B232" s="488"/>
      <c r="C232" s="489"/>
      <c r="D232" s="528"/>
      <c r="E232" s="626"/>
      <c r="F232" s="531"/>
      <c r="G232" s="531"/>
      <c r="H232" s="541"/>
      <c r="I232" s="534"/>
      <c r="J232" s="534"/>
      <c r="K232" s="534"/>
      <c r="L232" s="604"/>
      <c r="M232" s="1023"/>
      <c r="N232" s="536"/>
      <c r="O232" s="536"/>
      <c r="P232" s="536"/>
      <c r="Q232" s="537"/>
      <c r="R232" s="626"/>
      <c r="S232" s="626"/>
      <c r="T232" s="537"/>
      <c r="U232" s="537"/>
      <c r="V232" s="618"/>
    </row>
    <row r="233" spans="1:22" ht="20.25" x14ac:dyDescent="0.3">
      <c r="A233" s="461"/>
      <c r="Q233" s="459"/>
      <c r="R233" s="460"/>
      <c r="S233" s="460"/>
      <c r="T233" s="459"/>
      <c r="U233" s="460"/>
    </row>
    <row r="234" spans="1:22" x14ac:dyDescent="0.2">
      <c r="A234" s="464"/>
      <c r="B234" s="465"/>
      <c r="C234" s="464"/>
      <c r="D234" s="464"/>
      <c r="E234" s="464"/>
      <c r="F234" s="466"/>
      <c r="G234" s="467"/>
      <c r="H234" s="468"/>
      <c r="I234" s="468"/>
      <c r="J234" s="469"/>
      <c r="K234" s="470"/>
      <c r="L234" s="471"/>
      <c r="M234" s="1019"/>
      <c r="N234" s="471"/>
      <c r="O234" s="471"/>
      <c r="P234" s="471"/>
      <c r="Q234" s="472"/>
      <c r="R234" s="464"/>
      <c r="S234" s="464"/>
      <c r="T234" s="472"/>
      <c r="U234" s="473"/>
    </row>
    <row r="235" spans="1:22" ht="13.5" thickBot="1" x14ac:dyDescent="0.25">
      <c r="A235" s="474"/>
      <c r="B235" s="474"/>
      <c r="C235" s="474"/>
      <c r="D235" s="474"/>
      <c r="E235" s="474"/>
      <c r="F235" s="475"/>
      <c r="G235" s="475"/>
      <c r="H235" s="476"/>
      <c r="I235" s="476"/>
      <c r="J235" s="476"/>
      <c r="K235" s="476"/>
      <c r="L235" s="1033"/>
      <c r="M235" s="1020"/>
      <c r="N235" s="476"/>
      <c r="O235" s="476"/>
      <c r="P235" s="476"/>
      <c r="Q235" s="477"/>
      <c r="R235" s="478"/>
      <c r="S235" s="478"/>
      <c r="T235" s="479"/>
      <c r="U235" s="453"/>
    </row>
    <row r="236" spans="1:22" x14ac:dyDescent="0.2">
      <c r="A236"/>
      <c r="B236"/>
      <c r="C236"/>
      <c r="D236"/>
      <c r="E236"/>
      <c r="F236"/>
      <c r="G236"/>
      <c r="H236"/>
      <c r="I236"/>
      <c r="J236"/>
      <c r="K236"/>
      <c r="L236" s="29"/>
      <c r="M236" s="906"/>
      <c r="N236"/>
      <c r="O236"/>
      <c r="P236"/>
      <c r="Q236"/>
      <c r="T236"/>
      <c r="U236"/>
      <c r="V236" s="618"/>
    </row>
    <row r="237" spans="1:22" x14ac:dyDescent="0.2">
      <c r="U237" s="629"/>
    </row>
    <row r="238" spans="1:22" x14ac:dyDescent="0.2">
      <c r="U238" s="629"/>
    </row>
    <row r="239" spans="1:22" x14ac:dyDescent="0.2">
      <c r="U239" s="629"/>
    </row>
    <row r="240" spans="1:22" x14ac:dyDescent="0.2">
      <c r="U240" s="629"/>
    </row>
    <row r="241" spans="21:21" x14ac:dyDescent="0.2">
      <c r="U241" s="629"/>
    </row>
    <row r="242" spans="21:21" x14ac:dyDescent="0.2">
      <c r="U242" s="629"/>
    </row>
    <row r="243" spans="21:21" x14ac:dyDescent="0.2">
      <c r="U243" s="629"/>
    </row>
    <row r="244" spans="21:21" x14ac:dyDescent="0.2">
      <c r="U244" s="629"/>
    </row>
    <row r="245" spans="21:21" x14ac:dyDescent="0.2">
      <c r="U245" s="629"/>
    </row>
    <row r="246" spans="21:21" x14ac:dyDescent="0.2">
      <c r="U246" s="629"/>
    </row>
    <row r="247" spans="21:21" x14ac:dyDescent="0.2">
      <c r="U247" s="629"/>
    </row>
    <row r="248" spans="21:21" x14ac:dyDescent="0.2">
      <c r="U248" s="629"/>
    </row>
    <row r="249" spans="21:21" x14ac:dyDescent="0.2">
      <c r="U249" s="629"/>
    </row>
    <row r="250" spans="21:21" x14ac:dyDescent="0.2">
      <c r="U250" s="629"/>
    </row>
    <row r="251" spans="21:21" x14ac:dyDescent="0.2">
      <c r="U251" s="629"/>
    </row>
    <row r="252" spans="21:21" x14ac:dyDescent="0.2">
      <c r="U252" s="629"/>
    </row>
    <row r="253" spans="21:21" x14ac:dyDescent="0.2">
      <c r="U253" s="629"/>
    </row>
    <row r="254" spans="21:21" x14ac:dyDescent="0.2">
      <c r="U254" s="629"/>
    </row>
    <row r="255" spans="21:21" x14ac:dyDescent="0.2">
      <c r="U255" s="629"/>
    </row>
    <row r="256" spans="21:21" x14ac:dyDescent="0.2">
      <c r="U256" s="629"/>
    </row>
    <row r="257" spans="21:21" x14ac:dyDescent="0.2">
      <c r="U257" s="629"/>
    </row>
    <row r="258" spans="21:21" x14ac:dyDescent="0.2">
      <c r="U258" s="629"/>
    </row>
    <row r="259" spans="21:21" x14ac:dyDescent="0.2">
      <c r="U259" s="629"/>
    </row>
    <row r="260" spans="21:21" x14ac:dyDescent="0.2">
      <c r="U260" s="629"/>
    </row>
    <row r="261" spans="21:21" x14ac:dyDescent="0.2">
      <c r="U261" s="629"/>
    </row>
    <row r="262" spans="21:21" x14ac:dyDescent="0.2">
      <c r="U262" s="629"/>
    </row>
    <row r="263" spans="21:21" x14ac:dyDescent="0.2">
      <c r="U263" s="629"/>
    </row>
    <row r="264" spans="21:21" x14ac:dyDescent="0.2">
      <c r="U264" s="629"/>
    </row>
    <row r="265" spans="21:21" x14ac:dyDescent="0.2">
      <c r="U265" s="629"/>
    </row>
    <row r="266" spans="21:21" x14ac:dyDescent="0.2">
      <c r="U266" s="629"/>
    </row>
    <row r="267" spans="21:21" x14ac:dyDescent="0.2">
      <c r="U267" s="629"/>
    </row>
    <row r="268" spans="21:21" x14ac:dyDescent="0.2">
      <c r="U268" s="629"/>
    </row>
    <row r="269" spans="21:21" x14ac:dyDescent="0.2">
      <c r="U269" s="629"/>
    </row>
    <row r="270" spans="21:21" x14ac:dyDescent="0.2">
      <c r="U270" s="629"/>
    </row>
    <row r="271" spans="21:21" x14ac:dyDescent="0.2">
      <c r="U271" s="629"/>
    </row>
    <row r="272" spans="21:21" x14ac:dyDescent="0.2">
      <c r="U272" s="629"/>
    </row>
    <row r="273" spans="21:21" x14ac:dyDescent="0.2">
      <c r="U273" s="629"/>
    </row>
    <row r="274" spans="21:21" x14ac:dyDescent="0.2">
      <c r="U274" s="629"/>
    </row>
    <row r="275" spans="21:21" x14ac:dyDescent="0.2">
      <c r="U275" s="629"/>
    </row>
    <row r="276" spans="21:21" x14ac:dyDescent="0.2">
      <c r="U276" s="629"/>
    </row>
    <row r="277" spans="21:21" x14ac:dyDescent="0.2">
      <c r="U277" s="629"/>
    </row>
    <row r="278" spans="21:21" x14ac:dyDescent="0.2">
      <c r="U278" s="629"/>
    </row>
    <row r="279" spans="21:21" x14ac:dyDescent="0.2">
      <c r="U279" s="629"/>
    </row>
    <row r="280" spans="21:21" x14ac:dyDescent="0.2">
      <c r="U280" s="629"/>
    </row>
    <row r="281" spans="21:21" x14ac:dyDescent="0.2">
      <c r="U281" s="629"/>
    </row>
    <row r="282" spans="21:21" x14ac:dyDescent="0.2">
      <c r="U282" s="629"/>
    </row>
    <row r="283" spans="21:21" x14ac:dyDescent="0.2">
      <c r="U283" s="629"/>
    </row>
    <row r="284" spans="21:21" x14ac:dyDescent="0.2">
      <c r="U284" s="629"/>
    </row>
    <row r="285" spans="21:21" x14ac:dyDescent="0.2">
      <c r="U285" s="629"/>
    </row>
    <row r="286" spans="21:21" x14ac:dyDescent="0.2">
      <c r="U286" s="629"/>
    </row>
    <row r="287" spans="21:21" x14ac:dyDescent="0.2">
      <c r="U287" s="629"/>
    </row>
    <row r="288" spans="21:21" x14ac:dyDescent="0.2">
      <c r="U288" s="629"/>
    </row>
    <row r="289" spans="21:21" x14ac:dyDescent="0.2">
      <c r="U289" s="629"/>
    </row>
    <row r="290" spans="21:21" x14ac:dyDescent="0.2">
      <c r="U290" s="629"/>
    </row>
    <row r="291" spans="21:21" x14ac:dyDescent="0.2">
      <c r="U291" s="629"/>
    </row>
    <row r="292" spans="21:21" x14ac:dyDescent="0.2">
      <c r="U292" s="629"/>
    </row>
    <row r="293" spans="21:21" x14ac:dyDescent="0.2">
      <c r="U293" s="629"/>
    </row>
    <row r="294" spans="21:21" x14ac:dyDescent="0.2">
      <c r="U294" s="629"/>
    </row>
    <row r="295" spans="21:21" x14ac:dyDescent="0.2">
      <c r="U295" s="629"/>
    </row>
    <row r="296" spans="21:21" x14ac:dyDescent="0.2">
      <c r="U296" s="629"/>
    </row>
    <row r="297" spans="21:21" x14ac:dyDescent="0.2">
      <c r="U297" s="629"/>
    </row>
    <row r="298" spans="21:21" x14ac:dyDescent="0.2">
      <c r="U298" s="629"/>
    </row>
    <row r="299" spans="21:21" x14ac:dyDescent="0.2">
      <c r="U299" s="629"/>
    </row>
    <row r="300" spans="21:21" x14ac:dyDescent="0.2">
      <c r="U300" s="629"/>
    </row>
    <row r="301" spans="21:21" x14ac:dyDescent="0.2">
      <c r="U301" s="629"/>
    </row>
    <row r="302" spans="21:21" x14ac:dyDescent="0.2">
      <c r="U302" s="629"/>
    </row>
    <row r="303" spans="21:21" x14ac:dyDescent="0.2">
      <c r="U303" s="629"/>
    </row>
    <row r="304" spans="21:21" x14ac:dyDescent="0.2">
      <c r="U304" s="629"/>
    </row>
    <row r="305" spans="21:21" x14ac:dyDescent="0.2">
      <c r="U305" s="629"/>
    </row>
    <row r="306" spans="21:21" x14ac:dyDescent="0.2">
      <c r="U306" s="629"/>
    </row>
    <row r="307" spans="21:21" x14ac:dyDescent="0.2">
      <c r="U307" s="629"/>
    </row>
    <row r="308" spans="21:21" x14ac:dyDescent="0.2">
      <c r="U308" s="629"/>
    </row>
    <row r="309" spans="21:21" x14ac:dyDescent="0.2">
      <c r="U309" s="629"/>
    </row>
    <row r="310" spans="21:21" x14ac:dyDescent="0.2">
      <c r="U310" s="629"/>
    </row>
    <row r="311" spans="21:21" x14ac:dyDescent="0.2">
      <c r="U311" s="629"/>
    </row>
    <row r="312" spans="21:21" x14ac:dyDescent="0.2">
      <c r="U312" s="629"/>
    </row>
    <row r="313" spans="21:21" x14ac:dyDescent="0.2">
      <c r="U313" s="629"/>
    </row>
    <row r="314" spans="21:21" x14ac:dyDescent="0.2">
      <c r="U314" s="629"/>
    </row>
    <row r="315" spans="21:21" x14ac:dyDescent="0.2">
      <c r="U315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95"/>
  <sheetViews>
    <sheetView zoomScale="75" workbookViewId="0">
      <selection activeCell="G30" sqref="G30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458" customWidth="1"/>
    <col min="13" max="14" width="13.140625" style="458" customWidth="1"/>
    <col min="15" max="15" width="19.5703125" style="458" customWidth="1"/>
    <col min="16" max="16" width="27.85546875" style="561" customWidth="1"/>
    <col min="17" max="17" width="6" style="35" customWidth="1"/>
    <col min="18" max="18" width="6.42578125" style="35" customWidth="1"/>
    <col min="19" max="19" width="2.7109375" style="561" customWidth="1"/>
    <col min="20" max="20" width="13.140625" style="35" customWidth="1"/>
  </cols>
  <sheetData>
    <row r="1" spans="1:112" ht="8.25" customHeight="1" x14ac:dyDescent="0.25">
      <c r="A1" s="457"/>
      <c r="P1" s="459"/>
      <c r="Q1" s="460"/>
      <c r="R1" s="460"/>
      <c r="S1" s="459"/>
      <c r="T1" s="460"/>
    </row>
    <row r="2" spans="1:112" ht="20.25" x14ac:dyDescent="0.3">
      <c r="A2" s="461" t="s">
        <v>458</v>
      </c>
      <c r="E2" s="35">
        <v>30</v>
      </c>
      <c r="P2" s="462">
        <f ca="1">NOW()</f>
        <v>41885.92788761574</v>
      </c>
      <c r="Q2" s="463"/>
      <c r="R2" s="463"/>
      <c r="S2" s="459"/>
      <c r="T2" s="460"/>
    </row>
    <row r="3" spans="1:112" x14ac:dyDescent="0.2">
      <c r="A3" s="464" t="s">
        <v>26</v>
      </c>
      <c r="B3" s="465" t="s">
        <v>592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471" t="s">
        <v>224</v>
      </c>
      <c r="N3" s="471" t="s">
        <v>2</v>
      </c>
      <c r="O3" s="471" t="s">
        <v>50</v>
      </c>
      <c r="P3" s="472" t="s">
        <v>465</v>
      </c>
      <c r="Q3" s="464" t="s">
        <v>466</v>
      </c>
      <c r="R3" s="464" t="s">
        <v>467</v>
      </c>
      <c r="S3" s="472"/>
      <c r="T3" s="473" t="s">
        <v>50</v>
      </c>
    </row>
    <row r="4" spans="1:112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476" t="s">
        <v>474</v>
      </c>
      <c r="M4" s="476" t="s">
        <v>474</v>
      </c>
      <c r="N4" s="476" t="s">
        <v>474</v>
      </c>
      <c r="O4" s="476" t="s">
        <v>51</v>
      </c>
      <c r="P4" s="477" t="s">
        <v>475</v>
      </c>
      <c r="Q4" s="478" t="s">
        <v>281</v>
      </c>
      <c r="R4" s="478" t="s">
        <v>281</v>
      </c>
      <c r="S4" s="479"/>
      <c r="T4" s="453" t="s">
        <v>476</v>
      </c>
    </row>
    <row r="5" spans="1:112" ht="12" customHeight="1" x14ac:dyDescent="0.2">
      <c r="A5" s="480" t="s">
        <v>477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482"/>
      <c r="M5" s="482"/>
      <c r="N5" s="482"/>
      <c r="O5" s="482"/>
      <c r="P5" s="479"/>
      <c r="Q5" s="478"/>
      <c r="R5" s="478"/>
      <c r="S5" s="479"/>
      <c r="T5" s="432"/>
    </row>
    <row r="6" spans="1:112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 t="shared" ref="E6:E22" si="0">$E$2</f>
        <v>30</v>
      </c>
      <c r="F6" s="186">
        <v>35714</v>
      </c>
      <c r="G6" s="186">
        <f t="shared" ref="G6:G19" si="1">SUM(E6*F6)</f>
        <v>1071420</v>
      </c>
      <c r="H6" s="483">
        <f t="shared" ref="H6:H12" si="2">SUM(I6*30.4)</f>
        <v>2.9092799999999999</v>
      </c>
      <c r="I6" s="173">
        <v>9.5699999999999993E-2</v>
      </c>
      <c r="J6" s="174">
        <v>9.2999999999999992E-3</v>
      </c>
      <c r="K6" s="173">
        <f t="shared" ref="K6:K19" si="3">SUM(I6+J6)</f>
        <v>0.105</v>
      </c>
      <c r="L6" s="484">
        <f>SUM(I6*G6)</f>
        <v>102534.89399999999</v>
      </c>
      <c r="M6" s="484">
        <f>SUM(J6*G6)</f>
        <v>9964.2059999999983</v>
      </c>
      <c r="N6" s="484">
        <f>SUM(L6:M6)</f>
        <v>112499.09999999998</v>
      </c>
      <c r="O6" s="484" t="s">
        <v>478</v>
      </c>
      <c r="P6" s="172" t="s">
        <v>479</v>
      </c>
      <c r="Q6" s="485" t="s">
        <v>477</v>
      </c>
      <c r="R6" s="485" t="s">
        <v>477</v>
      </c>
      <c r="S6" s="172"/>
      <c r="T6" s="172" t="s">
        <v>480</v>
      </c>
      <c r="U6" s="168"/>
      <c r="V6" s="168"/>
      <c r="W6" s="168"/>
      <c r="X6" s="168"/>
      <c r="Y6" s="168"/>
      <c r="Z6" s="168"/>
      <c r="AA6" s="168"/>
      <c r="AB6" s="168"/>
      <c r="AC6" s="486"/>
      <c r="AD6" s="486"/>
    </row>
    <row r="7" spans="1:112" s="487" customFormat="1" ht="12.75" customHeight="1" x14ac:dyDescent="0.2">
      <c r="A7" s="184"/>
      <c r="B7" s="184"/>
      <c r="C7" s="185"/>
      <c r="D7" s="185"/>
      <c r="E7" s="180"/>
      <c r="F7" s="186"/>
      <c r="G7" s="186"/>
      <c r="H7" s="483"/>
      <c r="I7" s="173"/>
      <c r="J7" s="174"/>
      <c r="K7" s="173"/>
      <c r="L7" s="484"/>
      <c r="M7" s="484"/>
      <c r="N7" s="484"/>
      <c r="O7" s="484"/>
      <c r="P7" s="172"/>
      <c r="Q7" s="485"/>
      <c r="R7" s="485"/>
      <c r="S7" s="172"/>
      <c r="T7" s="172"/>
      <c r="U7" s="168"/>
      <c r="V7" s="168"/>
      <c r="W7" s="168"/>
      <c r="X7" s="168"/>
      <c r="Y7" s="168"/>
      <c r="Z7" s="168"/>
      <c r="AA7" s="168"/>
      <c r="AB7" s="168"/>
      <c r="AC7" s="486"/>
      <c r="AD7" s="486"/>
    </row>
    <row r="8" spans="1:112" s="193" customFormat="1" x14ac:dyDescent="0.2">
      <c r="A8" s="488">
        <v>24754</v>
      </c>
      <c r="B8" s="488" t="s">
        <v>313</v>
      </c>
      <c r="C8" s="489" t="s">
        <v>481</v>
      </c>
      <c r="D8" s="185">
        <v>38472</v>
      </c>
      <c r="E8" s="180">
        <f t="shared" si="0"/>
        <v>30</v>
      </c>
      <c r="F8" s="490">
        <v>1000</v>
      </c>
      <c r="G8" s="491">
        <f t="shared" si="1"/>
        <v>30000</v>
      </c>
      <c r="H8" s="492">
        <f t="shared" si="2"/>
        <v>2.7572800000000002</v>
      </c>
      <c r="I8" s="493">
        <v>9.0700000000000003E-2</v>
      </c>
      <c r="J8" s="493">
        <v>9.2999999999999992E-3</v>
      </c>
      <c r="K8" s="494">
        <f t="shared" si="3"/>
        <v>0.1</v>
      </c>
      <c r="L8" s="495">
        <f t="shared" ref="L8:L16" si="4">SUM(I8*G8)</f>
        <v>2721</v>
      </c>
      <c r="M8" s="495">
        <f t="shared" ref="M8:M22" si="5">SUM(J8*G8)</f>
        <v>279</v>
      </c>
      <c r="N8" s="495">
        <f t="shared" ref="N8:N22" si="6">SUM(L8:M8)</f>
        <v>3000</v>
      </c>
      <c r="O8" s="495" t="s">
        <v>482</v>
      </c>
      <c r="P8" s="496" t="s">
        <v>483</v>
      </c>
      <c r="Q8" s="497" t="s">
        <v>477</v>
      </c>
      <c r="R8" s="497" t="s">
        <v>477</v>
      </c>
      <c r="S8" s="498"/>
      <c r="T8" s="499"/>
      <c r="U8" s="498"/>
      <c r="V8" s="498"/>
      <c r="W8" s="498"/>
      <c r="X8" s="498"/>
      <c r="Y8" s="498"/>
      <c r="Z8" s="498"/>
      <c r="AA8" s="498"/>
      <c r="AB8" s="500"/>
      <c r="AC8" s="500"/>
      <c r="AD8" s="500"/>
      <c r="AE8" s="501"/>
      <c r="AF8" s="501"/>
      <c r="AG8" s="501"/>
      <c r="AH8" s="501"/>
      <c r="AI8" s="501"/>
    </row>
    <row r="9" spans="1:112" s="506" customFormat="1" ht="12.75" customHeight="1" x14ac:dyDescent="0.2">
      <c r="A9" s="488">
        <v>25031</v>
      </c>
      <c r="B9" s="488" t="s">
        <v>314</v>
      </c>
      <c r="C9" s="489">
        <v>35400</v>
      </c>
      <c r="D9" s="489">
        <v>39051</v>
      </c>
      <c r="E9" s="180">
        <f t="shared" si="0"/>
        <v>30</v>
      </c>
      <c r="F9" s="490">
        <v>0</v>
      </c>
      <c r="G9" s="490">
        <f t="shared" si="1"/>
        <v>0</v>
      </c>
      <c r="H9" s="502">
        <f t="shared" si="2"/>
        <v>0</v>
      </c>
      <c r="I9" s="493">
        <v>0</v>
      </c>
      <c r="J9" s="493">
        <v>0</v>
      </c>
      <c r="K9" s="493">
        <f t="shared" si="3"/>
        <v>0</v>
      </c>
      <c r="L9" s="503">
        <f t="shared" si="4"/>
        <v>0</v>
      </c>
      <c r="M9" s="503">
        <f t="shared" si="5"/>
        <v>0</v>
      </c>
      <c r="N9" s="503">
        <f t="shared" si="6"/>
        <v>0</v>
      </c>
      <c r="O9" s="503" t="s">
        <v>478</v>
      </c>
      <c r="P9" s="504" t="s">
        <v>484</v>
      </c>
      <c r="Q9" s="505" t="s">
        <v>477</v>
      </c>
      <c r="R9" s="505" t="s">
        <v>477</v>
      </c>
      <c r="S9" s="504"/>
      <c r="T9" s="499"/>
      <c r="U9" s="498"/>
      <c r="V9" s="498"/>
      <c r="W9" s="498"/>
      <c r="X9" s="498"/>
      <c r="Y9" s="498"/>
      <c r="Z9" s="498"/>
      <c r="AA9" s="498"/>
      <c r="AB9" s="500"/>
      <c r="AC9" s="500"/>
      <c r="AD9" s="500"/>
      <c r="AE9" s="501"/>
      <c r="AF9" s="501"/>
      <c r="AG9" s="501"/>
      <c r="AH9" s="501"/>
      <c r="AI9" s="501"/>
    </row>
    <row r="10" spans="1:112" s="716" customFormat="1" x14ac:dyDescent="0.2">
      <c r="A10" s="571">
        <v>25374</v>
      </c>
      <c r="B10" s="571" t="s">
        <v>485</v>
      </c>
      <c r="C10" s="507">
        <v>35947</v>
      </c>
      <c r="D10" s="507">
        <v>37225</v>
      </c>
      <c r="E10" s="571">
        <f t="shared" si="0"/>
        <v>30</v>
      </c>
      <c r="F10" s="599">
        <v>23000</v>
      </c>
      <c r="G10" s="599">
        <f t="shared" si="1"/>
        <v>690000</v>
      </c>
      <c r="H10" s="717">
        <f t="shared" si="2"/>
        <v>1.2372799999999999</v>
      </c>
      <c r="I10" s="171">
        <v>4.07E-2</v>
      </c>
      <c r="J10" s="171">
        <v>9.2999999999999992E-3</v>
      </c>
      <c r="K10" s="171">
        <f t="shared" si="3"/>
        <v>0.05</v>
      </c>
      <c r="L10" s="597">
        <f t="shared" si="4"/>
        <v>28083</v>
      </c>
      <c r="M10" s="597">
        <f>SUM(J10*G10)</f>
        <v>6416.9999999999991</v>
      </c>
      <c r="N10" s="597">
        <f>SUM(L10:M10)</f>
        <v>34500</v>
      </c>
      <c r="O10" s="718" t="s">
        <v>482</v>
      </c>
      <c r="P10" s="176" t="s">
        <v>486</v>
      </c>
      <c r="Q10" s="719" t="s">
        <v>477</v>
      </c>
      <c r="R10" s="719" t="s">
        <v>477</v>
      </c>
      <c r="S10" s="176"/>
      <c r="T10" s="720"/>
      <c r="U10" s="721"/>
      <c r="V10" s="721"/>
      <c r="W10" s="721"/>
      <c r="X10" s="721"/>
      <c r="Y10" s="721"/>
      <c r="Z10" s="721"/>
      <c r="AA10" s="721"/>
      <c r="AB10" s="721"/>
      <c r="AC10" s="721"/>
      <c r="AD10" s="721"/>
      <c r="AE10" s="721"/>
      <c r="AF10" s="721"/>
      <c r="AG10" s="721"/>
      <c r="AH10" s="721"/>
      <c r="AI10" s="721"/>
    </row>
    <row r="11" spans="1:112" s="739" customFormat="1" x14ac:dyDescent="0.2">
      <c r="A11" s="180">
        <v>25394</v>
      </c>
      <c r="B11" s="180" t="s">
        <v>621</v>
      </c>
      <c r="C11" s="181"/>
      <c r="D11" s="181"/>
      <c r="E11" s="180">
        <f t="shared" si="0"/>
        <v>30</v>
      </c>
      <c r="F11" s="733">
        <v>5000</v>
      </c>
      <c r="G11" s="182">
        <f t="shared" si="1"/>
        <v>150000</v>
      </c>
      <c r="H11" s="508">
        <f t="shared" si="2"/>
        <v>0</v>
      </c>
      <c r="I11" s="170">
        <v>0</v>
      </c>
      <c r="J11" s="170">
        <v>0</v>
      </c>
      <c r="K11" s="170">
        <f>SUM(I11+J11)</f>
        <v>0</v>
      </c>
      <c r="L11" s="183">
        <f>SUM(I11*G11)</f>
        <v>0</v>
      </c>
      <c r="M11" s="183">
        <f>SUM(J11*G11)</f>
        <v>0</v>
      </c>
      <c r="N11" s="183">
        <f>SUM(L11:M11)</f>
        <v>0</v>
      </c>
      <c r="O11" s="183" t="s">
        <v>622</v>
      </c>
      <c r="P11" s="175"/>
      <c r="Q11" s="509"/>
      <c r="R11" s="509"/>
      <c r="S11" s="175"/>
      <c r="T11" s="766"/>
      <c r="U11" s="738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</row>
    <row r="12" spans="1:112" s="501" customFormat="1" x14ac:dyDescent="0.2">
      <c r="A12" s="180" t="s">
        <v>487</v>
      </c>
      <c r="B12" s="180" t="s">
        <v>284</v>
      </c>
      <c r="C12" s="181">
        <v>36100</v>
      </c>
      <c r="D12" s="181">
        <v>37925</v>
      </c>
      <c r="E12" s="180">
        <f t="shared" si="0"/>
        <v>30</v>
      </c>
      <c r="F12" s="182">
        <v>40000</v>
      </c>
      <c r="G12" s="182">
        <f t="shared" si="1"/>
        <v>1200000</v>
      </c>
      <c r="H12" s="508">
        <f t="shared" si="2"/>
        <v>1.54128</v>
      </c>
      <c r="I12" s="170">
        <v>5.0700000000000002E-2</v>
      </c>
      <c r="J12" s="170">
        <v>9.2999999999999992E-3</v>
      </c>
      <c r="K12" s="170">
        <f t="shared" si="3"/>
        <v>0.06</v>
      </c>
      <c r="L12" s="183">
        <f>SUM(I12*G12)</f>
        <v>60840</v>
      </c>
      <c r="M12" s="183">
        <f>SUM(J12*G12)</f>
        <v>11159.999999999998</v>
      </c>
      <c r="N12" s="183">
        <f>SUM(L12:M12)</f>
        <v>72000</v>
      </c>
      <c r="O12" s="183" t="s">
        <v>488</v>
      </c>
      <c r="P12" s="510" t="s">
        <v>489</v>
      </c>
      <c r="Q12" s="511" t="s">
        <v>477</v>
      </c>
      <c r="R12" s="511" t="s">
        <v>490</v>
      </c>
      <c r="S12" s="175"/>
      <c r="T12" s="175" t="s">
        <v>491</v>
      </c>
      <c r="U12" s="168"/>
      <c r="V12" s="168"/>
      <c r="W12" s="168"/>
      <c r="X12" s="168"/>
      <c r="Y12" s="168"/>
      <c r="Z12" s="168"/>
      <c r="AA12" s="168"/>
      <c r="AB12" s="498"/>
      <c r="AC12" s="498"/>
      <c r="AD12" s="498"/>
      <c r="AE12" s="193"/>
      <c r="AF12" s="193"/>
      <c r="AG12" s="193"/>
      <c r="AH12" s="193"/>
      <c r="AI12" s="193"/>
    </row>
    <row r="13" spans="1:112" s="501" customFormat="1" ht="12.75" customHeight="1" x14ac:dyDescent="0.2">
      <c r="A13" s="488">
        <v>26740</v>
      </c>
      <c r="B13" s="488" t="s">
        <v>302</v>
      </c>
      <c r="C13" s="489">
        <v>36312</v>
      </c>
      <c r="D13" s="489">
        <v>39113</v>
      </c>
      <c r="E13" s="180">
        <f t="shared" si="0"/>
        <v>30</v>
      </c>
      <c r="F13" s="490">
        <v>8000</v>
      </c>
      <c r="G13" s="490">
        <f t="shared" si="1"/>
        <v>240000</v>
      </c>
      <c r="H13" s="502">
        <f t="shared" ref="H13:H22" si="7">SUM(I13*30.4)</f>
        <v>1.2372799999999999</v>
      </c>
      <c r="I13" s="170">
        <v>4.07E-2</v>
      </c>
      <c r="J13" s="170">
        <v>9.2999999999999992E-3</v>
      </c>
      <c r="K13" s="493">
        <f t="shared" si="3"/>
        <v>0.05</v>
      </c>
      <c r="L13" s="503">
        <f t="shared" si="4"/>
        <v>9768</v>
      </c>
      <c r="M13" s="503">
        <f>SUM(J13*G13)</f>
        <v>2232</v>
      </c>
      <c r="N13" s="503">
        <f t="shared" si="6"/>
        <v>12000</v>
      </c>
      <c r="O13" s="503" t="s">
        <v>492</v>
      </c>
      <c r="P13" s="175" t="s">
        <v>493</v>
      </c>
      <c r="Q13" s="505" t="s">
        <v>477</v>
      </c>
      <c r="R13" s="505" t="s">
        <v>494</v>
      </c>
      <c r="S13" s="498"/>
      <c r="T13" s="498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06"/>
      <c r="AF13" s="506"/>
      <c r="AG13" s="506"/>
      <c r="AH13" s="506"/>
      <c r="AI13" s="506"/>
      <c r="AJ13" s="513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</row>
    <row r="14" spans="1:112" s="501" customFormat="1" x14ac:dyDescent="0.2">
      <c r="A14" s="488">
        <v>27104</v>
      </c>
      <c r="B14" s="488" t="s">
        <v>495</v>
      </c>
      <c r="C14" s="489">
        <v>36557</v>
      </c>
      <c r="D14" s="181">
        <v>38383</v>
      </c>
      <c r="E14" s="180">
        <f t="shared" si="0"/>
        <v>30</v>
      </c>
      <c r="F14" s="490">
        <v>0</v>
      </c>
      <c r="G14" s="490">
        <f t="shared" si="1"/>
        <v>0</v>
      </c>
      <c r="H14" s="502">
        <f t="shared" si="7"/>
        <v>1.2372799999999999</v>
      </c>
      <c r="I14" s="170">
        <v>4.07E-2</v>
      </c>
      <c r="J14" s="170">
        <v>9.2999999999999992E-3</v>
      </c>
      <c r="K14" s="493">
        <f t="shared" si="3"/>
        <v>0.05</v>
      </c>
      <c r="L14" s="503">
        <f t="shared" si="4"/>
        <v>0</v>
      </c>
      <c r="M14" s="503">
        <f t="shared" si="5"/>
        <v>0</v>
      </c>
      <c r="N14" s="503">
        <f t="shared" si="6"/>
        <v>0</v>
      </c>
      <c r="O14" s="503" t="s">
        <v>488</v>
      </c>
      <c r="P14" s="175" t="s">
        <v>496</v>
      </c>
      <c r="Q14" s="514" t="s">
        <v>477</v>
      </c>
      <c r="R14" s="514" t="s">
        <v>477</v>
      </c>
      <c r="S14" s="175"/>
      <c r="T14" s="504"/>
      <c r="U14" s="512"/>
      <c r="V14" s="512"/>
      <c r="W14" s="512"/>
      <c r="X14" s="512"/>
      <c r="Y14" s="512"/>
      <c r="Z14" s="512"/>
      <c r="AA14" s="512"/>
      <c r="AB14" s="515"/>
      <c r="AC14" s="515"/>
      <c r="AD14" s="515"/>
      <c r="AE14" s="513"/>
      <c r="AF14" s="513"/>
      <c r="AG14" s="513"/>
      <c r="AH14" s="513"/>
      <c r="AI14" s="513"/>
    </row>
    <row r="15" spans="1:112" s="501" customFormat="1" x14ac:dyDescent="0.2">
      <c r="A15" s="488">
        <v>27161</v>
      </c>
      <c r="B15" s="488" t="s">
        <v>316</v>
      </c>
      <c r="C15" s="489">
        <v>36617</v>
      </c>
      <c r="D15" s="181">
        <v>37711</v>
      </c>
      <c r="E15" s="180">
        <f t="shared" si="0"/>
        <v>30</v>
      </c>
      <c r="F15" s="733">
        <v>400000</v>
      </c>
      <c r="G15" s="490">
        <f t="shared" si="1"/>
        <v>12000000</v>
      </c>
      <c r="H15" s="502">
        <f t="shared" si="7"/>
        <v>0.76</v>
      </c>
      <c r="I15" s="170">
        <v>2.5000000000000001E-2</v>
      </c>
      <c r="J15" s="170">
        <v>9.2999999999999992E-3</v>
      </c>
      <c r="K15" s="493">
        <f t="shared" si="3"/>
        <v>3.4299999999999997E-2</v>
      </c>
      <c r="L15" s="503">
        <f>SUM(I15*G15)</f>
        <v>300000</v>
      </c>
      <c r="M15" s="503">
        <f t="shared" si="5"/>
        <v>111599.99999999999</v>
      </c>
      <c r="N15" s="503">
        <f>SUM(L15:M15)</f>
        <v>411600</v>
      </c>
      <c r="O15" s="732" t="s">
        <v>603</v>
      </c>
      <c r="P15" s="175"/>
      <c r="Q15" s="511"/>
      <c r="R15" s="511"/>
      <c r="S15" s="175"/>
      <c r="T15" s="504" t="s">
        <v>497</v>
      </c>
      <c r="U15" s="498"/>
      <c r="V15" s="498"/>
      <c r="W15" s="498"/>
      <c r="X15" s="498"/>
      <c r="Y15" s="498"/>
      <c r="Z15" s="498"/>
      <c r="AA15" s="498"/>
      <c r="AB15" s="498"/>
      <c r="AC15" s="498"/>
      <c r="AD15" s="498"/>
      <c r="AE15" s="193"/>
      <c r="AF15" s="193"/>
      <c r="AG15" s="193"/>
      <c r="AH15" s="193"/>
      <c r="AI15" s="193"/>
    </row>
    <row r="16" spans="1:112" s="193" customFormat="1" x14ac:dyDescent="0.2">
      <c r="A16" s="180">
        <v>27291</v>
      </c>
      <c r="B16" s="488" t="s">
        <v>288</v>
      </c>
      <c r="C16" s="489">
        <v>36739</v>
      </c>
      <c r="D16" s="181">
        <v>37468</v>
      </c>
      <c r="E16" s="180">
        <f t="shared" si="0"/>
        <v>30</v>
      </c>
      <c r="F16" s="182">
        <v>20000</v>
      </c>
      <c r="G16" s="490">
        <f t="shared" si="1"/>
        <v>600000</v>
      </c>
      <c r="H16" s="502">
        <f t="shared" si="7"/>
        <v>0.32527999999999996</v>
      </c>
      <c r="I16" s="170">
        <v>1.0699999999999999E-2</v>
      </c>
      <c r="J16" s="170">
        <v>9.2999999999999992E-3</v>
      </c>
      <c r="K16" s="493">
        <f t="shared" si="3"/>
        <v>1.9999999999999997E-2</v>
      </c>
      <c r="L16" s="503">
        <f t="shared" si="4"/>
        <v>6420</v>
      </c>
      <c r="M16" s="503">
        <f t="shared" si="5"/>
        <v>5579.9999999999991</v>
      </c>
      <c r="N16" s="503">
        <f t="shared" si="6"/>
        <v>12000</v>
      </c>
      <c r="O16" s="503" t="s">
        <v>488</v>
      </c>
      <c r="P16" s="175" t="s">
        <v>308</v>
      </c>
      <c r="Q16" s="511" t="s">
        <v>498</v>
      </c>
      <c r="R16" s="511" t="s">
        <v>477</v>
      </c>
      <c r="S16" s="175"/>
      <c r="T16" s="504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06"/>
      <c r="AF16" s="506"/>
      <c r="AG16" s="506"/>
      <c r="AH16" s="506"/>
      <c r="AI16" s="506"/>
    </row>
    <row r="17" spans="1:35" s="193" customFormat="1" x14ac:dyDescent="0.2">
      <c r="A17" s="180">
        <v>27349</v>
      </c>
      <c r="B17" s="180" t="s">
        <v>499</v>
      </c>
      <c r="C17" s="181">
        <v>36892</v>
      </c>
      <c r="D17" s="181">
        <v>38717</v>
      </c>
      <c r="E17" s="180">
        <f t="shared" si="0"/>
        <v>30</v>
      </c>
      <c r="F17" s="182">
        <v>20000</v>
      </c>
      <c r="G17" s="182">
        <f t="shared" si="1"/>
        <v>600000</v>
      </c>
      <c r="H17" s="502">
        <f t="shared" si="7"/>
        <v>1.2372799999999999</v>
      </c>
      <c r="I17" s="170">
        <v>4.07E-2</v>
      </c>
      <c r="J17" s="170">
        <v>9.2999999999999992E-3</v>
      </c>
      <c r="K17" s="170">
        <f t="shared" si="3"/>
        <v>0.05</v>
      </c>
      <c r="L17" s="183">
        <f>SUM(I17*G17)</f>
        <v>24420</v>
      </c>
      <c r="M17" s="183">
        <f t="shared" si="5"/>
        <v>5579.9999999999991</v>
      </c>
      <c r="N17" s="183">
        <f t="shared" si="6"/>
        <v>30000</v>
      </c>
      <c r="O17" s="503" t="s">
        <v>488</v>
      </c>
      <c r="P17" s="510"/>
      <c r="Q17" s="511"/>
      <c r="R17" s="511"/>
      <c r="S17" s="175"/>
      <c r="T17" s="175"/>
      <c r="U17" s="498"/>
      <c r="V17" s="498"/>
      <c r="W17" s="512"/>
      <c r="X17" s="512"/>
      <c r="Y17" s="512"/>
      <c r="Z17" s="512"/>
      <c r="AA17" s="512"/>
      <c r="AB17" s="512"/>
      <c r="AC17" s="512"/>
      <c r="AD17" s="512"/>
      <c r="AE17" s="506"/>
      <c r="AF17" s="506"/>
      <c r="AG17" s="506"/>
      <c r="AH17" s="506"/>
      <c r="AI17" s="506"/>
    </row>
    <row r="18" spans="1:35" s="521" customFormat="1" x14ac:dyDescent="0.2">
      <c r="A18" s="180">
        <v>27377</v>
      </c>
      <c r="B18" s="180" t="s">
        <v>284</v>
      </c>
      <c r="C18" s="181">
        <v>36951</v>
      </c>
      <c r="D18" s="181">
        <v>37315</v>
      </c>
      <c r="E18" s="180">
        <f t="shared" si="0"/>
        <v>30</v>
      </c>
      <c r="F18" s="182">
        <v>10000</v>
      </c>
      <c r="G18" s="182">
        <f>SUM(E18*F18)</f>
        <v>300000</v>
      </c>
      <c r="H18" s="508">
        <f t="shared" si="7"/>
        <v>1.2372799999999999</v>
      </c>
      <c r="I18" s="170">
        <v>4.07E-2</v>
      </c>
      <c r="J18" s="170">
        <v>9.2999999999999992E-3</v>
      </c>
      <c r="K18" s="170">
        <f>SUM(I18+J18)</f>
        <v>0.05</v>
      </c>
      <c r="L18" s="183">
        <f>SUM(I18*G18)</f>
        <v>12210</v>
      </c>
      <c r="M18" s="183">
        <f t="shared" si="5"/>
        <v>2789.9999999999995</v>
      </c>
      <c r="N18" s="183">
        <f t="shared" si="6"/>
        <v>15000</v>
      </c>
      <c r="O18" s="503" t="s">
        <v>488</v>
      </c>
      <c r="P18" s="517"/>
      <c r="Q18" s="518" t="s">
        <v>477</v>
      </c>
      <c r="R18" s="518" t="s">
        <v>477</v>
      </c>
      <c r="S18" s="519"/>
      <c r="T18" s="519"/>
      <c r="U18" s="520"/>
      <c r="V18" s="520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  <c r="AH18" s="520"/>
      <c r="AI18" s="520"/>
    </row>
    <row r="19" spans="1:35" s="521" customFormat="1" x14ac:dyDescent="0.2">
      <c r="A19" s="180">
        <v>27420</v>
      </c>
      <c r="B19" s="180" t="s">
        <v>500</v>
      </c>
      <c r="C19" s="181">
        <v>36861</v>
      </c>
      <c r="D19" s="507">
        <v>37225</v>
      </c>
      <c r="E19" s="180">
        <f t="shared" si="0"/>
        <v>30</v>
      </c>
      <c r="F19" s="522">
        <v>0</v>
      </c>
      <c r="G19" s="182">
        <f t="shared" si="1"/>
        <v>0</v>
      </c>
      <c r="H19" s="502">
        <f t="shared" si="7"/>
        <v>1.6932799999999999</v>
      </c>
      <c r="I19" s="170">
        <v>5.57E-2</v>
      </c>
      <c r="J19" s="170">
        <v>9.2999999999999992E-3</v>
      </c>
      <c r="K19" s="170">
        <f t="shared" si="3"/>
        <v>6.5000000000000002E-2</v>
      </c>
      <c r="L19" s="183">
        <f>SUM(I19*G19)</f>
        <v>0</v>
      </c>
      <c r="M19" s="183">
        <f t="shared" si="5"/>
        <v>0</v>
      </c>
      <c r="N19" s="183">
        <f t="shared" si="6"/>
        <v>0</v>
      </c>
      <c r="O19" s="183" t="s">
        <v>482</v>
      </c>
      <c r="P19" s="510" t="s">
        <v>501</v>
      </c>
      <c r="Q19" s="511" t="s">
        <v>477</v>
      </c>
      <c r="R19" s="511" t="s">
        <v>477</v>
      </c>
      <c r="S19" s="175"/>
      <c r="T19" s="175"/>
      <c r="U19" s="512"/>
      <c r="V19" s="512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</row>
    <row r="20" spans="1:35" s="735" customFormat="1" x14ac:dyDescent="0.2">
      <c r="A20" s="180">
        <v>27495</v>
      </c>
      <c r="B20" s="180" t="s">
        <v>320</v>
      </c>
      <c r="C20" s="181">
        <v>36951</v>
      </c>
      <c r="D20" s="181">
        <v>37711</v>
      </c>
      <c r="E20" s="180">
        <f t="shared" si="0"/>
        <v>30</v>
      </c>
      <c r="F20" s="733">
        <v>50000</v>
      </c>
      <c r="G20" s="182">
        <f>SUM(E20*F20)</f>
        <v>1500000</v>
      </c>
      <c r="H20" s="508">
        <f t="shared" si="7"/>
        <v>0.98799999999999999</v>
      </c>
      <c r="I20" s="170">
        <v>3.2500000000000001E-2</v>
      </c>
      <c r="J20" s="170">
        <v>0</v>
      </c>
      <c r="K20" s="170">
        <f>SUM(I20+J20)</f>
        <v>3.2500000000000001E-2</v>
      </c>
      <c r="L20" s="183">
        <f>G20*I20</f>
        <v>48750</v>
      </c>
      <c r="M20" s="183">
        <f t="shared" si="5"/>
        <v>0</v>
      </c>
      <c r="N20" s="183">
        <f t="shared" si="6"/>
        <v>48750</v>
      </c>
      <c r="O20" s="732" t="s">
        <v>603</v>
      </c>
      <c r="P20" s="168"/>
      <c r="Q20" s="511"/>
      <c r="R20" s="511"/>
      <c r="S20" s="175"/>
      <c r="T20" s="510" t="s">
        <v>502</v>
      </c>
      <c r="U20" s="600"/>
      <c r="V20" s="600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</row>
    <row r="21" spans="1:35" s="501" customFormat="1" x14ac:dyDescent="0.2">
      <c r="A21" s="180">
        <v>27579</v>
      </c>
      <c r="B21" s="180" t="s">
        <v>499</v>
      </c>
      <c r="C21" s="181">
        <v>37012</v>
      </c>
      <c r="D21" s="181">
        <v>37407</v>
      </c>
      <c r="E21" s="180">
        <f t="shared" si="0"/>
        <v>30</v>
      </c>
      <c r="F21" s="182">
        <v>20000</v>
      </c>
      <c r="G21" s="182">
        <f>SUM(E21*F21)</f>
        <v>600000</v>
      </c>
      <c r="H21" s="508">
        <f>SUM(I21*30.4)</f>
        <v>1.54128</v>
      </c>
      <c r="I21" s="170">
        <v>5.0700000000000002E-2</v>
      </c>
      <c r="J21" s="170">
        <v>9.2999999999999992E-3</v>
      </c>
      <c r="K21" s="170">
        <f>SUM(I21+J21)</f>
        <v>0.06</v>
      </c>
      <c r="L21" s="183">
        <f>SUM(I21*G21)</f>
        <v>30420</v>
      </c>
      <c r="M21" s="183">
        <f>SUM(J21*G21)</f>
        <v>5579.9999999999991</v>
      </c>
      <c r="N21" s="183">
        <f t="shared" si="6"/>
        <v>36000</v>
      </c>
      <c r="O21" s="503" t="s">
        <v>488</v>
      </c>
      <c r="P21" s="521"/>
      <c r="Q21" s="518"/>
      <c r="R21" s="518"/>
      <c r="S21" s="519"/>
      <c r="T21" s="517"/>
      <c r="U21" s="520"/>
      <c r="V21" s="520"/>
      <c r="W21" s="498"/>
      <c r="X21" s="498"/>
      <c r="Y21" s="498"/>
      <c r="Z21" s="498"/>
      <c r="AA21" s="498"/>
      <c r="AB21" s="498"/>
      <c r="AC21" s="498"/>
      <c r="AD21" s="498"/>
      <c r="AE21" s="193"/>
      <c r="AF21" s="193"/>
      <c r="AG21" s="193"/>
      <c r="AH21" s="193"/>
      <c r="AI21" s="193"/>
    </row>
    <row r="22" spans="1:35" s="501" customFormat="1" x14ac:dyDescent="0.2">
      <c r="A22" s="180">
        <v>27600</v>
      </c>
      <c r="B22" s="180" t="s">
        <v>503</v>
      </c>
      <c r="C22" s="181">
        <v>37043</v>
      </c>
      <c r="D22" s="181">
        <v>37407</v>
      </c>
      <c r="E22" s="180">
        <f t="shared" si="0"/>
        <v>30</v>
      </c>
      <c r="F22" s="182">
        <v>2500</v>
      </c>
      <c r="G22" s="182">
        <f>SUM(E22*F22)</f>
        <v>75000</v>
      </c>
      <c r="H22" s="508">
        <f t="shared" si="7"/>
        <v>2.4532799999999999</v>
      </c>
      <c r="I22" s="170">
        <v>8.0699999999999994E-2</v>
      </c>
      <c r="J22" s="170">
        <v>9.2999999999999992E-3</v>
      </c>
      <c r="K22" s="170">
        <f>SUM(I22+J22)</f>
        <v>0.09</v>
      </c>
      <c r="L22" s="183">
        <f>SUM(I22*G22)</f>
        <v>6052.5</v>
      </c>
      <c r="M22" s="183">
        <f t="shared" si="5"/>
        <v>697.49999999999989</v>
      </c>
      <c r="N22" s="183">
        <f t="shared" si="6"/>
        <v>6750</v>
      </c>
      <c r="O22" s="503" t="s">
        <v>488</v>
      </c>
      <c r="P22" s="521"/>
      <c r="Q22" s="518"/>
      <c r="R22" s="518"/>
      <c r="S22" s="519"/>
      <c r="T22" s="517"/>
      <c r="U22" s="520"/>
      <c r="V22" s="520"/>
      <c r="W22" s="498"/>
      <c r="X22" s="498"/>
      <c r="Y22" s="498"/>
      <c r="Z22" s="498"/>
      <c r="AA22" s="498"/>
      <c r="AB22" s="498"/>
      <c r="AC22" s="498"/>
      <c r="AD22" s="498"/>
      <c r="AE22" s="193"/>
      <c r="AF22" s="193"/>
      <c r="AG22" s="193"/>
      <c r="AH22" s="193"/>
      <c r="AI22" s="193"/>
    </row>
    <row r="23" spans="1:35" s="501" customFormat="1" x14ac:dyDescent="0.2">
      <c r="A23" s="184">
        <v>27606</v>
      </c>
      <c r="B23" s="184" t="s">
        <v>309</v>
      </c>
      <c r="C23" s="185">
        <v>37165</v>
      </c>
      <c r="D23" s="185">
        <v>38990</v>
      </c>
      <c r="E23" s="180">
        <f>$E$2</f>
        <v>30</v>
      </c>
      <c r="F23" s="526">
        <v>80000</v>
      </c>
      <c r="G23" s="182">
        <f>SUM(E23*F23)</f>
        <v>2400000</v>
      </c>
      <c r="H23" s="483">
        <f>SUM(I23*30.4)</f>
        <v>2.1492800000000001</v>
      </c>
      <c r="I23" s="173">
        <v>7.0699999999999999E-2</v>
      </c>
      <c r="J23" s="174">
        <v>9.2999999999999992E-3</v>
      </c>
      <c r="K23" s="173">
        <f>SUM(I23+J23)</f>
        <v>0.08</v>
      </c>
      <c r="L23" s="527">
        <f>SUM(I23*G23)</f>
        <v>169680</v>
      </c>
      <c r="M23" s="183">
        <f>SUM(J23*G23)</f>
        <v>22319.999999999996</v>
      </c>
      <c r="N23" s="183">
        <f>SUM(L23:M23)</f>
        <v>192000</v>
      </c>
      <c r="O23" s="183" t="s">
        <v>322</v>
      </c>
      <c r="P23" s="172" t="s">
        <v>504</v>
      </c>
      <c r="Q23" s="485" t="s">
        <v>477</v>
      </c>
      <c r="R23" s="485" t="s">
        <v>477</v>
      </c>
      <c r="S23" s="172"/>
      <c r="T23" s="172" t="s">
        <v>505</v>
      </c>
      <c r="U23" s="168"/>
      <c r="V23" s="168"/>
      <c r="W23" s="168"/>
      <c r="X23" s="168"/>
      <c r="Y23" s="168"/>
      <c r="Z23" s="168"/>
      <c r="AA23" s="498"/>
      <c r="AB23" s="498"/>
      <c r="AC23" s="498"/>
      <c r="AD23" s="498"/>
      <c r="AE23" s="193"/>
      <c r="AF23" s="193"/>
      <c r="AG23" s="193"/>
      <c r="AH23" s="193"/>
      <c r="AI23" s="193"/>
    </row>
    <row r="24" spans="1:35" s="506" customFormat="1" ht="12.75" customHeight="1" x14ac:dyDescent="0.2">
      <c r="A24" s="488"/>
      <c r="B24" s="488"/>
      <c r="C24" s="489"/>
      <c r="D24" s="528"/>
      <c r="E24" s="529"/>
      <c r="F24" s="603">
        <f>SUM(F6:F23)</f>
        <v>715214</v>
      </c>
      <c r="G24" s="531"/>
      <c r="H24" s="532" t="s">
        <v>506</v>
      </c>
      <c r="I24" s="533">
        <f>L24/(F24*E23)</f>
        <v>3.7373401247738434E-2</v>
      </c>
      <c r="J24" s="534"/>
      <c r="K24" s="534"/>
      <c r="L24" s="604">
        <f>SUM(L6:L23)</f>
        <v>801899.39399999997</v>
      </c>
      <c r="M24" s="536"/>
      <c r="N24" s="536"/>
      <c r="O24" s="536"/>
      <c r="P24" s="537"/>
      <c r="Q24" s="538"/>
      <c r="R24" s="538"/>
      <c r="S24" s="537"/>
      <c r="T24" s="539"/>
      <c r="U24" s="168"/>
      <c r="V24" s="168"/>
      <c r="W24" s="168"/>
      <c r="X24" s="168"/>
      <c r="Y24" s="168"/>
      <c r="Z24" s="168"/>
      <c r="AA24" s="168"/>
      <c r="AB24" s="486"/>
      <c r="AC24" s="486"/>
      <c r="AD24" s="486"/>
      <c r="AE24" s="487"/>
      <c r="AF24" s="487"/>
      <c r="AG24" s="487"/>
      <c r="AH24" s="487"/>
      <c r="AI24" s="487"/>
    </row>
    <row r="25" spans="1:35" s="506" customFormat="1" ht="12.75" customHeight="1" x14ac:dyDescent="0.2">
      <c r="A25" s="488"/>
      <c r="B25" s="488"/>
      <c r="C25" s="489"/>
      <c r="D25" s="528"/>
      <c r="E25" s="529"/>
      <c r="F25" s="530"/>
      <c r="G25" s="531"/>
      <c r="H25" s="532"/>
      <c r="I25" s="533"/>
      <c r="J25" s="534"/>
      <c r="K25" s="534"/>
      <c r="L25" s="535"/>
      <c r="M25" s="536"/>
      <c r="N25" s="536"/>
      <c r="O25" s="536"/>
      <c r="P25" s="537"/>
      <c r="Q25" s="538"/>
      <c r="R25" s="538"/>
      <c r="S25" s="537"/>
      <c r="T25" s="539"/>
      <c r="U25" s="168"/>
      <c r="V25" s="168"/>
      <c r="W25" s="168"/>
      <c r="X25" s="168"/>
      <c r="Y25" s="168"/>
      <c r="Z25" s="168"/>
      <c r="AA25" s="168"/>
      <c r="AB25" s="486"/>
      <c r="AC25" s="486"/>
      <c r="AD25" s="486"/>
      <c r="AE25" s="487"/>
      <c r="AF25" s="487"/>
      <c r="AG25" s="487"/>
      <c r="AH25" s="487"/>
      <c r="AI25" s="487"/>
    </row>
    <row r="26" spans="1:35" x14ac:dyDescent="0.2">
      <c r="A26" s="540" t="s">
        <v>507</v>
      </c>
      <c r="B26" s="540" t="s">
        <v>477</v>
      </c>
      <c r="C26" s="489"/>
      <c r="D26" s="528"/>
      <c r="E26" s="529"/>
      <c r="F26" s="531"/>
      <c r="G26" s="531"/>
      <c r="H26" s="541"/>
      <c r="I26" s="534"/>
      <c r="J26" s="534"/>
      <c r="K26" s="534"/>
      <c r="L26" s="536"/>
      <c r="M26" s="536"/>
      <c r="N26" s="536"/>
      <c r="O26" s="536"/>
      <c r="P26" s="537"/>
      <c r="Q26" s="538"/>
      <c r="R26" s="538"/>
      <c r="S26" s="537"/>
      <c r="T26" s="539"/>
    </row>
    <row r="27" spans="1:35" x14ac:dyDescent="0.2">
      <c r="A27" s="184">
        <v>24568</v>
      </c>
      <c r="B27" s="184" t="s">
        <v>323</v>
      </c>
      <c r="C27" s="185" t="s">
        <v>321</v>
      </c>
      <c r="D27" s="185">
        <v>37256</v>
      </c>
      <c r="E27" s="180">
        <f>$E$2</f>
        <v>30</v>
      </c>
      <c r="F27" s="186">
        <v>0</v>
      </c>
      <c r="G27" s="182">
        <f>SUM(E27*F27)</f>
        <v>0</v>
      </c>
      <c r="H27" s="483">
        <f>SUM(I27*30.4)</f>
        <v>6.2927999999999997</v>
      </c>
      <c r="I27" s="173">
        <v>0.20699999999999999</v>
      </c>
      <c r="J27" s="173">
        <v>1.04E-2</v>
      </c>
      <c r="K27" s="170">
        <f>SUM(I27+J27)</f>
        <v>0.21739999999999998</v>
      </c>
      <c r="L27" s="183">
        <f>SUM(I27*G27)</f>
        <v>0</v>
      </c>
      <c r="M27" s="183">
        <f>SUM(J27*G27)</f>
        <v>0</v>
      </c>
      <c r="N27" s="183">
        <f>SUM(L27:M27)</f>
        <v>0</v>
      </c>
      <c r="O27" s="183" t="s">
        <v>322</v>
      </c>
      <c r="P27" s="542" t="s">
        <v>508</v>
      </c>
      <c r="Q27" s="511" t="s">
        <v>507</v>
      </c>
      <c r="R27" s="485" t="s">
        <v>477</v>
      </c>
      <c r="S27" s="542"/>
      <c r="T27" s="542" t="s">
        <v>509</v>
      </c>
    </row>
    <row r="28" spans="1:35" x14ac:dyDescent="0.2">
      <c r="A28" s="180">
        <v>24654</v>
      </c>
      <c r="B28" s="180" t="s">
        <v>302</v>
      </c>
      <c r="C28" s="181" t="s">
        <v>321</v>
      </c>
      <c r="D28" s="181">
        <v>37256</v>
      </c>
      <c r="E28" s="180">
        <f>$E$2</f>
        <v>30</v>
      </c>
      <c r="F28" s="526">
        <v>0</v>
      </c>
      <c r="G28" s="186">
        <f>SUM(E28*F28)</f>
        <v>0</v>
      </c>
      <c r="H28" s="483">
        <f>SUM(I28*30.4)</f>
        <v>6.2927999999999997</v>
      </c>
      <c r="I28" s="170">
        <v>0.20699999999999999</v>
      </c>
      <c r="J28" s="170">
        <v>1.04E-2</v>
      </c>
      <c r="K28" s="170">
        <f>SUM(I28+J28)</f>
        <v>0.21739999999999998</v>
      </c>
      <c r="L28" s="527">
        <f>SUM(I28*G28)</f>
        <v>0</v>
      </c>
      <c r="M28" s="183">
        <f>SUM(J28*G28)</f>
        <v>0</v>
      </c>
      <c r="N28" s="183">
        <f>SUM(L28:M28)</f>
        <v>0</v>
      </c>
      <c r="O28" s="183" t="s">
        <v>322</v>
      </c>
      <c r="P28" s="175" t="s">
        <v>510</v>
      </c>
      <c r="Q28" s="511" t="s">
        <v>507</v>
      </c>
      <c r="R28" s="511" t="s">
        <v>477</v>
      </c>
      <c r="S28" s="175"/>
      <c r="T28" s="542" t="s">
        <v>511</v>
      </c>
    </row>
    <row r="29" spans="1:35" s="487" customFormat="1" x14ac:dyDescent="0.2">
      <c r="A29" s="543"/>
      <c r="B29" s="544"/>
      <c r="C29" s="545"/>
      <c r="D29" s="545"/>
      <c r="E29" s="529"/>
      <c r="F29" s="778">
        <f>SUM(F27:F28)</f>
        <v>0</v>
      </c>
      <c r="G29" s="531"/>
      <c r="H29" s="532" t="s">
        <v>506</v>
      </c>
      <c r="I29" s="533" t="e">
        <f>L29/(F29*E2)</f>
        <v>#DIV/0!</v>
      </c>
      <c r="J29" s="547"/>
      <c r="K29" s="547"/>
      <c r="L29" s="604">
        <f>SUM(L27:L28)</f>
        <v>0</v>
      </c>
      <c r="M29" s="536"/>
      <c r="N29" s="536"/>
      <c r="O29" s="536"/>
      <c r="P29" s="548"/>
      <c r="Q29" s="549"/>
      <c r="R29" s="549"/>
      <c r="S29" s="548"/>
      <c r="T29" s="548"/>
      <c r="U29" s="168"/>
      <c r="V29" s="168"/>
      <c r="W29" s="168"/>
      <c r="X29" s="168"/>
      <c r="Y29" s="168"/>
      <c r="Z29" s="168"/>
    </row>
    <row r="30" spans="1:35" s="487" customFormat="1" x14ac:dyDescent="0.2">
      <c r="A30" s="543"/>
      <c r="B30" s="544"/>
      <c r="C30" s="545"/>
      <c r="D30" s="545"/>
      <c r="E30" s="529"/>
      <c r="F30" s="546"/>
      <c r="G30" s="531"/>
      <c r="H30" s="532"/>
      <c r="I30" s="533"/>
      <c r="J30" s="547"/>
      <c r="K30" s="547"/>
      <c r="L30" s="535"/>
      <c r="M30" s="536"/>
      <c r="N30" s="536"/>
      <c r="O30" s="536"/>
      <c r="P30" s="548"/>
      <c r="Q30" s="549"/>
      <c r="R30" s="549"/>
      <c r="S30" s="548"/>
      <c r="T30" s="548"/>
      <c r="U30" s="168"/>
      <c r="V30" s="168"/>
      <c r="W30" s="168"/>
      <c r="X30" s="168"/>
      <c r="Y30" s="168"/>
      <c r="Z30" s="168"/>
    </row>
    <row r="31" spans="1:35" x14ac:dyDescent="0.2">
      <c r="A31" s="540" t="s">
        <v>512</v>
      </c>
      <c r="B31" s="540" t="s">
        <v>477</v>
      </c>
      <c r="C31" s="489"/>
      <c r="D31" s="545"/>
      <c r="E31" s="529"/>
      <c r="F31" s="531"/>
      <c r="G31" s="550"/>
      <c r="H31" s="551"/>
      <c r="I31" s="534"/>
      <c r="J31" s="534"/>
      <c r="K31" s="494"/>
      <c r="L31" s="552"/>
      <c r="M31" s="552"/>
      <c r="N31" s="552"/>
      <c r="O31" s="536"/>
      <c r="P31" s="553"/>
      <c r="Q31" s="554"/>
      <c r="R31" s="554"/>
      <c r="S31" s="555"/>
      <c r="T31" s="539"/>
    </row>
    <row r="32" spans="1:35" x14ac:dyDescent="0.2">
      <c r="A32" s="488">
        <v>24809</v>
      </c>
      <c r="B32" s="488" t="s">
        <v>324</v>
      </c>
      <c r="C32" s="489" t="s">
        <v>325</v>
      </c>
      <c r="D32" s="185">
        <v>37225</v>
      </c>
      <c r="E32" s="180">
        <f>$E$2</f>
        <v>30</v>
      </c>
      <c r="F32" s="490">
        <v>0</v>
      </c>
      <c r="G32" s="491">
        <f>SUM(E32*F32)</f>
        <v>0</v>
      </c>
      <c r="H32" s="492">
        <f>SUM(I32*30.4)</f>
        <v>6.2927999999999997</v>
      </c>
      <c r="I32" s="493">
        <v>0.20699999999999999</v>
      </c>
      <c r="J32" s="493">
        <v>1.7600000000000001E-2</v>
      </c>
      <c r="K32" s="494">
        <f>SUM(I32+J32)</f>
        <v>0.22459999999999999</v>
      </c>
      <c r="L32" s="503">
        <f>SUM(I32*G32)</f>
        <v>0</v>
      </c>
      <c r="M32" s="503">
        <f>SUM(J32*G32)</f>
        <v>0</v>
      </c>
      <c r="N32" s="503">
        <f>SUM(L32:M32)</f>
        <v>0</v>
      </c>
      <c r="O32" s="556" t="s">
        <v>326</v>
      </c>
      <c r="P32" s="557" t="s">
        <v>513</v>
      </c>
      <c r="Q32" s="497" t="s">
        <v>512</v>
      </c>
      <c r="R32" s="497" t="s">
        <v>477</v>
      </c>
      <c r="S32" s="558"/>
      <c r="T32" s="499"/>
    </row>
    <row r="33" spans="1:26" x14ac:dyDescent="0.2">
      <c r="A33" s="488">
        <v>25025</v>
      </c>
      <c r="B33" s="488" t="s">
        <v>314</v>
      </c>
      <c r="C33" s="489" t="s">
        <v>327</v>
      </c>
      <c r="D33" s="489">
        <v>39051</v>
      </c>
      <c r="E33" s="180">
        <f>$E$2</f>
        <v>30</v>
      </c>
      <c r="F33" s="559">
        <v>80000</v>
      </c>
      <c r="G33" s="490">
        <f>SUM(E33*F33)</f>
        <v>2400000</v>
      </c>
      <c r="H33" s="502">
        <f>SUM(I33*30.4)</f>
        <v>4.0918399999999995</v>
      </c>
      <c r="I33" s="493">
        <v>0.1346</v>
      </c>
      <c r="J33" s="493">
        <v>1.04E-2</v>
      </c>
      <c r="K33" s="493">
        <f>SUM(I33+J33)</f>
        <v>0.14499999999999999</v>
      </c>
      <c r="L33" s="560">
        <f>SUM(I33*G33)</f>
        <v>323040</v>
      </c>
      <c r="M33" s="503">
        <f>SUM(J33*G33)</f>
        <v>24960</v>
      </c>
      <c r="N33" s="503">
        <f>SUM(L33:M33)</f>
        <v>348000</v>
      </c>
      <c r="O33" s="503" t="s">
        <v>478</v>
      </c>
      <c r="P33" s="504" t="s">
        <v>514</v>
      </c>
      <c r="Q33" s="505" t="s">
        <v>512</v>
      </c>
      <c r="R33" s="505" t="s">
        <v>477</v>
      </c>
      <c r="S33" s="504"/>
      <c r="T33" s="499" t="s">
        <v>515</v>
      </c>
    </row>
    <row r="34" spans="1:26" s="501" customFormat="1" x14ac:dyDescent="0.2">
      <c r="A34" s="35"/>
      <c r="B34" s="35"/>
      <c r="C34" s="35"/>
      <c r="D34" s="35"/>
      <c r="E34" s="35"/>
      <c r="F34" s="603">
        <f>SUM(F32:F33)</f>
        <v>80000</v>
      </c>
      <c r="G34" s="531"/>
      <c r="H34" s="532" t="s">
        <v>506</v>
      </c>
      <c r="I34" s="533">
        <f>L34/(F34*E2)</f>
        <v>0.1346</v>
      </c>
      <c r="J34" s="534"/>
      <c r="K34" s="534"/>
      <c r="L34" s="604">
        <f>SUM(L32:L33)</f>
        <v>323040</v>
      </c>
      <c r="M34" s="458"/>
      <c r="N34" s="458"/>
      <c r="O34" s="458"/>
      <c r="P34" s="561"/>
      <c r="Q34" s="35"/>
      <c r="R34" s="35"/>
      <c r="S34" s="561"/>
      <c r="T34" s="35"/>
      <c r="U34" s="498"/>
      <c r="V34" s="498"/>
      <c r="W34" s="498"/>
    </row>
    <row r="35" spans="1:26" s="501" customFormat="1" x14ac:dyDescent="0.2">
      <c r="A35" s="35"/>
      <c r="B35" s="35"/>
      <c r="C35" s="35"/>
      <c r="D35" s="35"/>
      <c r="E35" s="35"/>
      <c r="F35" s="530"/>
      <c r="G35" s="531"/>
      <c r="H35" s="532"/>
      <c r="I35" s="533"/>
      <c r="J35" s="534"/>
      <c r="K35" s="534"/>
      <c r="L35" s="535"/>
      <c r="M35" s="458"/>
      <c r="N35" s="458"/>
      <c r="O35" s="458"/>
      <c r="P35" s="561"/>
      <c r="Q35" s="35"/>
      <c r="R35" s="35"/>
      <c r="S35" s="561"/>
      <c r="T35" s="35"/>
      <c r="U35" s="498"/>
      <c r="V35" s="498"/>
      <c r="W35" s="498"/>
    </row>
    <row r="36" spans="1:26" s="501" customFormat="1" x14ac:dyDescent="0.2">
      <c r="A36" s="543">
        <v>23762</v>
      </c>
      <c r="B36" s="543" t="s">
        <v>314</v>
      </c>
      <c r="C36" s="562" t="s">
        <v>516</v>
      </c>
      <c r="D36" s="562">
        <v>36585</v>
      </c>
      <c r="E36" s="529">
        <v>0</v>
      </c>
      <c r="F36" s="491">
        <v>0</v>
      </c>
      <c r="G36" s="550">
        <f>SUM(E36*F36)</f>
        <v>0</v>
      </c>
      <c r="H36" s="532">
        <v>6.293E-2</v>
      </c>
      <c r="I36" s="533">
        <v>2.07E-2</v>
      </c>
      <c r="J36" s="534">
        <v>9.2999999999999992E-3</v>
      </c>
      <c r="K36" s="534">
        <v>0.03</v>
      </c>
      <c r="L36" s="552">
        <f>SUM(I36*G36)</f>
        <v>0</v>
      </c>
      <c r="M36" s="552">
        <f>SUM(J36*G36)</f>
        <v>0</v>
      </c>
      <c r="N36" s="552">
        <f>SUM(L36:M36)</f>
        <v>0</v>
      </c>
      <c r="O36" s="552" t="s">
        <v>296</v>
      </c>
      <c r="P36" s="561" t="s">
        <v>479</v>
      </c>
      <c r="Q36" s="35"/>
      <c r="R36" s="35"/>
      <c r="S36" s="561"/>
      <c r="T36" s="35"/>
      <c r="U36" s="498"/>
      <c r="V36" s="498"/>
      <c r="W36" s="498"/>
    </row>
    <row r="37" spans="1:26" x14ac:dyDescent="0.2">
      <c r="F37" s="603">
        <f>SUM(F36)</f>
        <v>0</v>
      </c>
      <c r="G37" s="531"/>
      <c r="H37" s="532"/>
      <c r="I37" s="533"/>
      <c r="J37" s="534"/>
      <c r="K37" s="534"/>
      <c r="L37" s="604">
        <f>SUM(L36)</f>
        <v>0</v>
      </c>
    </row>
    <row r="38" spans="1:26" x14ac:dyDescent="0.2">
      <c r="F38" s="530"/>
      <c r="G38" s="531"/>
      <c r="H38" s="532"/>
      <c r="I38" s="533"/>
      <c r="J38" s="534"/>
      <c r="K38" s="534"/>
      <c r="L38" s="535"/>
    </row>
    <row r="39" spans="1:26" x14ac:dyDescent="0.2">
      <c r="A39" s="563" t="s">
        <v>507</v>
      </c>
      <c r="B39" s="563" t="s">
        <v>517</v>
      </c>
      <c r="F39" s="530"/>
      <c r="G39" s="531"/>
      <c r="H39" s="532"/>
      <c r="I39" s="533"/>
      <c r="J39" s="534"/>
      <c r="K39" s="534"/>
      <c r="L39" s="535"/>
    </row>
    <row r="40" spans="1:26" x14ac:dyDescent="0.2">
      <c r="A40" s="184">
        <v>24924</v>
      </c>
      <c r="B40" s="184" t="s">
        <v>302</v>
      </c>
      <c r="C40" s="185" t="s">
        <v>518</v>
      </c>
      <c r="D40" s="185">
        <v>38017</v>
      </c>
      <c r="E40" s="180">
        <f t="shared" ref="E40:E46" si="8">$E$2</f>
        <v>30</v>
      </c>
      <c r="F40" s="182">
        <v>25000</v>
      </c>
      <c r="G40" s="186">
        <f t="shared" ref="G40:G45" si="9">SUM(E40*F40)</f>
        <v>750000</v>
      </c>
      <c r="H40" s="483">
        <f t="shared" ref="H40:H45" si="10">SUM(I40*30.4)</f>
        <v>1.7236799999999999</v>
      </c>
      <c r="I40" s="170">
        <v>5.67E-2</v>
      </c>
      <c r="J40" s="170">
        <v>3.3E-3</v>
      </c>
      <c r="K40" s="173">
        <f t="shared" ref="K40:K45" si="11">SUM(I40+J40)</f>
        <v>0.06</v>
      </c>
      <c r="L40" s="503">
        <f t="shared" ref="L40:L45" si="12">SUM(I40*G40)</f>
        <v>42525</v>
      </c>
      <c r="M40" s="503">
        <v>0</v>
      </c>
      <c r="N40" s="503">
        <f t="shared" ref="N40:N45" si="13">SUM(L40:M40)</f>
        <v>42525</v>
      </c>
      <c r="O40" s="503" t="s">
        <v>478</v>
      </c>
      <c r="P40" s="564" t="s">
        <v>519</v>
      </c>
      <c r="Q40" s="497" t="s">
        <v>507</v>
      </c>
      <c r="R40" s="497" t="s">
        <v>517</v>
      </c>
      <c r="S40" s="498"/>
      <c r="T40" s="499" t="s">
        <v>508</v>
      </c>
    </row>
    <row r="41" spans="1:26" x14ac:dyDescent="0.2">
      <c r="A41" s="180">
        <v>24925</v>
      </c>
      <c r="B41" s="180" t="s">
        <v>305</v>
      </c>
      <c r="C41" s="185" t="s">
        <v>518</v>
      </c>
      <c r="D41" s="181">
        <v>38017</v>
      </c>
      <c r="E41" s="180">
        <f t="shared" si="8"/>
        <v>30</v>
      </c>
      <c r="F41" s="182">
        <v>50000</v>
      </c>
      <c r="G41" s="186">
        <f t="shared" si="9"/>
        <v>1500000</v>
      </c>
      <c r="H41" s="483">
        <f t="shared" si="10"/>
        <v>1.7236799999999999</v>
      </c>
      <c r="I41" s="170">
        <v>5.67E-2</v>
      </c>
      <c r="J41" s="170">
        <v>3.3E-3</v>
      </c>
      <c r="K41" s="173">
        <f t="shared" si="11"/>
        <v>0.06</v>
      </c>
      <c r="L41" s="503">
        <f t="shared" si="12"/>
        <v>85050</v>
      </c>
      <c r="M41" s="503">
        <f t="shared" ref="M41:M46" si="14">SUM(J41*G41)</f>
        <v>4950</v>
      </c>
      <c r="N41" s="503">
        <f t="shared" si="13"/>
        <v>90000</v>
      </c>
      <c r="O41" s="503" t="s">
        <v>478</v>
      </c>
      <c r="P41" s="564" t="s">
        <v>519</v>
      </c>
      <c r="Q41" s="497" t="s">
        <v>507</v>
      </c>
      <c r="R41" s="505" t="s">
        <v>517</v>
      </c>
      <c r="S41" s="498"/>
      <c r="T41" s="499" t="s">
        <v>508</v>
      </c>
    </row>
    <row r="42" spans="1:26" x14ac:dyDescent="0.2">
      <c r="A42" s="180">
        <v>25067</v>
      </c>
      <c r="B42" s="180" t="s">
        <v>314</v>
      </c>
      <c r="C42" s="181" t="s">
        <v>518</v>
      </c>
      <c r="D42" s="181">
        <v>37225</v>
      </c>
      <c r="E42" s="180">
        <f t="shared" si="8"/>
        <v>30</v>
      </c>
      <c r="F42" s="182">
        <v>0</v>
      </c>
      <c r="G42" s="182">
        <f t="shared" si="9"/>
        <v>0</v>
      </c>
      <c r="H42" s="508">
        <f t="shared" si="10"/>
        <v>1.33456</v>
      </c>
      <c r="I42" s="170">
        <v>4.3900000000000002E-2</v>
      </c>
      <c r="J42" s="170">
        <v>1.1000000000000001E-3</v>
      </c>
      <c r="K42" s="170">
        <f t="shared" si="11"/>
        <v>4.4999999999999998E-2</v>
      </c>
      <c r="L42" s="503">
        <f t="shared" si="12"/>
        <v>0</v>
      </c>
      <c r="M42" s="503">
        <f t="shared" si="14"/>
        <v>0</v>
      </c>
      <c r="N42" s="503">
        <f t="shared" si="13"/>
        <v>0</v>
      </c>
      <c r="O42" s="503" t="s">
        <v>478</v>
      </c>
      <c r="P42" s="504" t="s">
        <v>520</v>
      </c>
      <c r="Q42" s="505" t="s">
        <v>507</v>
      </c>
      <c r="R42" s="505" t="s">
        <v>517</v>
      </c>
      <c r="S42" s="504"/>
      <c r="T42" s="499"/>
    </row>
    <row r="43" spans="1:26" s="501" customFormat="1" x14ac:dyDescent="0.2">
      <c r="A43" s="180">
        <v>25397</v>
      </c>
      <c r="B43" s="180" t="s">
        <v>521</v>
      </c>
      <c r="C43" s="181">
        <v>35886</v>
      </c>
      <c r="D43" s="181">
        <v>37711</v>
      </c>
      <c r="E43" s="180">
        <f t="shared" si="8"/>
        <v>30</v>
      </c>
      <c r="F43" s="182">
        <v>10000</v>
      </c>
      <c r="G43" s="182">
        <f t="shared" si="9"/>
        <v>300000</v>
      </c>
      <c r="H43" s="508">
        <f t="shared" si="10"/>
        <v>0.8785599999999999</v>
      </c>
      <c r="I43" s="170">
        <v>2.8899999999999999E-2</v>
      </c>
      <c r="J43" s="170">
        <v>1.1000000000000001E-3</v>
      </c>
      <c r="K43" s="170">
        <f t="shared" si="11"/>
        <v>0.03</v>
      </c>
      <c r="L43" s="503">
        <f t="shared" si="12"/>
        <v>8670</v>
      </c>
      <c r="M43" s="503">
        <f t="shared" si="14"/>
        <v>330</v>
      </c>
      <c r="N43" s="503">
        <f t="shared" si="13"/>
        <v>9000</v>
      </c>
      <c r="O43" s="503" t="s">
        <v>488</v>
      </c>
      <c r="P43" s="504" t="s">
        <v>522</v>
      </c>
      <c r="Q43" s="505" t="s">
        <v>507</v>
      </c>
      <c r="R43" s="505" t="s">
        <v>517</v>
      </c>
      <c r="S43" s="504"/>
      <c r="T43" s="504"/>
      <c r="U43" s="498"/>
      <c r="V43" s="498"/>
    </row>
    <row r="44" spans="1:26" s="501" customFormat="1" x14ac:dyDescent="0.2">
      <c r="A44" s="180">
        <v>26044</v>
      </c>
      <c r="B44" s="180" t="s">
        <v>523</v>
      </c>
      <c r="C44" s="181">
        <v>36150</v>
      </c>
      <c r="D44" s="181">
        <v>37925</v>
      </c>
      <c r="E44" s="180">
        <f t="shared" si="8"/>
        <v>30</v>
      </c>
      <c r="F44" s="182">
        <v>85000</v>
      </c>
      <c r="G44" s="182">
        <f t="shared" si="9"/>
        <v>2550000</v>
      </c>
      <c r="H44" s="508">
        <f>SUM(I44*30.4)</f>
        <v>0.8785599999999999</v>
      </c>
      <c r="I44" s="170">
        <v>2.8899999999999999E-2</v>
      </c>
      <c r="J44" s="170">
        <v>1.1000000000000001E-3</v>
      </c>
      <c r="K44" s="170">
        <f t="shared" si="11"/>
        <v>0.03</v>
      </c>
      <c r="L44" s="503">
        <f t="shared" si="12"/>
        <v>73695</v>
      </c>
      <c r="M44" s="503">
        <f t="shared" si="14"/>
        <v>2805</v>
      </c>
      <c r="N44" s="503">
        <f t="shared" si="13"/>
        <v>76500</v>
      </c>
      <c r="O44" s="503" t="s">
        <v>488</v>
      </c>
      <c r="P44" s="504" t="s">
        <v>524</v>
      </c>
      <c r="Q44" s="505" t="s">
        <v>507</v>
      </c>
      <c r="R44" s="505" t="s">
        <v>517</v>
      </c>
      <c r="S44" s="504"/>
      <c r="T44" s="504"/>
      <c r="U44" s="498"/>
      <c r="V44" s="498"/>
    </row>
    <row r="45" spans="1:26" s="501" customFormat="1" x14ac:dyDescent="0.2">
      <c r="A45" s="180">
        <v>26436</v>
      </c>
      <c r="B45" s="180" t="s">
        <v>285</v>
      </c>
      <c r="C45" s="181">
        <v>36100</v>
      </c>
      <c r="D45" s="181">
        <v>37925</v>
      </c>
      <c r="E45" s="180">
        <f t="shared" si="8"/>
        <v>30</v>
      </c>
      <c r="F45" s="182">
        <v>59000</v>
      </c>
      <c r="G45" s="182">
        <f t="shared" si="9"/>
        <v>1770000</v>
      </c>
      <c r="H45" s="508">
        <f t="shared" si="10"/>
        <v>1.4865599999999999</v>
      </c>
      <c r="I45" s="170">
        <v>4.8899999999999999E-2</v>
      </c>
      <c r="J45" s="170">
        <v>1.1000000000000001E-3</v>
      </c>
      <c r="K45" s="170">
        <f t="shared" si="11"/>
        <v>4.9999999999999996E-2</v>
      </c>
      <c r="L45" s="503">
        <f t="shared" si="12"/>
        <v>86553</v>
      </c>
      <c r="M45" s="503">
        <f t="shared" si="14"/>
        <v>1947.0000000000002</v>
      </c>
      <c r="N45" s="503">
        <f t="shared" si="13"/>
        <v>88500</v>
      </c>
      <c r="O45" s="503" t="s">
        <v>488</v>
      </c>
      <c r="P45" s="504" t="s">
        <v>524</v>
      </c>
      <c r="Q45" s="505" t="s">
        <v>507</v>
      </c>
      <c r="R45" s="505" t="s">
        <v>517</v>
      </c>
      <c r="S45" s="504"/>
      <c r="T45" s="504"/>
      <c r="U45" s="498"/>
      <c r="V45" s="498"/>
    </row>
    <row r="46" spans="1:26" s="501" customFormat="1" x14ac:dyDescent="0.2">
      <c r="A46" s="180">
        <v>27342</v>
      </c>
      <c r="B46" s="180" t="s">
        <v>525</v>
      </c>
      <c r="C46" s="181">
        <v>36892</v>
      </c>
      <c r="D46" s="181">
        <v>37256</v>
      </c>
      <c r="E46" s="180">
        <f t="shared" si="8"/>
        <v>30</v>
      </c>
      <c r="F46" s="526">
        <v>0</v>
      </c>
      <c r="G46" s="182">
        <f>SUM(E46*F46)</f>
        <v>0</v>
      </c>
      <c r="H46" s="508">
        <f>SUM(I46*30.4)</f>
        <v>1.7905599999999999</v>
      </c>
      <c r="I46" s="170">
        <v>5.8900000000000001E-2</v>
      </c>
      <c r="J46" s="565">
        <v>1.1000000000000001E-3</v>
      </c>
      <c r="K46" s="170">
        <f>SUM(I46+J46)</f>
        <v>0.06</v>
      </c>
      <c r="L46" s="527">
        <f>SUM(I46*G46)</f>
        <v>0</v>
      </c>
      <c r="M46" s="183">
        <f t="shared" si="14"/>
        <v>0</v>
      </c>
      <c r="N46" s="183">
        <f>SUM(L46:M46)</f>
        <v>0</v>
      </c>
      <c r="O46" s="503"/>
      <c r="P46" s="504"/>
      <c r="Q46" s="505"/>
      <c r="R46" s="505"/>
      <c r="S46" s="504"/>
      <c r="T46" s="566"/>
      <c r="U46" s="498"/>
      <c r="V46" s="498"/>
    </row>
    <row r="47" spans="1:26" s="501" customFormat="1" x14ac:dyDescent="0.2">
      <c r="A47" s="488"/>
      <c r="B47" s="488"/>
      <c r="C47" s="489"/>
      <c r="D47" s="528"/>
      <c r="E47" s="529"/>
      <c r="F47" s="603">
        <f>SUM(F40:F46)</f>
        <v>229000</v>
      </c>
      <c r="G47" s="567"/>
      <c r="H47" s="532" t="s">
        <v>506</v>
      </c>
      <c r="I47" s="533">
        <f>L47/(F47*E2)</f>
        <v>4.3157641921397379E-2</v>
      </c>
      <c r="J47" s="533"/>
      <c r="K47" s="568"/>
      <c r="L47" s="604">
        <f>SUM(L40:L46)</f>
        <v>296493</v>
      </c>
      <c r="M47" s="536"/>
      <c r="N47" s="536"/>
      <c r="O47" s="536"/>
      <c r="P47" s="537"/>
      <c r="Q47" s="538"/>
      <c r="R47" s="538"/>
      <c r="S47" s="537"/>
      <c r="T47" s="537"/>
      <c r="U47" s="498"/>
      <c r="V47" s="498"/>
    </row>
    <row r="48" spans="1:26" s="513" customFormat="1" ht="12.75" customHeight="1" x14ac:dyDescent="0.2">
      <c r="A48" s="488"/>
      <c r="B48" s="488"/>
      <c r="C48" s="489"/>
      <c r="D48" s="528"/>
      <c r="E48" s="529"/>
      <c r="F48" s="530"/>
      <c r="G48" s="567"/>
      <c r="H48" s="532"/>
      <c r="I48" s="533"/>
      <c r="J48" s="533"/>
      <c r="K48" s="568"/>
      <c r="L48" s="535"/>
      <c r="M48" s="536"/>
      <c r="N48" s="536"/>
      <c r="O48" s="536"/>
      <c r="P48" s="537"/>
      <c r="Q48" s="538"/>
      <c r="R48" s="538"/>
      <c r="S48" s="537"/>
      <c r="T48" s="537"/>
      <c r="U48" s="498"/>
      <c r="V48" s="498"/>
      <c r="W48" s="501"/>
      <c r="X48" s="501"/>
      <c r="Y48" s="501"/>
      <c r="Z48" s="501"/>
    </row>
    <row r="49" spans="1:26" s="501" customFormat="1" x14ac:dyDescent="0.2">
      <c r="A49" s="540" t="s">
        <v>507</v>
      </c>
      <c r="B49" s="540" t="s">
        <v>526</v>
      </c>
      <c r="C49" s="489"/>
      <c r="D49" s="528"/>
      <c r="E49" s="529"/>
      <c r="F49" s="531"/>
      <c r="G49" s="567"/>
      <c r="H49" s="541"/>
      <c r="I49" s="533"/>
      <c r="J49" s="533"/>
      <c r="K49" s="568"/>
      <c r="L49" s="536"/>
      <c r="M49" s="536"/>
      <c r="N49" s="536"/>
      <c r="O49" s="536"/>
      <c r="P49" s="537"/>
      <c r="Q49" s="538"/>
      <c r="R49" s="538"/>
      <c r="S49" s="537"/>
      <c r="T49" s="537"/>
      <c r="U49" s="512"/>
      <c r="V49" s="512"/>
      <c r="W49" s="513"/>
      <c r="X49" s="513"/>
      <c r="Y49" s="513"/>
      <c r="Z49" s="513"/>
    </row>
    <row r="50" spans="1:26" s="570" customFormat="1" x14ac:dyDescent="0.2">
      <c r="A50" s="180">
        <v>24669</v>
      </c>
      <c r="B50" s="180" t="s">
        <v>527</v>
      </c>
      <c r="C50" s="181" t="s">
        <v>518</v>
      </c>
      <c r="D50" s="181">
        <v>38748</v>
      </c>
      <c r="E50" s="180">
        <f t="shared" ref="E50:E56" si="15">$E$2</f>
        <v>30</v>
      </c>
      <c r="F50" s="733">
        <v>12500</v>
      </c>
      <c r="G50" s="182">
        <v>0</v>
      </c>
      <c r="H50" s="483">
        <f t="shared" ref="H50:H55" si="16">SUM(I50*30.4)</f>
        <v>1.7236799999999999</v>
      </c>
      <c r="I50" s="170">
        <v>5.67E-2</v>
      </c>
      <c r="J50" s="170">
        <v>3.3E-3</v>
      </c>
      <c r="K50" s="173">
        <f t="shared" ref="K50:K56" si="17">SUM(I50+J50)</f>
        <v>0.06</v>
      </c>
      <c r="L50" s="503">
        <f t="shared" ref="L50:L55" si="18">SUM(I50*G50)</f>
        <v>0</v>
      </c>
      <c r="M50" s="503">
        <f t="shared" ref="M50:M55" si="19">SUM(J50*G50)</f>
        <v>0</v>
      </c>
      <c r="N50" s="503">
        <f t="shared" ref="N50:N55" si="20">SUM(L50:M50)</f>
        <v>0</v>
      </c>
      <c r="O50" s="503" t="s">
        <v>478</v>
      </c>
      <c r="P50" s="569" t="s">
        <v>528</v>
      </c>
      <c r="Q50" s="505" t="s">
        <v>507</v>
      </c>
      <c r="R50" s="509" t="s">
        <v>526</v>
      </c>
      <c r="S50" s="569"/>
      <c r="T50" s="499" t="s">
        <v>508</v>
      </c>
    </row>
    <row r="51" spans="1:26" s="570" customFormat="1" x14ac:dyDescent="0.2">
      <c r="A51" s="180">
        <v>24925</v>
      </c>
      <c r="B51" s="180" t="s">
        <v>305</v>
      </c>
      <c r="C51" s="185" t="s">
        <v>518</v>
      </c>
      <c r="D51" s="181">
        <v>38017</v>
      </c>
      <c r="E51" s="180">
        <f t="shared" si="15"/>
        <v>30</v>
      </c>
      <c r="F51" s="182">
        <v>50000</v>
      </c>
      <c r="G51" s="186">
        <f t="shared" ref="G51:G56" si="21">SUM(E51*F51)</f>
        <v>1500000</v>
      </c>
      <c r="H51" s="483">
        <f t="shared" si="16"/>
        <v>1.7236799999999999</v>
      </c>
      <c r="I51" s="170">
        <v>5.67E-2</v>
      </c>
      <c r="J51" s="170">
        <v>3.3E-3</v>
      </c>
      <c r="K51" s="173">
        <f t="shared" si="17"/>
        <v>0.06</v>
      </c>
      <c r="L51" s="503">
        <f t="shared" si="18"/>
        <v>85050</v>
      </c>
      <c r="M51" s="503">
        <f t="shared" si="19"/>
        <v>4950</v>
      </c>
      <c r="N51" s="503">
        <f t="shared" si="20"/>
        <v>90000</v>
      </c>
      <c r="O51" s="503" t="s">
        <v>478</v>
      </c>
      <c r="P51" s="496" t="s">
        <v>519</v>
      </c>
      <c r="Q51" s="497" t="s">
        <v>507</v>
      </c>
      <c r="R51" s="509" t="s">
        <v>526</v>
      </c>
      <c r="S51" s="498"/>
      <c r="T51" s="499" t="s">
        <v>508</v>
      </c>
    </row>
    <row r="52" spans="1:26" s="570" customFormat="1" x14ac:dyDescent="0.2">
      <c r="A52" s="180">
        <v>24927</v>
      </c>
      <c r="B52" s="571" t="s">
        <v>304</v>
      </c>
      <c r="C52" s="185" t="s">
        <v>518</v>
      </c>
      <c r="D52" s="181">
        <v>38748</v>
      </c>
      <c r="E52" s="180">
        <f t="shared" si="15"/>
        <v>30</v>
      </c>
      <c r="F52" s="182">
        <v>30000</v>
      </c>
      <c r="G52" s="186">
        <f t="shared" si="21"/>
        <v>900000</v>
      </c>
      <c r="H52" s="483">
        <f t="shared" si="16"/>
        <v>0.96367999999999987</v>
      </c>
      <c r="I52" s="170">
        <v>3.1699999999999999E-2</v>
      </c>
      <c r="J52" s="170">
        <v>3.3E-3</v>
      </c>
      <c r="K52" s="173">
        <f t="shared" si="17"/>
        <v>3.4999999999999996E-2</v>
      </c>
      <c r="L52" s="183">
        <f t="shared" si="18"/>
        <v>28530</v>
      </c>
      <c r="M52" s="183">
        <f t="shared" si="19"/>
        <v>2970</v>
      </c>
      <c r="N52" s="183">
        <f t="shared" si="20"/>
        <v>31500</v>
      </c>
      <c r="O52" s="503" t="s">
        <v>478</v>
      </c>
      <c r="P52" s="558" t="s">
        <v>529</v>
      </c>
      <c r="Q52" s="497" t="s">
        <v>507</v>
      </c>
      <c r="R52" s="514" t="s">
        <v>526</v>
      </c>
      <c r="S52" s="558"/>
      <c r="T52" s="499" t="s">
        <v>530</v>
      </c>
    </row>
    <row r="53" spans="1:26" s="501" customFormat="1" x14ac:dyDescent="0.2">
      <c r="A53" s="180">
        <v>27047</v>
      </c>
      <c r="B53" s="180" t="s">
        <v>307</v>
      </c>
      <c r="C53" s="181">
        <v>36557</v>
      </c>
      <c r="D53" s="181">
        <v>38717</v>
      </c>
      <c r="E53" s="180">
        <f t="shared" si="15"/>
        <v>30</v>
      </c>
      <c r="F53" s="182">
        <v>150000</v>
      </c>
      <c r="G53" s="182">
        <f t="shared" si="21"/>
        <v>4500000</v>
      </c>
      <c r="H53" s="508">
        <f t="shared" si="16"/>
        <v>1.1126400000000001</v>
      </c>
      <c r="I53" s="572">
        <v>3.6600000000000001E-2</v>
      </c>
      <c r="J53" s="572">
        <v>3.3E-3</v>
      </c>
      <c r="K53" s="572">
        <f t="shared" si="17"/>
        <v>3.9899999999999998E-2</v>
      </c>
      <c r="L53" s="503">
        <f t="shared" si="18"/>
        <v>164700</v>
      </c>
      <c r="M53" s="503">
        <f t="shared" si="19"/>
        <v>14850</v>
      </c>
      <c r="N53" s="503">
        <f t="shared" si="20"/>
        <v>179550</v>
      </c>
      <c r="O53" s="503" t="s">
        <v>296</v>
      </c>
      <c r="P53" s="175" t="s">
        <v>531</v>
      </c>
      <c r="Q53" s="497" t="s">
        <v>507</v>
      </c>
      <c r="R53" s="509" t="s">
        <v>526</v>
      </c>
      <c r="S53" s="175"/>
      <c r="T53" s="504" t="s">
        <v>532</v>
      </c>
      <c r="U53" s="498"/>
    </row>
    <row r="54" spans="1:26" s="501" customFormat="1" x14ac:dyDescent="0.2">
      <c r="A54" s="180">
        <v>27344</v>
      </c>
      <c r="B54" s="180" t="s">
        <v>533</v>
      </c>
      <c r="C54" s="181">
        <v>36892</v>
      </c>
      <c r="D54" s="181">
        <v>37621</v>
      </c>
      <c r="E54" s="180">
        <f t="shared" si="15"/>
        <v>30</v>
      </c>
      <c r="F54" s="182">
        <v>13500</v>
      </c>
      <c r="G54" s="182">
        <f t="shared" si="21"/>
        <v>405000</v>
      </c>
      <c r="H54" s="508">
        <f t="shared" si="16"/>
        <v>1.2676799999999999</v>
      </c>
      <c r="I54" s="170">
        <v>4.1700000000000001E-2</v>
      </c>
      <c r="J54" s="565">
        <v>3.3E-3</v>
      </c>
      <c r="K54" s="170">
        <f t="shared" si="17"/>
        <v>4.4999999999999998E-2</v>
      </c>
      <c r="L54" s="183">
        <f t="shared" si="18"/>
        <v>16888.5</v>
      </c>
      <c r="M54" s="183">
        <f t="shared" si="19"/>
        <v>1336.5</v>
      </c>
      <c r="N54" s="183">
        <f t="shared" si="20"/>
        <v>18225</v>
      </c>
      <c r="O54" s="503" t="s">
        <v>478</v>
      </c>
      <c r="P54" s="175"/>
      <c r="Q54" s="497"/>
      <c r="R54" s="509"/>
      <c r="S54" s="175"/>
      <c r="T54" s="504"/>
      <c r="U54" s="498"/>
    </row>
    <row r="55" spans="1:26" s="726" customFormat="1" ht="12.75" customHeight="1" x14ac:dyDescent="0.2">
      <c r="A55" s="523">
        <v>27370</v>
      </c>
      <c r="B55" s="523" t="s">
        <v>306</v>
      </c>
      <c r="C55" s="524">
        <v>36892</v>
      </c>
      <c r="D55" s="524">
        <v>37621</v>
      </c>
      <c r="E55" s="523">
        <f t="shared" si="15"/>
        <v>30</v>
      </c>
      <c r="F55" s="733">
        <v>22000</v>
      </c>
      <c r="G55" s="522">
        <f t="shared" si="21"/>
        <v>660000</v>
      </c>
      <c r="H55" s="589">
        <f t="shared" si="16"/>
        <v>3.1919999999999997</v>
      </c>
      <c r="I55" s="525">
        <v>0.105</v>
      </c>
      <c r="J55" s="590">
        <v>3.3E-3</v>
      </c>
      <c r="K55" s="525">
        <f t="shared" si="17"/>
        <v>0.10829999999999999</v>
      </c>
      <c r="L55" s="516">
        <f t="shared" si="18"/>
        <v>69300</v>
      </c>
      <c r="M55" s="516">
        <f t="shared" si="19"/>
        <v>2178</v>
      </c>
      <c r="N55" s="516">
        <f t="shared" si="20"/>
        <v>71478</v>
      </c>
      <c r="O55" s="732" t="s">
        <v>593</v>
      </c>
      <c r="P55" s="519"/>
      <c r="Q55" s="722"/>
      <c r="R55" s="723"/>
      <c r="S55" s="519"/>
      <c r="T55" s="724"/>
      <c r="U55" s="725"/>
    </row>
    <row r="56" spans="1:26" s="739" customFormat="1" x14ac:dyDescent="0.2">
      <c r="A56" s="180">
        <v>27460</v>
      </c>
      <c r="B56" s="180" t="s">
        <v>306</v>
      </c>
      <c r="C56" s="181">
        <v>37257</v>
      </c>
      <c r="D56" s="181">
        <v>37986</v>
      </c>
      <c r="E56" s="180">
        <f t="shared" si="15"/>
        <v>30</v>
      </c>
      <c r="F56" s="736">
        <v>55000</v>
      </c>
      <c r="G56" s="182">
        <f t="shared" si="21"/>
        <v>1650000</v>
      </c>
      <c r="H56" s="508">
        <f>SUM(I56*30.4)</f>
        <v>3.1919999999999997</v>
      </c>
      <c r="I56" s="170">
        <v>0.105</v>
      </c>
      <c r="J56" s="565">
        <v>3.3E-3</v>
      </c>
      <c r="K56" s="170">
        <f t="shared" si="17"/>
        <v>0.10829999999999999</v>
      </c>
      <c r="L56" s="527">
        <f>SUM(I56*G56)</f>
        <v>173250</v>
      </c>
      <c r="M56" s="183">
        <f>SUM(J56*G56)</f>
        <v>5445</v>
      </c>
      <c r="N56" s="183">
        <f>SUM(L56:M56)</f>
        <v>178695</v>
      </c>
      <c r="O56" s="732" t="s">
        <v>593</v>
      </c>
      <c r="P56" s="175"/>
      <c r="Q56" s="497"/>
      <c r="R56" s="509"/>
      <c r="S56" s="175"/>
      <c r="T56" s="737"/>
      <c r="U56" s="738"/>
    </row>
    <row r="57" spans="1:26" s="501" customFormat="1" x14ac:dyDescent="0.2">
      <c r="A57" s="488"/>
      <c r="B57" s="488"/>
      <c r="C57" s="545"/>
      <c r="D57" s="528"/>
      <c r="E57" s="529"/>
      <c r="F57" s="603">
        <f>SUM(F50:F56)</f>
        <v>333000</v>
      </c>
      <c r="G57" s="550"/>
      <c r="H57" s="532" t="s">
        <v>506</v>
      </c>
      <c r="I57" s="533">
        <f>L57/(F57*E2)</f>
        <v>5.3825675675675679E-2</v>
      </c>
      <c r="J57" s="534"/>
      <c r="K57" s="547"/>
      <c r="L57" s="604">
        <f>SUM(L50:L56)</f>
        <v>537718.5</v>
      </c>
      <c r="M57" s="536"/>
      <c r="N57" s="536"/>
      <c r="O57" s="536"/>
      <c r="P57" s="577"/>
      <c r="Q57" s="578"/>
      <c r="R57" s="554"/>
      <c r="S57" s="537"/>
      <c r="T57" s="539"/>
      <c r="U57" s="498"/>
    </row>
    <row r="58" spans="1:26" s="501" customFormat="1" x14ac:dyDescent="0.2">
      <c r="A58" s="488"/>
      <c r="B58" s="488"/>
      <c r="C58" s="545"/>
      <c r="D58" s="528"/>
      <c r="E58" s="529"/>
      <c r="F58" s="530"/>
      <c r="G58" s="550"/>
      <c r="H58" s="532"/>
      <c r="I58" s="533"/>
      <c r="J58" s="534"/>
      <c r="K58" s="547"/>
      <c r="L58" s="535"/>
      <c r="M58" s="536"/>
      <c r="N58" s="536"/>
      <c r="O58" s="536"/>
      <c r="P58" s="577"/>
      <c r="Q58" s="578"/>
      <c r="R58" s="554"/>
      <c r="S58" s="537"/>
      <c r="T58" s="539"/>
      <c r="U58" s="498"/>
    </row>
    <row r="59" spans="1:26" s="501" customFormat="1" x14ac:dyDescent="0.2">
      <c r="A59" s="540" t="s">
        <v>512</v>
      </c>
      <c r="B59" s="540" t="s">
        <v>512</v>
      </c>
      <c r="C59" s="545"/>
      <c r="D59" s="528"/>
      <c r="E59" s="529"/>
      <c r="F59" s="531"/>
      <c r="G59" s="550"/>
      <c r="H59" s="551"/>
      <c r="I59" s="534"/>
      <c r="J59" s="534"/>
      <c r="K59" s="547"/>
      <c r="L59" s="536"/>
      <c r="M59" s="536"/>
      <c r="N59" s="536"/>
      <c r="O59" s="536"/>
      <c r="P59" s="577"/>
      <c r="Q59" s="578"/>
      <c r="R59" s="554"/>
      <c r="S59" s="537"/>
      <c r="T59" s="539"/>
      <c r="U59" s="498"/>
    </row>
    <row r="60" spans="1:26" s="570" customFormat="1" ht="12.75" customHeight="1" x14ac:dyDescent="0.2">
      <c r="A60" s="180">
        <v>20715</v>
      </c>
      <c r="B60" s="180" t="s">
        <v>285</v>
      </c>
      <c r="C60" s="579" t="s">
        <v>8</v>
      </c>
      <c r="D60" s="181">
        <v>38656</v>
      </c>
      <c r="E60" s="180">
        <f t="shared" ref="E60:E69" si="22">$E$2</f>
        <v>30</v>
      </c>
      <c r="F60" s="733">
        <v>200000</v>
      </c>
      <c r="G60" s="182">
        <f t="shared" ref="G60:G69" si="23">SUM(E60*F60)</f>
        <v>6000000</v>
      </c>
      <c r="H60" s="508">
        <f t="shared" ref="H60:H69" si="24">SUM(I60*30.4)</f>
        <v>3.19808</v>
      </c>
      <c r="I60" s="170">
        <v>0.1052</v>
      </c>
      <c r="J60" s="565">
        <v>1.1000000000000001E-3</v>
      </c>
      <c r="K60" s="170">
        <f t="shared" ref="K60:K69" si="25">SUM(I60+J60)</f>
        <v>0.10630000000000001</v>
      </c>
      <c r="L60" s="183">
        <f t="shared" ref="L60:L69" si="26">SUM(I60*G60)</f>
        <v>631200</v>
      </c>
      <c r="M60" s="183">
        <f t="shared" ref="M60:M69" si="27">SUM(J60*G60)</f>
        <v>6600</v>
      </c>
      <c r="N60" s="183">
        <f t="shared" ref="N60:N69" si="28">SUM(L60:M60)</f>
        <v>637800</v>
      </c>
      <c r="O60" s="732" t="s">
        <v>26</v>
      </c>
      <c r="P60" s="175" t="s">
        <v>8</v>
      </c>
      <c r="Q60" s="511" t="s">
        <v>512</v>
      </c>
      <c r="R60" s="511" t="s">
        <v>534</v>
      </c>
      <c r="S60" s="580"/>
      <c r="T60"/>
    </row>
    <row r="61" spans="1:26" s="570" customFormat="1" ht="12.75" customHeight="1" x14ac:dyDescent="0.2">
      <c r="A61" s="180">
        <v>20835</v>
      </c>
      <c r="B61" s="180" t="s">
        <v>293</v>
      </c>
      <c r="C61" s="579" t="s">
        <v>535</v>
      </c>
      <c r="D61" s="181">
        <v>37315</v>
      </c>
      <c r="E61" s="180">
        <f t="shared" si="22"/>
        <v>30</v>
      </c>
      <c r="F61" s="733">
        <v>20000</v>
      </c>
      <c r="G61" s="182">
        <f t="shared" si="23"/>
        <v>600000</v>
      </c>
      <c r="H61" s="508">
        <f t="shared" si="24"/>
        <v>3.19808</v>
      </c>
      <c r="I61" s="170">
        <v>0.1052</v>
      </c>
      <c r="J61" s="565">
        <v>1.1000000000000001E-3</v>
      </c>
      <c r="K61" s="170">
        <f t="shared" si="25"/>
        <v>0.10630000000000001</v>
      </c>
      <c r="L61" s="183">
        <f t="shared" si="26"/>
        <v>63120</v>
      </c>
      <c r="M61" s="183">
        <f t="shared" si="27"/>
        <v>660</v>
      </c>
      <c r="N61" s="183">
        <f t="shared" si="28"/>
        <v>63780</v>
      </c>
      <c r="O61" s="732" t="s">
        <v>292</v>
      </c>
      <c r="P61" s="581" t="s">
        <v>8</v>
      </c>
      <c r="Q61" s="511" t="s">
        <v>512</v>
      </c>
      <c r="R61" s="511" t="s">
        <v>534</v>
      </c>
      <c r="S61" s="582"/>
      <c r="T61" s="487"/>
    </row>
    <row r="62" spans="1:26" s="570" customFormat="1" ht="12.75" customHeight="1" x14ac:dyDescent="0.2">
      <c r="A62" s="180">
        <v>21175</v>
      </c>
      <c r="B62" s="180" t="s">
        <v>536</v>
      </c>
      <c r="C62" s="579" t="s">
        <v>535</v>
      </c>
      <c r="D62" s="181">
        <v>39172</v>
      </c>
      <c r="E62" s="180">
        <f t="shared" si="22"/>
        <v>30</v>
      </c>
      <c r="F62" s="733">
        <v>150000</v>
      </c>
      <c r="G62" s="182">
        <f t="shared" si="23"/>
        <v>4500000</v>
      </c>
      <c r="H62" s="508">
        <f t="shared" si="24"/>
        <v>3.19808</v>
      </c>
      <c r="I62" s="170">
        <v>0.1052</v>
      </c>
      <c r="J62" s="565">
        <v>1.1000000000000001E-3</v>
      </c>
      <c r="K62" s="170">
        <f t="shared" si="25"/>
        <v>0.10630000000000001</v>
      </c>
      <c r="L62" s="183">
        <f t="shared" si="26"/>
        <v>473400</v>
      </c>
      <c r="M62" s="183">
        <f t="shared" si="27"/>
        <v>4950</v>
      </c>
      <c r="N62" s="183">
        <f t="shared" si="28"/>
        <v>478350</v>
      </c>
      <c r="O62" s="732" t="s">
        <v>537</v>
      </c>
      <c r="P62" s="583" t="s">
        <v>538</v>
      </c>
      <c r="Q62" s="511" t="s">
        <v>512</v>
      </c>
      <c r="R62" s="511" t="s">
        <v>534</v>
      </c>
      <c r="S62" s="582"/>
      <c r="T62" s="487"/>
    </row>
    <row r="63" spans="1:26" s="570" customFormat="1" ht="12.75" customHeight="1" x14ac:dyDescent="0.2">
      <c r="A63" s="488">
        <v>21372</v>
      </c>
      <c r="B63" s="488" t="s">
        <v>539</v>
      </c>
      <c r="C63" s="584" t="s">
        <v>540</v>
      </c>
      <c r="D63" s="489">
        <v>34393</v>
      </c>
      <c r="E63" s="180">
        <f t="shared" si="22"/>
        <v>30</v>
      </c>
      <c r="F63" s="733">
        <v>1346</v>
      </c>
      <c r="G63" s="490">
        <v>0</v>
      </c>
      <c r="H63" s="502"/>
      <c r="I63" s="534"/>
      <c r="J63" s="585"/>
      <c r="K63" s="493"/>
      <c r="L63" s="503">
        <f t="shared" si="26"/>
        <v>0</v>
      </c>
      <c r="M63" s="503">
        <f t="shared" si="27"/>
        <v>0</v>
      </c>
      <c r="N63" s="503">
        <f t="shared" si="28"/>
        <v>0</v>
      </c>
      <c r="O63" s="732"/>
      <c r="P63" s="586" t="s">
        <v>541</v>
      </c>
      <c r="Q63" s="509" t="s">
        <v>512</v>
      </c>
      <c r="R63" s="509" t="s">
        <v>512</v>
      </c>
      <c r="S63" s="582"/>
      <c r="T63" s="487"/>
    </row>
    <row r="64" spans="1:26" s="487" customFormat="1" x14ac:dyDescent="0.2">
      <c r="A64" s="180">
        <v>21375</v>
      </c>
      <c r="B64" s="180" t="s">
        <v>301</v>
      </c>
      <c r="C64" s="579" t="s">
        <v>535</v>
      </c>
      <c r="D64" s="181">
        <v>39141</v>
      </c>
      <c r="E64" s="180">
        <f t="shared" si="22"/>
        <v>30</v>
      </c>
      <c r="F64" s="733">
        <v>20000</v>
      </c>
      <c r="G64" s="182">
        <f t="shared" si="23"/>
        <v>600000</v>
      </c>
      <c r="H64" s="508">
        <f t="shared" si="24"/>
        <v>3.19808</v>
      </c>
      <c r="I64" s="170">
        <v>0.1052</v>
      </c>
      <c r="J64" s="565">
        <v>1.1000000000000001E-3</v>
      </c>
      <c r="K64" s="170">
        <f t="shared" si="25"/>
        <v>0.10630000000000001</v>
      </c>
      <c r="L64" s="183">
        <f t="shared" si="26"/>
        <v>63120</v>
      </c>
      <c r="M64" s="183">
        <f t="shared" si="27"/>
        <v>660</v>
      </c>
      <c r="N64" s="183">
        <f t="shared" si="28"/>
        <v>63780</v>
      </c>
      <c r="O64" s="732" t="s">
        <v>292</v>
      </c>
      <c r="P64" s="583" t="s">
        <v>8</v>
      </c>
      <c r="Q64" s="511" t="s">
        <v>512</v>
      </c>
      <c r="R64" s="511" t="s">
        <v>534</v>
      </c>
      <c r="S64" s="587"/>
    </row>
    <row r="65" spans="1:27" s="487" customFormat="1" x14ac:dyDescent="0.2">
      <c r="A65" s="180">
        <v>26371</v>
      </c>
      <c r="B65" s="588" t="s">
        <v>542</v>
      </c>
      <c r="C65" s="579" t="s">
        <v>535</v>
      </c>
      <c r="D65" s="181">
        <v>39172</v>
      </c>
      <c r="E65" s="180">
        <f t="shared" si="22"/>
        <v>30</v>
      </c>
      <c r="F65" s="733">
        <v>25000</v>
      </c>
      <c r="G65" s="182">
        <f t="shared" si="23"/>
        <v>750000</v>
      </c>
      <c r="H65" s="508">
        <f t="shared" si="24"/>
        <v>3.19808</v>
      </c>
      <c r="I65" s="170">
        <v>0.1052</v>
      </c>
      <c r="J65" s="565">
        <v>1.1000000000000001E-3</v>
      </c>
      <c r="K65" s="170">
        <f t="shared" si="25"/>
        <v>0.10630000000000001</v>
      </c>
      <c r="L65" s="183">
        <f t="shared" si="26"/>
        <v>78900</v>
      </c>
      <c r="M65" s="183">
        <f t="shared" si="27"/>
        <v>825</v>
      </c>
      <c r="N65" s="183">
        <f t="shared" si="28"/>
        <v>79725</v>
      </c>
      <c r="O65" s="734" t="s">
        <v>537</v>
      </c>
      <c r="P65" s="583" t="s">
        <v>538</v>
      </c>
      <c r="Q65" s="511" t="s">
        <v>512</v>
      </c>
      <c r="R65" s="511" t="s">
        <v>534</v>
      </c>
      <c r="S65" s="587"/>
    </row>
    <row r="66" spans="1:27" s="487" customFormat="1" x14ac:dyDescent="0.2">
      <c r="A66" s="180">
        <v>26519</v>
      </c>
      <c r="B66" s="180" t="s">
        <v>543</v>
      </c>
      <c r="C66" s="579" t="s">
        <v>535</v>
      </c>
      <c r="D66" s="181">
        <v>39141</v>
      </c>
      <c r="E66" s="180">
        <f t="shared" si="22"/>
        <v>30</v>
      </c>
      <c r="F66" s="733">
        <v>25000</v>
      </c>
      <c r="G66" s="182">
        <f t="shared" si="23"/>
        <v>750000</v>
      </c>
      <c r="H66" s="508">
        <f t="shared" si="24"/>
        <v>3.19808</v>
      </c>
      <c r="I66" s="170">
        <v>0.1052</v>
      </c>
      <c r="J66" s="565">
        <v>1.1000000000000001E-3</v>
      </c>
      <c r="K66" s="170">
        <f t="shared" si="25"/>
        <v>0.10630000000000001</v>
      </c>
      <c r="L66" s="183">
        <f t="shared" si="26"/>
        <v>78900</v>
      </c>
      <c r="M66" s="183">
        <f t="shared" si="27"/>
        <v>825</v>
      </c>
      <c r="N66" s="183">
        <f t="shared" si="28"/>
        <v>79725</v>
      </c>
      <c r="O66" s="732" t="s">
        <v>292</v>
      </c>
      <c r="P66" s="175" t="s">
        <v>8</v>
      </c>
      <c r="Q66" s="511" t="s">
        <v>512</v>
      </c>
      <c r="R66" s="511" t="s">
        <v>534</v>
      </c>
      <c r="S66" s="587"/>
    </row>
    <row r="67" spans="1:27" s="487" customFormat="1" x14ac:dyDescent="0.2">
      <c r="A67" s="180">
        <v>26677</v>
      </c>
      <c r="B67" s="510" t="s">
        <v>544</v>
      </c>
      <c r="C67" s="579" t="s">
        <v>535</v>
      </c>
      <c r="D67" s="181">
        <v>39172</v>
      </c>
      <c r="E67" s="180">
        <f t="shared" si="22"/>
        <v>30</v>
      </c>
      <c r="F67" s="733">
        <v>25000</v>
      </c>
      <c r="G67" s="182">
        <f t="shared" si="23"/>
        <v>750000</v>
      </c>
      <c r="H67" s="508">
        <f t="shared" si="24"/>
        <v>3.19808</v>
      </c>
      <c r="I67" s="170">
        <v>0.1052</v>
      </c>
      <c r="J67" s="565">
        <v>1.1000000000000001E-3</v>
      </c>
      <c r="K67" s="170">
        <f t="shared" si="25"/>
        <v>0.10630000000000001</v>
      </c>
      <c r="L67" s="183">
        <f t="shared" si="26"/>
        <v>78900</v>
      </c>
      <c r="M67" s="183">
        <f t="shared" si="27"/>
        <v>825</v>
      </c>
      <c r="N67" s="183">
        <f t="shared" si="28"/>
        <v>79725</v>
      </c>
      <c r="O67" s="734" t="s">
        <v>537</v>
      </c>
      <c r="P67" s="583" t="s">
        <v>538</v>
      </c>
      <c r="Q67" s="511" t="s">
        <v>512</v>
      </c>
      <c r="R67" s="511" t="s">
        <v>534</v>
      </c>
      <c r="S67" s="587"/>
    </row>
    <row r="68" spans="1:27" s="731" customFormat="1" x14ac:dyDescent="0.2">
      <c r="A68" s="180">
        <v>27534</v>
      </c>
      <c r="B68" s="180" t="s">
        <v>290</v>
      </c>
      <c r="C68" s="181">
        <v>37257</v>
      </c>
      <c r="D68" s="181">
        <v>37986</v>
      </c>
      <c r="E68" s="180">
        <f t="shared" si="22"/>
        <v>30</v>
      </c>
      <c r="F68" s="733">
        <v>32500</v>
      </c>
      <c r="G68" s="182">
        <f t="shared" si="23"/>
        <v>975000</v>
      </c>
      <c r="H68" s="508">
        <f t="shared" si="24"/>
        <v>3.1919999999999997</v>
      </c>
      <c r="I68" s="170">
        <v>0.105</v>
      </c>
      <c r="J68" s="565">
        <v>1.1000000000000001E-3</v>
      </c>
      <c r="K68" s="170">
        <f t="shared" si="25"/>
        <v>0.1061</v>
      </c>
      <c r="L68" s="183">
        <f>SUM(I68*G68)</f>
        <v>102375</v>
      </c>
      <c r="M68" s="183">
        <f>SUM(J68*G68)</f>
        <v>1072.5</v>
      </c>
      <c r="N68" s="183">
        <f>SUM(L68:M68)</f>
        <v>103447.5</v>
      </c>
      <c r="O68" s="732" t="s">
        <v>593</v>
      </c>
      <c r="P68" s="583"/>
      <c r="Q68" s="511"/>
      <c r="R68" s="511"/>
      <c r="S68" s="765"/>
      <c r="T68" s="735"/>
      <c r="U68" s="735"/>
      <c r="V68" s="735"/>
    </row>
    <row r="69" spans="1:27" s="487" customFormat="1" x14ac:dyDescent="0.2">
      <c r="A69" s="180">
        <v>27651</v>
      </c>
      <c r="B69" s="180" t="s">
        <v>314</v>
      </c>
      <c r="C69" s="181">
        <v>37073</v>
      </c>
      <c r="D69" s="181">
        <v>37134</v>
      </c>
      <c r="E69" s="180">
        <f t="shared" si="22"/>
        <v>30</v>
      </c>
      <c r="F69" s="526">
        <v>0</v>
      </c>
      <c r="G69" s="182">
        <f t="shared" si="23"/>
        <v>0</v>
      </c>
      <c r="H69" s="508">
        <f t="shared" si="24"/>
        <v>0</v>
      </c>
      <c r="I69" s="170">
        <v>0</v>
      </c>
      <c r="J69" s="565">
        <v>0</v>
      </c>
      <c r="K69" s="170">
        <f t="shared" si="25"/>
        <v>0</v>
      </c>
      <c r="L69" s="183">
        <f t="shared" si="26"/>
        <v>0</v>
      </c>
      <c r="M69" s="183">
        <f t="shared" si="27"/>
        <v>0</v>
      </c>
      <c r="N69" s="183">
        <f t="shared" si="28"/>
        <v>0</v>
      </c>
      <c r="O69" s="516"/>
      <c r="P69" s="583"/>
      <c r="Q69" s="509"/>
      <c r="R69" s="509"/>
      <c r="S69" s="587"/>
    </row>
    <row r="70" spans="1:27" s="487" customFormat="1" x14ac:dyDescent="0.2">
      <c r="A70" s="488"/>
      <c r="B70" s="591"/>
      <c r="C70" s="592"/>
      <c r="D70" s="593"/>
      <c r="E70" s="529"/>
      <c r="F70" s="182">
        <f>SUM(F60:F69)</f>
        <v>498846</v>
      </c>
      <c r="G70" s="594"/>
      <c r="H70" s="532" t="s">
        <v>506</v>
      </c>
      <c r="I70" s="533">
        <f>L70/(F70*E2)</f>
        <v>0.10490311639263419</v>
      </c>
      <c r="J70" s="595"/>
      <c r="K70" s="596"/>
      <c r="L70" s="183">
        <f>SUM(L60:L69)</f>
        <v>1569915</v>
      </c>
      <c r="M70" s="598"/>
      <c r="N70" s="598"/>
      <c r="O70" s="503"/>
      <c r="P70" s="580"/>
      <c r="Q70" s="505"/>
      <c r="R70" s="505"/>
      <c r="S70" s="580"/>
      <c r="T70"/>
    </row>
    <row r="71" spans="1:27" s="487" customFormat="1" x14ac:dyDescent="0.2">
      <c r="A71" s="488"/>
      <c r="B71" s="591"/>
      <c r="C71" s="592"/>
      <c r="D71" s="593"/>
      <c r="E71" s="529"/>
      <c r="F71" s="599"/>
      <c r="G71" s="594"/>
      <c r="H71" s="532"/>
      <c r="I71" s="533"/>
      <c r="J71" s="595"/>
      <c r="K71" s="596"/>
      <c r="L71" s="597"/>
      <c r="M71" s="598"/>
      <c r="N71" s="598"/>
      <c r="O71" s="503"/>
      <c r="P71" s="580"/>
      <c r="Q71" s="505"/>
      <c r="R71" s="505"/>
      <c r="S71" s="580"/>
      <c r="T71"/>
    </row>
    <row r="72" spans="1:27" s="487" customFormat="1" x14ac:dyDescent="0.2">
      <c r="A72" s="540" t="s">
        <v>477</v>
      </c>
      <c r="B72" s="540" t="s">
        <v>494</v>
      </c>
      <c r="C72" s="592"/>
      <c r="D72" s="593"/>
      <c r="E72" s="529"/>
      <c r="F72" s="594"/>
      <c r="G72" s="594"/>
      <c r="H72" s="502"/>
      <c r="I72" s="568"/>
      <c r="J72" s="595"/>
      <c r="K72" s="596"/>
      <c r="L72" s="598"/>
      <c r="M72" s="598"/>
      <c r="N72" s="598"/>
      <c r="O72" s="503"/>
      <c r="P72" s="580"/>
      <c r="Q72" s="505"/>
      <c r="R72" s="505"/>
      <c r="S72" s="580"/>
      <c r="T72"/>
    </row>
    <row r="73" spans="1:27" s="570" customFormat="1" x14ac:dyDescent="0.2">
      <c r="A73" s="180">
        <v>8255</v>
      </c>
      <c r="B73" s="180" t="s">
        <v>545</v>
      </c>
      <c r="C73" s="579" t="s">
        <v>546</v>
      </c>
      <c r="D73" s="181">
        <v>38656</v>
      </c>
      <c r="E73" s="180">
        <f>$E$2</f>
        <v>30</v>
      </c>
      <c r="F73" s="733">
        <v>306000</v>
      </c>
      <c r="G73" s="182">
        <f t="shared" ref="G73:G83" si="29">SUM(E73*F73)</f>
        <v>9180000</v>
      </c>
      <c r="H73" s="508">
        <f t="shared" ref="H73:H83" si="30">SUM(I73*30.4)</f>
        <v>12.178240000000001</v>
      </c>
      <c r="I73" s="170">
        <v>0.40060000000000001</v>
      </c>
      <c r="J73" s="565">
        <v>3.32E-2</v>
      </c>
      <c r="K73" s="170">
        <f t="shared" ref="K73:K83" si="31">SUM(I73+J73)</f>
        <v>0.43380000000000002</v>
      </c>
      <c r="L73" s="183">
        <f t="shared" ref="L73:L86" si="32">SUM(I73*G73)</f>
        <v>3677508</v>
      </c>
      <c r="M73" s="183">
        <f t="shared" ref="M73:M86" si="33">SUM(J73*G73)</f>
        <v>304776</v>
      </c>
      <c r="N73" s="183">
        <f t="shared" ref="N73:N83" si="34">SUM(L73:M73)</f>
        <v>3982284</v>
      </c>
      <c r="O73" s="732" t="s">
        <v>292</v>
      </c>
      <c r="P73" s="175" t="s">
        <v>547</v>
      </c>
      <c r="Q73" s="511" t="s">
        <v>477</v>
      </c>
      <c r="R73" s="511" t="s">
        <v>494</v>
      </c>
      <c r="S73" s="175"/>
      <c r="T73" s="168"/>
    </row>
    <row r="74" spans="1:27" s="570" customFormat="1" x14ac:dyDescent="0.2">
      <c r="A74" s="180">
        <v>25841</v>
      </c>
      <c r="B74" s="180" t="s">
        <v>286</v>
      </c>
      <c r="C74" s="181">
        <v>36557</v>
      </c>
      <c r="D74" s="181">
        <v>37560</v>
      </c>
      <c r="E74" s="180">
        <f>$E$2</f>
        <v>30</v>
      </c>
      <c r="F74" s="182">
        <v>40000</v>
      </c>
      <c r="G74" s="182">
        <f t="shared" si="29"/>
        <v>1200000</v>
      </c>
      <c r="H74" s="508">
        <f t="shared" si="30"/>
        <v>2.5201599999999997</v>
      </c>
      <c r="I74" s="170">
        <v>8.2900000000000001E-2</v>
      </c>
      <c r="J74" s="170">
        <v>2.46E-2</v>
      </c>
      <c r="K74" s="170">
        <f t="shared" si="31"/>
        <v>0.1075</v>
      </c>
      <c r="L74" s="183">
        <f t="shared" si="32"/>
        <v>99480</v>
      </c>
      <c r="M74" s="183">
        <f t="shared" si="33"/>
        <v>29520</v>
      </c>
      <c r="N74" s="183">
        <f t="shared" si="34"/>
        <v>129000</v>
      </c>
      <c r="O74" s="183" t="s">
        <v>548</v>
      </c>
      <c r="P74" s="175" t="s">
        <v>549</v>
      </c>
      <c r="Q74" s="511" t="s">
        <v>477</v>
      </c>
      <c r="R74" s="511" t="s">
        <v>494</v>
      </c>
      <c r="S74" s="175"/>
      <c r="T74" s="175"/>
    </row>
    <row r="75" spans="1:27" s="570" customFormat="1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83"/>
      <c r="M75" s="183">
        <f>SUM(J106*G106)</f>
        <v>0</v>
      </c>
      <c r="N75" s="183">
        <f t="shared" si="34"/>
        <v>0</v>
      </c>
      <c r="O75" s="183" t="s">
        <v>488</v>
      </c>
      <c r="P75" s="581" t="s">
        <v>550</v>
      </c>
      <c r="Q75" s="511" t="s">
        <v>477</v>
      </c>
      <c r="R75" s="511" t="s">
        <v>494</v>
      </c>
      <c r="S75" s="175"/>
      <c r="T75" s="175"/>
    </row>
    <row r="76" spans="1:27" s="487" customFormat="1" x14ac:dyDescent="0.2">
      <c r="A76" s="180" t="s">
        <v>317</v>
      </c>
      <c r="B76" s="180" t="s">
        <v>284</v>
      </c>
      <c r="C76" s="181">
        <v>36100</v>
      </c>
      <c r="D76" s="181">
        <v>37925</v>
      </c>
      <c r="E76" s="180">
        <f t="shared" ref="E76:E87" si="35">$E$2</f>
        <v>30</v>
      </c>
      <c r="F76" s="182">
        <v>70000</v>
      </c>
      <c r="G76" s="182">
        <f>SUM(E76*F76)</f>
        <v>2100000</v>
      </c>
      <c r="H76" s="508">
        <f>SUM(I76*30.4)</f>
        <v>3.5081599999999997</v>
      </c>
      <c r="I76" s="170">
        <v>0.1154</v>
      </c>
      <c r="J76" s="170">
        <v>2.46E-2</v>
      </c>
      <c r="K76" s="170">
        <f>SUM(I76+J76)</f>
        <v>0.14000000000000001</v>
      </c>
      <c r="L76" s="183">
        <f>SUM(I76*G76)</f>
        <v>242340</v>
      </c>
      <c r="M76" s="183">
        <f>SUM(J76*G76)</f>
        <v>51660</v>
      </c>
      <c r="N76" s="183">
        <f>SUM(L76:M76)</f>
        <v>294000</v>
      </c>
      <c r="O76" s="183" t="s">
        <v>488</v>
      </c>
      <c r="P76" s="510" t="s">
        <v>489</v>
      </c>
      <c r="Q76" s="511" t="s">
        <v>477</v>
      </c>
      <c r="R76" s="511" t="s">
        <v>490</v>
      </c>
      <c r="S76" s="175"/>
      <c r="T76" s="175" t="s">
        <v>491</v>
      </c>
      <c r="U76" s="168"/>
      <c r="V76" s="168"/>
      <c r="W76" s="168"/>
      <c r="X76" s="168"/>
    </row>
    <row r="77" spans="1:27" s="487" customFormat="1" x14ac:dyDescent="0.2">
      <c r="A77" s="180">
        <v>26511</v>
      </c>
      <c r="B77" s="180" t="s">
        <v>286</v>
      </c>
      <c r="C77" s="181">
        <v>36465</v>
      </c>
      <c r="D77" s="181">
        <v>37560</v>
      </c>
      <c r="E77" s="180">
        <f t="shared" si="35"/>
        <v>30</v>
      </c>
      <c r="F77" s="182">
        <v>21000</v>
      </c>
      <c r="G77" s="182">
        <f t="shared" si="29"/>
        <v>630000</v>
      </c>
      <c r="H77" s="508">
        <f t="shared" si="30"/>
        <v>2.5201599999999997</v>
      </c>
      <c r="I77" s="170">
        <v>8.2900000000000001E-2</v>
      </c>
      <c r="J77" s="170">
        <v>2.46E-2</v>
      </c>
      <c r="K77" s="170">
        <f t="shared" si="31"/>
        <v>0.1075</v>
      </c>
      <c r="L77" s="183">
        <f t="shared" si="32"/>
        <v>52227</v>
      </c>
      <c r="M77" s="183">
        <f t="shared" si="33"/>
        <v>15498</v>
      </c>
      <c r="N77" s="183">
        <f t="shared" si="34"/>
        <v>67725</v>
      </c>
      <c r="O77" s="183" t="s">
        <v>488</v>
      </c>
      <c r="P77" s="175" t="s">
        <v>26</v>
      </c>
      <c r="Q77" s="511" t="s">
        <v>477</v>
      </c>
      <c r="R77" s="511" t="s">
        <v>494</v>
      </c>
      <c r="S77" s="175"/>
      <c r="T77" s="175"/>
      <c r="U77" s="168"/>
      <c r="V77" s="168"/>
      <c r="W77" s="168"/>
      <c r="X77" s="168"/>
    </row>
    <row r="78" spans="1:27" s="168" customFormat="1" x14ac:dyDescent="0.2">
      <c r="A78" s="180">
        <v>26635</v>
      </c>
      <c r="B78" s="180" t="s">
        <v>551</v>
      </c>
      <c r="C78" s="181">
        <v>36192</v>
      </c>
      <c r="D78" s="507">
        <v>37256</v>
      </c>
      <c r="E78" s="180">
        <f t="shared" si="35"/>
        <v>30</v>
      </c>
      <c r="F78" s="182">
        <v>0</v>
      </c>
      <c r="G78" s="182">
        <f t="shared" si="29"/>
        <v>0</v>
      </c>
      <c r="H78" s="508">
        <f t="shared" si="30"/>
        <v>10.58832</v>
      </c>
      <c r="I78" s="170">
        <v>0.3483</v>
      </c>
      <c r="J78" s="170">
        <v>3.1600000000000003E-2</v>
      </c>
      <c r="K78" s="170">
        <f t="shared" si="31"/>
        <v>0.37990000000000002</v>
      </c>
      <c r="L78" s="183">
        <f t="shared" si="32"/>
        <v>0</v>
      </c>
      <c r="M78" s="183">
        <f t="shared" si="33"/>
        <v>0</v>
      </c>
      <c r="N78" s="183">
        <f t="shared" si="34"/>
        <v>0</v>
      </c>
      <c r="O78" s="183" t="s">
        <v>492</v>
      </c>
      <c r="P78" s="175" t="s">
        <v>552</v>
      </c>
      <c r="Q78" s="511" t="s">
        <v>477</v>
      </c>
      <c r="R78" s="511" t="s">
        <v>494</v>
      </c>
      <c r="S78" s="175"/>
      <c r="T78" s="175"/>
    </row>
    <row r="79" spans="1:27" s="168" customFormat="1" x14ac:dyDescent="0.2">
      <c r="A79" s="180">
        <v>26683</v>
      </c>
      <c r="B79" s="180" t="s">
        <v>553</v>
      </c>
      <c r="C79" s="181">
        <v>36220</v>
      </c>
      <c r="D79" s="181">
        <v>37346</v>
      </c>
      <c r="E79" s="180">
        <f t="shared" si="35"/>
        <v>30</v>
      </c>
      <c r="F79" s="733">
        <v>8000</v>
      </c>
      <c r="G79" s="182">
        <f t="shared" si="29"/>
        <v>240000</v>
      </c>
      <c r="H79" s="508">
        <f t="shared" si="30"/>
        <v>10.58832</v>
      </c>
      <c r="I79" s="170">
        <v>0.3483</v>
      </c>
      <c r="J79" s="170">
        <v>2.46E-2</v>
      </c>
      <c r="K79" s="170">
        <f t="shared" si="31"/>
        <v>0.37290000000000001</v>
      </c>
      <c r="L79" s="183">
        <f t="shared" si="32"/>
        <v>83592</v>
      </c>
      <c r="M79" s="183">
        <f t="shared" si="33"/>
        <v>5904</v>
      </c>
      <c r="N79" s="183">
        <f t="shared" si="34"/>
        <v>89496</v>
      </c>
      <c r="O79" s="728" t="s">
        <v>326</v>
      </c>
      <c r="P79" s="175" t="s">
        <v>554</v>
      </c>
      <c r="Q79" s="511" t="s">
        <v>477</v>
      </c>
      <c r="R79" s="511" t="s">
        <v>494</v>
      </c>
      <c r="T79" s="168" t="s">
        <v>555</v>
      </c>
      <c r="Y79" s="487"/>
      <c r="Z79" s="487"/>
      <c r="AA79" s="487"/>
    </row>
    <row r="80" spans="1:27" s="521" customFormat="1" x14ac:dyDescent="0.2">
      <c r="A80" s="523">
        <v>26683</v>
      </c>
      <c r="B80" s="523" t="s">
        <v>553</v>
      </c>
      <c r="C80" s="524">
        <v>37347</v>
      </c>
      <c r="D80" s="524">
        <v>37711</v>
      </c>
      <c r="E80" s="523">
        <f t="shared" si="35"/>
        <v>30</v>
      </c>
      <c r="F80" s="733">
        <v>0</v>
      </c>
      <c r="G80" s="522">
        <f>SUM(E80*F80)</f>
        <v>0</v>
      </c>
      <c r="H80" s="589">
        <f>SUM(I80*30.4)</f>
        <v>10.58832</v>
      </c>
      <c r="I80" s="525">
        <v>0.3483</v>
      </c>
      <c r="J80" s="525">
        <v>2.46E-2</v>
      </c>
      <c r="K80" s="525">
        <f>SUM(I80+J80)</f>
        <v>0.37290000000000001</v>
      </c>
      <c r="L80" s="516">
        <f>SUM(I80*G80)</f>
        <v>0</v>
      </c>
      <c r="M80" s="516">
        <f>SUM(J80*G80)</f>
        <v>0</v>
      </c>
      <c r="N80" s="516">
        <f>SUM(L80:M80)</f>
        <v>0</v>
      </c>
      <c r="O80" s="728" t="s">
        <v>326</v>
      </c>
      <c r="P80" s="519" t="s">
        <v>554</v>
      </c>
      <c r="Q80" s="518" t="s">
        <v>477</v>
      </c>
      <c r="R80" s="518" t="s">
        <v>494</v>
      </c>
      <c r="T80" s="521" t="s">
        <v>555</v>
      </c>
      <c r="Y80" s="731"/>
      <c r="Z80" s="731"/>
      <c r="AA80" s="731"/>
    </row>
    <row r="81" spans="1:112" s="601" customFormat="1" x14ac:dyDescent="0.2">
      <c r="A81" s="180">
        <v>26758</v>
      </c>
      <c r="B81" s="588" t="s">
        <v>556</v>
      </c>
      <c r="C81" s="181">
        <v>36647</v>
      </c>
      <c r="D81" s="181">
        <v>38472</v>
      </c>
      <c r="E81" s="180">
        <f t="shared" si="35"/>
        <v>30</v>
      </c>
      <c r="F81" s="182">
        <v>40000</v>
      </c>
      <c r="G81" s="182">
        <f t="shared" si="29"/>
        <v>1200000</v>
      </c>
      <c r="H81" s="508">
        <f t="shared" si="30"/>
        <v>2.6326399999999999</v>
      </c>
      <c r="I81" s="170">
        <v>8.6599999999999996E-2</v>
      </c>
      <c r="J81" s="170">
        <v>2.46E-2</v>
      </c>
      <c r="K81" s="170">
        <f t="shared" si="31"/>
        <v>0.11119999999999999</v>
      </c>
      <c r="L81" s="183">
        <f t="shared" si="32"/>
        <v>103920</v>
      </c>
      <c r="M81" s="183">
        <f t="shared" si="33"/>
        <v>29520</v>
      </c>
      <c r="N81" s="183">
        <f t="shared" si="34"/>
        <v>133440</v>
      </c>
      <c r="O81" s="183" t="s">
        <v>488</v>
      </c>
      <c r="P81" s="175" t="s">
        <v>557</v>
      </c>
      <c r="Q81" s="511" t="s">
        <v>477</v>
      </c>
      <c r="R81" s="511" t="s">
        <v>494</v>
      </c>
      <c r="S81" s="168"/>
      <c r="T81" s="168" t="s">
        <v>558</v>
      </c>
      <c r="U81" s="600"/>
      <c r="V81" s="600"/>
      <c r="W81" s="600"/>
      <c r="X81" s="600"/>
    </row>
    <row r="82" spans="1:112" s="601" customFormat="1" x14ac:dyDescent="0.2">
      <c r="A82" s="180">
        <v>26819</v>
      </c>
      <c r="B82" s="180" t="s">
        <v>289</v>
      </c>
      <c r="C82" s="181">
        <v>36647</v>
      </c>
      <c r="D82" s="181">
        <v>38472</v>
      </c>
      <c r="E82" s="180">
        <f t="shared" si="35"/>
        <v>30</v>
      </c>
      <c r="F82" s="182">
        <v>10000</v>
      </c>
      <c r="G82" s="182">
        <f t="shared" si="29"/>
        <v>300000</v>
      </c>
      <c r="H82" s="508">
        <f t="shared" si="30"/>
        <v>2.9001599999999996</v>
      </c>
      <c r="I82" s="170">
        <f>0.12-0.0246</f>
        <v>9.5399999999999999E-2</v>
      </c>
      <c r="J82" s="170">
        <v>2.46E-2</v>
      </c>
      <c r="K82" s="170">
        <f t="shared" si="31"/>
        <v>0.12</v>
      </c>
      <c r="L82" s="183">
        <f t="shared" si="32"/>
        <v>28620</v>
      </c>
      <c r="M82" s="183">
        <f t="shared" si="33"/>
        <v>7380</v>
      </c>
      <c r="N82" s="183">
        <f t="shared" si="34"/>
        <v>36000</v>
      </c>
      <c r="O82" s="183" t="s">
        <v>492</v>
      </c>
      <c r="P82" s="175" t="s">
        <v>552</v>
      </c>
      <c r="Q82" s="511" t="s">
        <v>477</v>
      </c>
      <c r="R82" s="511" t="s">
        <v>494</v>
      </c>
      <c r="S82" s="175"/>
      <c r="T82" s="175" t="s">
        <v>558</v>
      </c>
      <c r="U82" s="600"/>
      <c r="V82" s="600"/>
      <c r="W82" s="600"/>
      <c r="X82" s="600"/>
    </row>
    <row r="83" spans="1:112" s="487" customFormat="1" ht="12.75" customHeight="1" x14ac:dyDescent="0.2">
      <c r="A83" s="180">
        <v>27252</v>
      </c>
      <c r="B83" s="180" t="s">
        <v>559</v>
      </c>
      <c r="C83" s="181">
        <v>36845</v>
      </c>
      <c r="D83" s="602">
        <v>40482</v>
      </c>
      <c r="E83" s="180">
        <f t="shared" si="35"/>
        <v>30</v>
      </c>
      <c r="F83" s="603">
        <v>14000</v>
      </c>
      <c r="G83" s="182">
        <f t="shared" si="29"/>
        <v>420000</v>
      </c>
      <c r="H83" s="508">
        <f t="shared" si="30"/>
        <v>3.81216</v>
      </c>
      <c r="I83" s="533">
        <v>0.12540000000000001</v>
      </c>
      <c r="J83" s="533">
        <v>2.46E-2</v>
      </c>
      <c r="K83" s="533">
        <f t="shared" si="31"/>
        <v>0.15000000000000002</v>
      </c>
      <c r="L83" s="604">
        <f t="shared" si="32"/>
        <v>52668.000000000007</v>
      </c>
      <c r="M83" s="604">
        <f t="shared" si="33"/>
        <v>10332</v>
      </c>
      <c r="N83" s="604">
        <f t="shared" si="34"/>
        <v>63000.000000000007</v>
      </c>
      <c r="O83" s="604" t="s">
        <v>478</v>
      </c>
      <c r="P83" s="605"/>
      <c r="Q83" s="511" t="s">
        <v>477</v>
      </c>
      <c r="R83" s="511" t="s">
        <v>494</v>
      </c>
      <c r="S83" s="605"/>
      <c r="T83" s="605"/>
      <c r="U83" s="600"/>
      <c r="V83" s="600"/>
      <c r="W83" s="600"/>
      <c r="X83" s="600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  <c r="AR83" s="601"/>
      <c r="AS83" s="601"/>
      <c r="AT83" s="601"/>
      <c r="AU83" s="601"/>
      <c r="AV83" s="601"/>
      <c r="AW83" s="601"/>
      <c r="AX83" s="601"/>
      <c r="AY83" s="601"/>
      <c r="AZ83" s="601"/>
      <c r="BA83" s="601"/>
      <c r="BB83" s="601"/>
      <c r="BC83" s="601"/>
      <c r="BD83" s="601"/>
      <c r="BE83" s="601"/>
      <c r="BF83" s="601"/>
      <c r="BG83" s="601"/>
      <c r="BH83" s="601"/>
      <c r="BI83" s="601"/>
      <c r="BJ83" s="601"/>
      <c r="BK83" s="601"/>
      <c r="BL83" s="601"/>
      <c r="BM83" s="601"/>
      <c r="BN83" s="601"/>
      <c r="BO83" s="601"/>
      <c r="BP83" s="601"/>
      <c r="BQ83" s="601"/>
      <c r="BR83" s="601"/>
      <c r="BS83" s="601"/>
      <c r="BT83" s="601"/>
      <c r="BU83" s="601"/>
      <c r="BV83" s="601"/>
      <c r="BW83" s="601"/>
      <c r="BX83" s="601"/>
      <c r="BY83" s="601"/>
      <c r="BZ83" s="601"/>
      <c r="CA83" s="601"/>
      <c r="CB83" s="601"/>
      <c r="CC83" s="601"/>
      <c r="CD83" s="601"/>
      <c r="CE83" s="601"/>
      <c r="CF83" s="601"/>
      <c r="CG83" s="601"/>
      <c r="CH83" s="601"/>
      <c r="CI83" s="601"/>
      <c r="CJ83" s="601"/>
      <c r="CK83" s="601"/>
      <c r="CL83" s="601"/>
      <c r="CM83" s="601"/>
      <c r="CN83" s="601"/>
      <c r="CO83" s="601"/>
      <c r="CP83" s="601"/>
      <c r="CQ83" s="601"/>
      <c r="CR83" s="601"/>
      <c r="CS83" s="601"/>
      <c r="CT83" s="601"/>
      <c r="CU83" s="601"/>
      <c r="CV83" s="601"/>
      <c r="CW83" s="601"/>
      <c r="CX83" s="601"/>
      <c r="CY83" s="601"/>
      <c r="CZ83" s="601"/>
      <c r="DA83" s="601"/>
      <c r="DB83" s="601"/>
      <c r="DC83" s="601"/>
      <c r="DD83" s="601"/>
      <c r="DE83" s="601"/>
      <c r="DF83" s="601"/>
      <c r="DG83" s="601"/>
      <c r="DH83" s="601"/>
    </row>
    <row r="84" spans="1:112" s="487" customFormat="1" ht="12.75" customHeight="1" x14ac:dyDescent="0.2">
      <c r="A84" s="180">
        <v>27334</v>
      </c>
      <c r="B84" s="180" t="s">
        <v>287</v>
      </c>
      <c r="C84" s="181">
        <v>36982</v>
      </c>
      <c r="D84" s="606">
        <v>37195</v>
      </c>
      <c r="E84" s="180">
        <f t="shared" si="35"/>
        <v>30</v>
      </c>
      <c r="F84" s="603">
        <v>0</v>
      </c>
      <c r="G84" s="182">
        <f>SUM(E84*F84)</f>
        <v>0</v>
      </c>
      <c r="H84" s="508">
        <f>SUM(I84*30.4)</f>
        <v>0</v>
      </c>
      <c r="I84" s="533">
        <v>0</v>
      </c>
      <c r="J84" s="533">
        <v>0</v>
      </c>
      <c r="K84" s="533">
        <f>SUM(I84+J84)</f>
        <v>0</v>
      </c>
      <c r="L84" s="604">
        <f>SUM(I84*G84)</f>
        <v>0</v>
      </c>
      <c r="M84" s="604">
        <f>SUM(J84*G84)</f>
        <v>0</v>
      </c>
      <c r="N84" s="604">
        <f>SUM(L84:M84)</f>
        <v>0</v>
      </c>
      <c r="O84" s="604" t="s">
        <v>478</v>
      </c>
      <c r="P84" s="605"/>
      <c r="Q84" s="607"/>
      <c r="R84" s="607"/>
      <c r="S84" s="605"/>
      <c r="T84" s="605"/>
      <c r="U84" s="600"/>
      <c r="V84" s="600"/>
      <c r="W84" s="600"/>
      <c r="X84" s="600"/>
      <c r="Y84" s="601"/>
      <c r="Z84" s="601"/>
      <c r="AA84" s="601"/>
      <c r="AB84" s="601"/>
      <c r="AC84" s="601"/>
      <c r="AD84" s="601"/>
      <c r="AE84" s="601"/>
      <c r="AF84" s="601"/>
      <c r="AG84" s="601"/>
      <c r="AH84" s="601"/>
      <c r="AI84" s="601"/>
      <c r="AJ84" s="601"/>
      <c r="AK84" s="601"/>
      <c r="AL84" s="601"/>
      <c r="AM84" s="601"/>
      <c r="AN84" s="601"/>
      <c r="AO84" s="601"/>
      <c r="AP84" s="601"/>
      <c r="AQ84" s="601"/>
      <c r="AR84" s="601"/>
      <c r="AS84" s="601"/>
      <c r="AT84" s="601"/>
      <c r="AU84" s="601"/>
      <c r="AV84" s="601"/>
      <c r="AW84" s="601"/>
      <c r="AX84" s="601"/>
      <c r="AY84" s="601"/>
      <c r="AZ84" s="601"/>
      <c r="BA84" s="601"/>
      <c r="BB84" s="601"/>
      <c r="BC84" s="601"/>
      <c r="BD84" s="601"/>
      <c r="BE84" s="601"/>
      <c r="BF84" s="601"/>
      <c r="BG84" s="601"/>
      <c r="BH84" s="601"/>
      <c r="BI84" s="601"/>
      <c r="BJ84" s="601"/>
      <c r="BK84" s="601"/>
      <c r="BL84" s="601"/>
      <c r="BM84" s="601"/>
      <c r="BN84" s="601"/>
      <c r="BO84" s="601"/>
      <c r="BP84" s="601"/>
      <c r="BQ84" s="601"/>
      <c r="BR84" s="601"/>
      <c r="BS84" s="601"/>
      <c r="BT84" s="601"/>
      <c r="BU84" s="601"/>
      <c r="BV84" s="601"/>
      <c r="BW84" s="601"/>
      <c r="BX84" s="601"/>
      <c r="BY84" s="601"/>
      <c r="BZ84" s="601"/>
      <c r="CA84" s="601"/>
      <c r="CB84" s="601"/>
      <c r="CC84" s="601"/>
      <c r="CD84" s="601"/>
      <c r="CE84" s="601"/>
      <c r="CF84" s="601"/>
      <c r="CG84" s="601"/>
      <c r="CH84" s="601"/>
      <c r="CI84" s="601"/>
      <c r="CJ84" s="601"/>
      <c r="CK84" s="601"/>
      <c r="CL84" s="601"/>
      <c r="CM84" s="601"/>
      <c r="CN84" s="601"/>
      <c r="CO84" s="601"/>
      <c r="CP84" s="601"/>
      <c r="CQ84" s="601"/>
      <c r="CR84" s="601"/>
      <c r="CS84" s="601"/>
      <c r="CT84" s="601"/>
      <c r="CU84" s="601"/>
      <c r="CV84" s="601"/>
      <c r="CW84" s="601"/>
      <c r="CX84" s="601"/>
      <c r="CY84" s="601"/>
      <c r="CZ84" s="601"/>
      <c r="DA84" s="601"/>
      <c r="DB84" s="601"/>
      <c r="DC84" s="601"/>
      <c r="DD84" s="601"/>
      <c r="DE84" s="601"/>
      <c r="DF84" s="601"/>
      <c r="DG84" s="601"/>
      <c r="DH84" s="601"/>
    </row>
    <row r="85" spans="1:112" s="615" customFormat="1" ht="12.75" customHeight="1" x14ac:dyDescent="0.2">
      <c r="A85" s="573">
        <v>27340</v>
      </c>
      <c r="B85" s="573" t="s">
        <v>560</v>
      </c>
      <c r="C85" s="574">
        <v>36923</v>
      </c>
      <c r="D85" s="608">
        <v>37287</v>
      </c>
      <c r="E85" s="180">
        <f t="shared" si="35"/>
        <v>30</v>
      </c>
      <c r="F85" s="730">
        <v>20000</v>
      </c>
      <c r="G85" s="575">
        <f>SUM(E85*F85)</f>
        <v>600000</v>
      </c>
      <c r="H85" s="576">
        <f>SUM(I85*30.4)</f>
        <v>10.497119999999999</v>
      </c>
      <c r="I85" s="609">
        <v>0.3453</v>
      </c>
      <c r="J85" s="609">
        <v>3.1600000000000003E-2</v>
      </c>
      <c r="K85" s="609">
        <f>SUM(I85+J85)</f>
        <v>0.37690000000000001</v>
      </c>
      <c r="L85" s="610">
        <f t="shared" si="32"/>
        <v>207180</v>
      </c>
      <c r="M85" s="610">
        <f t="shared" si="33"/>
        <v>18960.000000000004</v>
      </c>
      <c r="N85" s="610">
        <f>SUM(L85:M85)</f>
        <v>226140</v>
      </c>
      <c r="O85" s="728" t="s">
        <v>326</v>
      </c>
      <c r="P85" s="611"/>
      <c r="Q85" s="612"/>
      <c r="R85" s="612"/>
      <c r="S85" s="611"/>
      <c r="T85" s="611" t="s">
        <v>561</v>
      </c>
      <c r="U85" s="613"/>
      <c r="V85" s="613"/>
      <c r="W85" s="613"/>
      <c r="X85" s="613"/>
      <c r="Y85" s="614"/>
      <c r="Z85" s="614"/>
      <c r="AA85" s="614"/>
      <c r="AB85" s="614"/>
      <c r="AC85" s="614"/>
      <c r="AD85" s="614"/>
      <c r="AE85" s="614"/>
      <c r="AF85" s="614"/>
      <c r="AG85" s="614"/>
      <c r="AH85" s="614"/>
      <c r="AI85" s="614"/>
      <c r="AJ85" s="614"/>
      <c r="AK85" s="614"/>
      <c r="AL85" s="614"/>
      <c r="AM85" s="614"/>
      <c r="AN85" s="614"/>
      <c r="AO85" s="614"/>
      <c r="AP85" s="614"/>
      <c r="AQ85" s="614"/>
      <c r="AR85" s="614"/>
      <c r="AS85" s="614"/>
      <c r="AT85" s="614"/>
      <c r="AU85" s="614"/>
      <c r="AV85" s="614"/>
      <c r="AW85" s="614"/>
      <c r="AX85" s="614"/>
      <c r="AY85" s="614"/>
      <c r="AZ85" s="614"/>
      <c r="BA85" s="614"/>
      <c r="BB85" s="614"/>
      <c r="BC85" s="614"/>
      <c r="BD85" s="614"/>
      <c r="BE85" s="614"/>
      <c r="BF85" s="614"/>
      <c r="BG85" s="614"/>
      <c r="BH85" s="614"/>
      <c r="BI85" s="614"/>
      <c r="BJ85" s="614"/>
      <c r="BK85" s="614"/>
      <c r="BL85" s="614"/>
      <c r="BM85" s="614"/>
      <c r="BN85" s="614"/>
      <c r="BO85" s="614"/>
      <c r="BP85" s="614"/>
      <c r="BQ85" s="614"/>
      <c r="BR85" s="614"/>
      <c r="BS85" s="614"/>
      <c r="BT85" s="614"/>
      <c r="BU85" s="614"/>
      <c r="BV85" s="614"/>
      <c r="BW85" s="614"/>
      <c r="BX85" s="614"/>
      <c r="BY85" s="614"/>
      <c r="BZ85" s="614"/>
      <c r="CA85" s="614"/>
      <c r="CB85" s="614"/>
      <c r="CC85" s="614"/>
      <c r="CD85" s="614"/>
      <c r="CE85" s="614"/>
      <c r="CF85" s="614"/>
      <c r="CG85" s="614"/>
      <c r="CH85" s="614"/>
      <c r="CI85" s="614"/>
      <c r="CJ85" s="614"/>
      <c r="CK85" s="614"/>
      <c r="CL85" s="614"/>
      <c r="CM85" s="614"/>
      <c r="CN85" s="614"/>
      <c r="CO85" s="614"/>
      <c r="CP85" s="614"/>
      <c r="CQ85" s="614"/>
      <c r="CR85" s="614"/>
      <c r="CS85" s="614"/>
      <c r="CT85" s="614"/>
      <c r="CU85" s="614"/>
      <c r="CV85" s="614"/>
      <c r="CW85" s="614"/>
      <c r="CX85" s="614"/>
      <c r="CY85" s="614"/>
      <c r="CZ85" s="614"/>
      <c r="DA85" s="614"/>
      <c r="DB85" s="614"/>
      <c r="DC85" s="614"/>
      <c r="DD85" s="614"/>
      <c r="DE85" s="614"/>
      <c r="DF85" s="614"/>
      <c r="DG85" s="614"/>
      <c r="DH85" s="614"/>
    </row>
    <row r="86" spans="1:112" s="735" customFormat="1" ht="12.75" customHeight="1" x14ac:dyDescent="0.2">
      <c r="A86" s="180">
        <v>27352</v>
      </c>
      <c r="B86" s="180" t="s">
        <v>27</v>
      </c>
      <c r="C86" s="181">
        <v>37196</v>
      </c>
      <c r="D86" s="602">
        <v>37560</v>
      </c>
      <c r="E86" s="180">
        <f t="shared" si="35"/>
        <v>30</v>
      </c>
      <c r="F86" s="603">
        <v>21500</v>
      </c>
      <c r="G86" s="182">
        <f>SUM(E86*F86)</f>
        <v>645000</v>
      </c>
      <c r="H86" s="508">
        <f>SUM(I86*30.4)</f>
        <v>8.3721599999999992</v>
      </c>
      <c r="I86" s="533">
        <v>0.27539999999999998</v>
      </c>
      <c r="J86" s="533">
        <v>2.46E-2</v>
      </c>
      <c r="K86" s="533">
        <f>SUM(I86+J86)</f>
        <v>0.3</v>
      </c>
      <c r="L86" s="604">
        <f t="shared" si="32"/>
        <v>177633</v>
      </c>
      <c r="M86" s="604">
        <f t="shared" si="33"/>
        <v>15867</v>
      </c>
      <c r="N86" s="604">
        <f>SUM(L86:M86)</f>
        <v>193500</v>
      </c>
      <c r="O86" s="604" t="s">
        <v>603</v>
      </c>
      <c r="P86" s="605"/>
      <c r="Q86" s="607"/>
      <c r="R86" s="607"/>
      <c r="S86" s="605"/>
      <c r="T86" s="605"/>
      <c r="U86" s="600"/>
      <c r="V86" s="600"/>
      <c r="W86" s="600"/>
      <c r="X86" s="600"/>
      <c r="Y86" s="740"/>
      <c r="Z86" s="740"/>
      <c r="AA86" s="740"/>
      <c r="AB86" s="740"/>
      <c r="AC86" s="740"/>
      <c r="AD86" s="740"/>
      <c r="AE86" s="740"/>
      <c r="AF86" s="740"/>
      <c r="AG86" s="740"/>
      <c r="AH86" s="740"/>
      <c r="AI86" s="740"/>
      <c r="AJ86" s="740"/>
      <c r="AK86" s="740"/>
      <c r="AL86" s="740"/>
      <c r="AM86" s="740"/>
      <c r="AN86" s="740"/>
      <c r="AO86" s="740"/>
      <c r="AP86" s="740"/>
      <c r="AQ86" s="740"/>
      <c r="AR86" s="740"/>
      <c r="AS86" s="740"/>
      <c r="AT86" s="740"/>
      <c r="AU86" s="740"/>
      <c r="AV86" s="740"/>
      <c r="AW86" s="740"/>
      <c r="AX86" s="740"/>
      <c r="AY86" s="740"/>
      <c r="AZ86" s="740"/>
      <c r="BA86" s="740"/>
      <c r="BB86" s="740"/>
      <c r="BC86" s="740"/>
      <c r="BD86" s="740"/>
      <c r="BE86" s="740"/>
      <c r="BF86" s="740"/>
      <c r="BG86" s="740"/>
      <c r="BH86" s="740"/>
      <c r="BI86" s="740"/>
      <c r="BJ86" s="740"/>
      <c r="BK86" s="740"/>
      <c r="BL86" s="740"/>
      <c r="BM86" s="740"/>
      <c r="BN86" s="740"/>
      <c r="BO86" s="740"/>
      <c r="BP86" s="740"/>
      <c r="BQ86" s="740"/>
      <c r="BR86" s="740"/>
      <c r="BS86" s="740"/>
      <c r="BT86" s="740"/>
      <c r="BU86" s="740"/>
      <c r="BV86" s="740"/>
      <c r="BW86" s="740"/>
      <c r="BX86" s="740"/>
      <c r="BY86" s="740"/>
      <c r="BZ86" s="740"/>
      <c r="CA86" s="740"/>
      <c r="CB86" s="740"/>
      <c r="CC86" s="740"/>
      <c r="CD86" s="740"/>
      <c r="CE86" s="740"/>
      <c r="CF86" s="740"/>
      <c r="CG86" s="740"/>
      <c r="CH86" s="740"/>
      <c r="CI86" s="740"/>
      <c r="CJ86" s="740"/>
      <c r="CK86" s="740"/>
      <c r="CL86" s="740"/>
      <c r="CM86" s="740"/>
      <c r="CN86" s="740"/>
      <c r="CO86" s="740"/>
      <c r="CP86" s="740"/>
      <c r="CQ86" s="740"/>
      <c r="CR86" s="740"/>
      <c r="CS86" s="740"/>
      <c r="CT86" s="740"/>
      <c r="CU86" s="740"/>
      <c r="CV86" s="740"/>
      <c r="CW86" s="740"/>
      <c r="CX86" s="740"/>
      <c r="CY86" s="740"/>
      <c r="CZ86" s="740"/>
      <c r="DA86" s="740"/>
      <c r="DB86" s="740"/>
      <c r="DC86" s="740"/>
      <c r="DD86" s="740"/>
      <c r="DE86" s="740"/>
      <c r="DF86" s="740"/>
      <c r="DG86" s="740"/>
      <c r="DH86" s="740"/>
    </row>
    <row r="87" spans="1:112" x14ac:dyDescent="0.2">
      <c r="A87" s="180">
        <v>27581</v>
      </c>
      <c r="B87" s="180" t="s">
        <v>290</v>
      </c>
      <c r="C87" s="181">
        <v>37347</v>
      </c>
      <c r="D87" s="602">
        <v>37925</v>
      </c>
      <c r="E87" s="180">
        <f t="shared" si="35"/>
        <v>30</v>
      </c>
      <c r="F87" s="729">
        <v>14000</v>
      </c>
      <c r="G87" s="182">
        <f>SUM(E87*F87)</f>
        <v>420000</v>
      </c>
      <c r="H87" s="508">
        <f>SUM(I87*30.4)</f>
        <v>10.497119999999999</v>
      </c>
      <c r="I87" s="533">
        <v>0.3453</v>
      </c>
      <c r="J87" s="533">
        <v>2.46E-2</v>
      </c>
      <c r="K87" s="533">
        <f>SUM(I87+J87)</f>
        <v>0.36990000000000001</v>
      </c>
      <c r="L87" s="622">
        <f>SUM(I87*G87)</f>
        <v>145026</v>
      </c>
      <c r="M87" s="604">
        <f>SUM(J87*G87)</f>
        <v>10332</v>
      </c>
      <c r="N87" s="604">
        <f>SUM(L87:M87)</f>
        <v>155358</v>
      </c>
      <c r="O87" s="728" t="s">
        <v>326</v>
      </c>
      <c r="P87" s="605"/>
      <c r="Q87" s="607"/>
      <c r="R87" s="607"/>
      <c r="S87" s="605"/>
      <c r="T87" s="605"/>
      <c r="U87" s="29"/>
      <c r="V87" s="29"/>
      <c r="W87" s="29"/>
      <c r="X87" s="29"/>
    </row>
    <row r="88" spans="1:112" s="570" customFormat="1" ht="12.75" customHeight="1" x14ac:dyDescent="0.2">
      <c r="A88" s="591"/>
      <c r="B88" s="591"/>
      <c r="C88" s="489"/>
      <c r="D88" s="602"/>
      <c r="E88" s="35"/>
      <c r="F88" s="603">
        <f>SUM(F73:F87)</f>
        <v>564500</v>
      </c>
      <c r="G88" s="603"/>
      <c r="H88" s="779" t="s">
        <v>506</v>
      </c>
      <c r="I88" s="533">
        <f>L88/(F88*E2)</f>
        <v>0.28758157661647477</v>
      </c>
      <c r="J88" s="533"/>
      <c r="K88" s="533"/>
      <c r="L88" s="604">
        <f>SUM(L73:L87)</f>
        <v>4870194</v>
      </c>
      <c r="M88" s="616"/>
      <c r="N88" s="616"/>
      <c r="O88" s="536"/>
      <c r="P88" s="605"/>
      <c r="Q88" s="607"/>
      <c r="R88" s="607"/>
      <c r="S88" s="605"/>
      <c r="T88" s="617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L88" s="618"/>
      <c r="AM88" s="618"/>
      <c r="AN88" s="618"/>
      <c r="AO88" s="618"/>
      <c r="AP88" s="618"/>
      <c r="AQ88" s="618"/>
      <c r="AR88" s="618"/>
      <c r="AS88" s="618"/>
      <c r="AT88" s="618"/>
      <c r="AU88" s="618"/>
      <c r="AV88" s="618"/>
      <c r="AW88" s="618"/>
      <c r="AX88" s="618"/>
      <c r="AY88" s="618"/>
      <c r="AZ88" s="618"/>
      <c r="BA88" s="618"/>
      <c r="BB88" s="618"/>
      <c r="BC88" s="618"/>
      <c r="BD88" s="618"/>
      <c r="BE88" s="618"/>
      <c r="BF88" s="618"/>
      <c r="BG88" s="618"/>
      <c r="BH88" s="618"/>
      <c r="BI88" s="618"/>
      <c r="BJ88" s="618"/>
      <c r="BK88" s="618"/>
      <c r="BL88" s="618"/>
      <c r="BM88" s="618"/>
      <c r="BN88" s="618"/>
      <c r="BO88" s="618"/>
      <c r="BP88" s="618"/>
      <c r="BQ88" s="618"/>
      <c r="BR88" s="618"/>
      <c r="BS88" s="618"/>
      <c r="BT88" s="618"/>
      <c r="BU88" s="618"/>
      <c r="BV88" s="618"/>
      <c r="BW88" s="618"/>
      <c r="BX88" s="618"/>
      <c r="BY88" s="618"/>
      <c r="BZ88" s="618"/>
      <c r="CA88" s="618"/>
      <c r="CB88" s="618"/>
      <c r="CC88" s="618"/>
      <c r="CD88" s="618"/>
      <c r="CE88" s="618"/>
      <c r="CF88" s="618"/>
      <c r="CG88" s="618"/>
      <c r="CH88" s="618"/>
      <c r="CI88" s="618"/>
      <c r="CJ88" s="618"/>
      <c r="CK88" s="618"/>
      <c r="CL88" s="618"/>
      <c r="CM88" s="618"/>
      <c r="CN88" s="618"/>
      <c r="CO88" s="618"/>
      <c r="CP88" s="618"/>
      <c r="CQ88" s="618"/>
      <c r="CR88" s="618"/>
      <c r="CS88" s="618"/>
      <c r="CT88" s="618"/>
      <c r="CU88" s="618"/>
      <c r="CV88" s="618"/>
      <c r="CW88" s="618"/>
      <c r="CX88" s="618"/>
      <c r="CY88" s="618"/>
      <c r="CZ88" s="618"/>
      <c r="DA88" s="618"/>
      <c r="DB88" s="618"/>
      <c r="DC88" s="618"/>
      <c r="DD88" s="618"/>
      <c r="DE88" s="618"/>
      <c r="DF88" s="618"/>
      <c r="DG88" s="618"/>
      <c r="DH88" s="618"/>
    </row>
    <row r="89" spans="1:112" s="570" customFormat="1" ht="12.75" customHeight="1" x14ac:dyDescent="0.2">
      <c r="A89" s="591"/>
      <c r="B89" s="591"/>
      <c r="C89" s="489"/>
      <c r="D89" s="602"/>
      <c r="E89" s="35"/>
      <c r="F89" s="530"/>
      <c r="G89" s="567"/>
      <c r="H89" s="532"/>
      <c r="I89" s="533"/>
      <c r="J89" s="533"/>
      <c r="K89" s="534"/>
      <c r="L89" s="535"/>
      <c r="M89" s="616"/>
      <c r="N89" s="616"/>
      <c r="O89" s="536"/>
      <c r="P89" s="605"/>
      <c r="Q89" s="607"/>
      <c r="R89" s="607"/>
      <c r="S89" s="605"/>
      <c r="T89" s="617"/>
      <c r="U89" s="618"/>
      <c r="V89" s="618"/>
      <c r="W89" s="618"/>
      <c r="X89" s="618"/>
      <c r="Y89" s="618"/>
      <c r="Z89" s="618"/>
      <c r="AA89" s="618"/>
      <c r="AB89" s="618"/>
      <c r="AC89" s="618"/>
      <c r="AD89" s="618"/>
      <c r="AE89" s="618"/>
      <c r="AF89" s="618"/>
      <c r="AG89" s="618"/>
      <c r="AH89" s="618"/>
      <c r="AI89" s="618"/>
      <c r="AJ89" s="618"/>
      <c r="AK89" s="618"/>
      <c r="AL89" s="618"/>
      <c r="AM89" s="618"/>
      <c r="AN89" s="618"/>
      <c r="AO89" s="618"/>
      <c r="AP89" s="618"/>
      <c r="AQ89" s="618"/>
      <c r="AR89" s="618"/>
      <c r="AS89" s="618"/>
      <c r="AT89" s="618"/>
      <c r="AU89" s="618"/>
      <c r="AV89" s="618"/>
      <c r="AW89" s="618"/>
      <c r="AX89" s="618"/>
      <c r="AY89" s="618"/>
      <c r="AZ89" s="618"/>
      <c r="BA89" s="618"/>
      <c r="BB89" s="618"/>
      <c r="BC89" s="618"/>
      <c r="BD89" s="618"/>
      <c r="BE89" s="618"/>
      <c r="BF89" s="618"/>
      <c r="BG89" s="618"/>
      <c r="BH89" s="618"/>
      <c r="BI89" s="618"/>
      <c r="BJ89" s="618"/>
      <c r="BK89" s="618"/>
      <c r="BL89" s="618"/>
      <c r="BM89" s="618"/>
      <c r="BN89" s="618"/>
      <c r="BO89" s="618"/>
      <c r="BP89" s="618"/>
      <c r="BQ89" s="618"/>
      <c r="BR89" s="618"/>
      <c r="BS89" s="618"/>
      <c r="BT89" s="618"/>
      <c r="BU89" s="618"/>
      <c r="BV89" s="618"/>
      <c r="BW89" s="618"/>
      <c r="BX89" s="618"/>
      <c r="BY89" s="618"/>
      <c r="BZ89" s="618"/>
      <c r="CA89" s="618"/>
      <c r="CB89" s="618"/>
      <c r="CC89" s="618"/>
      <c r="CD89" s="618"/>
      <c r="CE89" s="618"/>
      <c r="CF89" s="618"/>
      <c r="CG89" s="618"/>
      <c r="CH89" s="618"/>
      <c r="CI89" s="618"/>
      <c r="CJ89" s="618"/>
      <c r="CK89" s="618"/>
      <c r="CL89" s="618"/>
      <c r="CM89" s="618"/>
      <c r="CN89" s="618"/>
      <c r="CO89" s="618"/>
      <c r="CP89" s="618"/>
      <c r="CQ89" s="618"/>
      <c r="CR89" s="618"/>
      <c r="CS89" s="618"/>
      <c r="CT89" s="618"/>
      <c r="CU89" s="618"/>
      <c r="CV89" s="618"/>
      <c r="CW89" s="618"/>
      <c r="CX89" s="618"/>
      <c r="CY89" s="618"/>
      <c r="CZ89" s="618"/>
      <c r="DA89" s="618"/>
      <c r="DB89" s="618"/>
      <c r="DC89" s="618"/>
      <c r="DD89" s="618"/>
      <c r="DE89" s="618"/>
      <c r="DF89" s="618"/>
      <c r="DG89" s="618"/>
      <c r="DH89" s="618"/>
    </row>
    <row r="90" spans="1:112" s="570" customFormat="1" ht="12.75" customHeight="1" x14ac:dyDescent="0.2">
      <c r="A90" s="540" t="s">
        <v>507</v>
      </c>
      <c r="B90" s="540" t="s">
        <v>494</v>
      </c>
      <c r="C90" s="489"/>
      <c r="D90" s="602"/>
      <c r="E90" s="35"/>
      <c r="F90" s="531"/>
      <c r="G90" s="567"/>
      <c r="H90" s="541"/>
      <c r="I90" s="533"/>
      <c r="J90" s="533"/>
      <c r="K90" s="534"/>
      <c r="L90" s="616"/>
      <c r="M90" s="616"/>
      <c r="N90" s="616"/>
      <c r="O90" s="536"/>
      <c r="P90" s="605"/>
      <c r="Q90" s="607"/>
      <c r="R90" s="607"/>
      <c r="S90" s="605"/>
      <c r="T90" s="617"/>
      <c r="U90" s="618"/>
      <c r="V90" s="618"/>
      <c r="W90" s="618"/>
      <c r="X90" s="618"/>
      <c r="Y90" s="618"/>
      <c r="Z90" s="618"/>
      <c r="AA90" s="618"/>
      <c r="AB90" s="618"/>
      <c r="AC90" s="618"/>
      <c r="AD90" s="618"/>
      <c r="AE90" s="618"/>
      <c r="AF90" s="618"/>
      <c r="AG90" s="618"/>
      <c r="AH90" s="618"/>
      <c r="AI90" s="618"/>
      <c r="AJ90" s="618"/>
      <c r="AK90" s="618"/>
      <c r="AL90" s="618"/>
      <c r="AM90" s="618"/>
      <c r="AN90" s="618"/>
      <c r="AO90" s="618"/>
      <c r="AP90" s="618"/>
      <c r="AQ90" s="618"/>
      <c r="AR90" s="618"/>
      <c r="AS90" s="618"/>
      <c r="AT90" s="618"/>
      <c r="AU90" s="618"/>
      <c r="AV90" s="618"/>
      <c r="AW90" s="618"/>
      <c r="AX90" s="618"/>
      <c r="AY90" s="618"/>
      <c r="AZ90" s="618"/>
      <c r="BA90" s="618"/>
      <c r="BB90" s="618"/>
      <c r="BC90" s="618"/>
      <c r="BD90" s="618"/>
      <c r="BE90" s="618"/>
      <c r="BF90" s="618"/>
      <c r="BG90" s="618"/>
      <c r="BH90" s="618"/>
      <c r="BI90" s="618"/>
      <c r="BJ90" s="618"/>
      <c r="BK90" s="618"/>
      <c r="BL90" s="618"/>
      <c r="BM90" s="618"/>
      <c r="BN90" s="618"/>
      <c r="BO90" s="618"/>
      <c r="BP90" s="618"/>
      <c r="BQ90" s="618"/>
      <c r="BR90" s="618"/>
      <c r="BS90" s="618"/>
      <c r="BT90" s="618"/>
      <c r="BU90" s="618"/>
      <c r="BV90" s="618"/>
      <c r="BW90" s="618"/>
      <c r="BX90" s="618"/>
      <c r="BY90" s="618"/>
      <c r="BZ90" s="618"/>
      <c r="CA90" s="618"/>
      <c r="CB90" s="618"/>
      <c r="CC90" s="618"/>
      <c r="CD90" s="618"/>
      <c r="CE90" s="618"/>
      <c r="CF90" s="618"/>
      <c r="CG90" s="618"/>
      <c r="CH90" s="618"/>
      <c r="CI90" s="618"/>
      <c r="CJ90" s="618"/>
      <c r="CK90" s="618"/>
      <c r="CL90" s="618"/>
      <c r="CM90" s="618"/>
      <c r="CN90" s="618"/>
      <c r="CO90" s="618"/>
      <c r="CP90" s="618"/>
      <c r="CQ90" s="618"/>
      <c r="CR90" s="618"/>
      <c r="CS90" s="618"/>
      <c r="CT90" s="618"/>
      <c r="CU90" s="618"/>
      <c r="CV90" s="618"/>
      <c r="CW90" s="618"/>
      <c r="CX90" s="618"/>
      <c r="CY90" s="618"/>
      <c r="CZ90" s="618"/>
      <c r="DA90" s="618"/>
      <c r="DB90" s="618"/>
      <c r="DC90" s="618"/>
      <c r="DD90" s="618"/>
      <c r="DE90" s="618"/>
      <c r="DF90" s="618"/>
      <c r="DG90" s="618"/>
      <c r="DH90" s="618"/>
    </row>
    <row r="91" spans="1:112" s="487" customFormat="1" ht="12.75" customHeight="1" x14ac:dyDescent="0.2">
      <c r="A91" s="180">
        <v>25071</v>
      </c>
      <c r="B91" s="180" t="s">
        <v>297</v>
      </c>
      <c r="C91" s="181" t="s">
        <v>327</v>
      </c>
      <c r="D91" s="181">
        <v>39782</v>
      </c>
      <c r="E91" s="180">
        <f>$E$2</f>
        <v>30</v>
      </c>
      <c r="F91" s="182">
        <v>60000</v>
      </c>
      <c r="G91" s="182">
        <f>SUM(E91*F91)</f>
        <v>1800000</v>
      </c>
      <c r="H91" s="508">
        <f>SUM(I91*30.4)</f>
        <v>4.7545599999999997</v>
      </c>
      <c r="I91" s="170">
        <v>0.15640000000000001</v>
      </c>
      <c r="J91" s="170">
        <v>1.8599999999999998E-2</v>
      </c>
      <c r="K91" s="170">
        <f>SUM(I91+J91)</f>
        <v>0.17500000000000002</v>
      </c>
      <c r="L91" s="183">
        <f>SUM(I91*G91)</f>
        <v>281520</v>
      </c>
      <c r="M91" s="183">
        <f>SUM(J91*G91)</f>
        <v>33480</v>
      </c>
      <c r="N91" s="183">
        <f>SUM(L91:M91)</f>
        <v>315000</v>
      </c>
      <c r="O91" s="619" t="s">
        <v>562</v>
      </c>
      <c r="P91" s="175" t="s">
        <v>563</v>
      </c>
      <c r="Q91" s="511" t="s">
        <v>507</v>
      </c>
      <c r="R91" s="511" t="s">
        <v>494</v>
      </c>
      <c r="S91" s="175"/>
      <c r="T91" s="172" t="s">
        <v>515</v>
      </c>
      <c r="U91" s="601"/>
      <c r="V91" s="601"/>
      <c r="W91" s="601"/>
      <c r="X91" s="601"/>
      <c r="Y91" s="601"/>
      <c r="Z91" s="601"/>
      <c r="AA91" s="601"/>
      <c r="AB91" s="601"/>
      <c r="AC91" s="601"/>
      <c r="AD91" s="601"/>
      <c r="AE91" s="601"/>
      <c r="AF91" s="601"/>
      <c r="AG91" s="601"/>
      <c r="AH91" s="601"/>
      <c r="AI91" s="601"/>
      <c r="AJ91" s="601"/>
      <c r="AK91" s="601"/>
      <c r="AL91" s="601"/>
      <c r="AM91" s="601"/>
      <c r="AN91" s="601"/>
      <c r="AO91" s="601"/>
      <c r="AP91" s="601"/>
      <c r="AQ91" s="601"/>
      <c r="AR91" s="601"/>
      <c r="AS91" s="601"/>
      <c r="AT91" s="601"/>
      <c r="AU91" s="601"/>
      <c r="AV91" s="601"/>
      <c r="AW91" s="601"/>
      <c r="AX91" s="601"/>
      <c r="AY91" s="601"/>
      <c r="AZ91" s="601"/>
      <c r="BA91" s="601"/>
      <c r="BB91" s="601"/>
      <c r="BC91" s="601"/>
      <c r="BD91" s="601"/>
      <c r="BE91" s="601"/>
      <c r="BF91" s="601"/>
      <c r="BG91" s="601"/>
      <c r="BH91" s="601"/>
      <c r="BI91" s="601"/>
      <c r="BJ91" s="601"/>
      <c r="BK91" s="601"/>
      <c r="BL91" s="601"/>
      <c r="BM91" s="601"/>
      <c r="BN91" s="601"/>
      <c r="BO91" s="601"/>
      <c r="BP91" s="601"/>
      <c r="BQ91" s="601"/>
      <c r="BR91" s="601"/>
      <c r="BS91" s="601"/>
      <c r="BT91" s="601"/>
      <c r="BU91" s="601"/>
      <c r="BV91" s="601"/>
      <c r="BW91" s="601"/>
      <c r="BX91" s="601"/>
      <c r="BY91" s="601"/>
      <c r="BZ91" s="601"/>
      <c r="CA91" s="601"/>
      <c r="CB91" s="601"/>
      <c r="CC91" s="601"/>
      <c r="CD91" s="601"/>
      <c r="CE91" s="601"/>
      <c r="CF91" s="601"/>
      <c r="CG91" s="601"/>
      <c r="CH91" s="601"/>
      <c r="CI91" s="601"/>
      <c r="CJ91" s="601"/>
      <c r="CK91" s="601"/>
      <c r="CL91" s="601"/>
      <c r="CM91" s="601"/>
      <c r="CN91" s="601"/>
      <c r="CO91" s="601"/>
      <c r="CP91" s="601"/>
      <c r="CQ91" s="601"/>
      <c r="CR91" s="601"/>
      <c r="CS91" s="601"/>
      <c r="CT91" s="601"/>
      <c r="CU91" s="601"/>
      <c r="CV91" s="601"/>
      <c r="CW91" s="601"/>
      <c r="CX91" s="601"/>
      <c r="CY91" s="601"/>
      <c r="CZ91" s="601"/>
      <c r="DA91" s="601"/>
      <c r="DB91" s="601"/>
      <c r="DC91" s="601"/>
      <c r="DD91" s="601"/>
      <c r="DE91" s="601"/>
      <c r="DF91" s="601"/>
      <c r="DG91" s="601"/>
      <c r="DH91" s="601"/>
    </row>
    <row r="92" spans="1:112" s="570" customFormat="1" ht="12.75" customHeight="1" x14ac:dyDescent="0.2">
      <c r="A92" s="488"/>
      <c r="B92" s="488"/>
      <c r="C92" s="489"/>
      <c r="D92" s="528"/>
      <c r="E92" s="529"/>
      <c r="F92" s="603">
        <f>SUM(F91)</f>
        <v>60000</v>
      </c>
      <c r="G92" s="603"/>
      <c r="H92" s="779" t="s">
        <v>506</v>
      </c>
      <c r="I92" s="533">
        <f>L92/(F92*E2)</f>
        <v>0.15640000000000001</v>
      </c>
      <c r="J92" s="533"/>
      <c r="K92" s="533"/>
      <c r="L92" s="604">
        <f>SUM(L91)</f>
        <v>281520</v>
      </c>
      <c r="M92" s="536"/>
      <c r="N92" s="536"/>
      <c r="O92" s="620"/>
      <c r="P92" s="537"/>
      <c r="Q92" s="538"/>
      <c r="R92" s="538"/>
      <c r="S92" s="537"/>
      <c r="T92" s="539"/>
      <c r="U92" s="618"/>
      <c r="V92" s="618"/>
      <c r="W92" s="618"/>
      <c r="X92" s="618"/>
      <c r="Y92" s="618"/>
      <c r="Z92" s="618"/>
      <c r="AA92" s="618"/>
      <c r="AB92" s="618"/>
      <c r="AC92" s="618"/>
      <c r="AD92" s="618"/>
      <c r="AE92" s="618"/>
      <c r="AF92" s="618"/>
      <c r="AG92" s="618"/>
      <c r="AH92" s="618"/>
      <c r="AI92" s="618"/>
      <c r="AJ92" s="618"/>
      <c r="AK92" s="618"/>
      <c r="AL92" s="618"/>
      <c r="AM92" s="618"/>
      <c r="AN92" s="618"/>
      <c r="AO92" s="618"/>
      <c r="AP92" s="618"/>
      <c r="AQ92" s="618"/>
      <c r="AR92" s="618"/>
      <c r="AS92" s="618"/>
      <c r="AT92" s="618"/>
      <c r="AU92" s="618"/>
      <c r="AV92" s="618"/>
      <c r="AW92" s="618"/>
      <c r="AX92" s="618"/>
      <c r="AY92" s="618"/>
      <c r="AZ92" s="618"/>
      <c r="BA92" s="618"/>
      <c r="BB92" s="618"/>
      <c r="BC92" s="618"/>
      <c r="BD92" s="618"/>
      <c r="BE92" s="618"/>
      <c r="BF92" s="618"/>
      <c r="BG92" s="618"/>
      <c r="BH92" s="618"/>
      <c r="BI92" s="618"/>
      <c r="BJ92" s="618"/>
      <c r="BK92" s="618"/>
      <c r="BL92" s="618"/>
      <c r="BM92" s="618"/>
      <c r="BN92" s="618"/>
      <c r="BO92" s="618"/>
      <c r="BP92" s="618"/>
      <c r="BQ92" s="618"/>
      <c r="BR92" s="618"/>
      <c r="BS92" s="618"/>
      <c r="BT92" s="618"/>
      <c r="BU92" s="618"/>
      <c r="BV92" s="618"/>
      <c r="BW92" s="618"/>
      <c r="BX92" s="618"/>
      <c r="BY92" s="618"/>
      <c r="BZ92" s="618"/>
      <c r="CA92" s="618"/>
      <c r="CB92" s="618"/>
      <c r="CC92" s="618"/>
      <c r="CD92" s="618"/>
      <c r="CE92" s="618"/>
      <c r="CF92" s="618"/>
      <c r="CG92" s="618"/>
      <c r="CH92" s="618"/>
      <c r="CI92" s="618"/>
      <c r="CJ92" s="618"/>
      <c r="CK92" s="618"/>
      <c r="CL92" s="618"/>
      <c r="CM92" s="618"/>
      <c r="CN92" s="618"/>
      <c r="CO92" s="618"/>
      <c r="CP92" s="618"/>
      <c r="CQ92" s="618"/>
      <c r="CR92" s="618"/>
      <c r="CS92" s="618"/>
      <c r="CT92" s="618"/>
      <c r="CU92" s="618"/>
      <c r="CV92" s="618"/>
      <c r="CW92" s="618"/>
      <c r="CX92" s="618"/>
      <c r="CY92" s="618"/>
      <c r="CZ92" s="618"/>
      <c r="DA92" s="618"/>
      <c r="DB92" s="618"/>
      <c r="DC92" s="618"/>
      <c r="DD92" s="618"/>
      <c r="DE92" s="618"/>
      <c r="DF92" s="618"/>
      <c r="DG92" s="618"/>
      <c r="DH92" s="618"/>
    </row>
    <row r="93" spans="1:112" s="570" customFormat="1" ht="12.75" customHeight="1" x14ac:dyDescent="0.2">
      <c r="A93" s="488"/>
      <c r="B93" s="488"/>
      <c r="C93" s="489"/>
      <c r="D93" s="528"/>
      <c r="E93" s="529"/>
      <c r="F93" s="530"/>
      <c r="G93" s="531"/>
      <c r="H93" s="532"/>
      <c r="I93" s="533"/>
      <c r="J93" s="534"/>
      <c r="K93" s="534"/>
      <c r="L93" s="535"/>
      <c r="M93" s="536"/>
      <c r="N93" s="536"/>
      <c r="O93" s="620"/>
      <c r="P93" s="537"/>
      <c r="Q93" s="538"/>
      <c r="R93" s="538"/>
      <c r="S93" s="537"/>
      <c r="T93" s="539"/>
      <c r="U93" s="618"/>
      <c r="V93" s="618"/>
      <c r="W93" s="618"/>
      <c r="X93" s="618"/>
      <c r="Y93" s="618"/>
      <c r="Z93" s="618"/>
      <c r="AA93" s="618"/>
      <c r="AB93" s="618"/>
      <c r="AC93" s="618"/>
      <c r="AD93" s="618"/>
      <c r="AE93" s="618"/>
      <c r="AF93" s="618"/>
      <c r="AG93" s="618"/>
      <c r="AH93" s="618"/>
      <c r="AI93" s="618"/>
      <c r="AJ93" s="618"/>
      <c r="AK93" s="618"/>
      <c r="AL93" s="618"/>
      <c r="AM93" s="618"/>
      <c r="AN93" s="618"/>
      <c r="AO93" s="618"/>
      <c r="AP93" s="618"/>
      <c r="AQ93" s="618"/>
      <c r="AR93" s="618"/>
      <c r="AS93" s="618"/>
      <c r="AT93" s="618"/>
      <c r="AU93" s="618"/>
      <c r="AV93" s="618"/>
      <c r="AW93" s="618"/>
      <c r="AX93" s="618"/>
      <c r="AY93" s="618"/>
      <c r="AZ93" s="618"/>
      <c r="BA93" s="618"/>
      <c r="BB93" s="618"/>
      <c r="BC93" s="618"/>
      <c r="BD93" s="618"/>
      <c r="BE93" s="618"/>
      <c r="BF93" s="618"/>
      <c r="BG93" s="618"/>
      <c r="BH93" s="618"/>
      <c r="BI93" s="618"/>
      <c r="BJ93" s="618"/>
      <c r="BK93" s="618"/>
      <c r="BL93" s="618"/>
      <c r="BM93" s="618"/>
      <c r="BN93" s="618"/>
      <c r="BO93" s="618"/>
      <c r="BP93" s="618"/>
      <c r="BQ93" s="618"/>
      <c r="BR93" s="618"/>
      <c r="BS93" s="618"/>
      <c r="BT93" s="618"/>
      <c r="BU93" s="618"/>
      <c r="BV93" s="618"/>
      <c r="BW93" s="618"/>
      <c r="BX93" s="618"/>
      <c r="BY93" s="618"/>
      <c r="BZ93" s="618"/>
      <c r="CA93" s="618"/>
      <c r="CB93" s="618"/>
      <c r="CC93" s="618"/>
      <c r="CD93" s="618"/>
      <c r="CE93" s="618"/>
      <c r="CF93" s="618"/>
      <c r="CG93" s="618"/>
      <c r="CH93" s="618"/>
      <c r="CI93" s="618"/>
      <c r="CJ93" s="618"/>
      <c r="CK93" s="618"/>
      <c r="CL93" s="618"/>
      <c r="CM93" s="618"/>
      <c r="CN93" s="618"/>
      <c r="CO93" s="618"/>
      <c r="CP93" s="618"/>
      <c r="CQ93" s="618"/>
      <c r="CR93" s="618"/>
      <c r="CS93" s="618"/>
      <c r="CT93" s="618"/>
      <c r="CU93" s="618"/>
      <c r="CV93" s="618"/>
      <c r="CW93" s="618"/>
      <c r="CX93" s="618"/>
      <c r="CY93" s="618"/>
      <c r="CZ93" s="618"/>
      <c r="DA93" s="618"/>
      <c r="DB93" s="618"/>
      <c r="DC93" s="618"/>
      <c r="DD93" s="618"/>
      <c r="DE93" s="618"/>
      <c r="DF93" s="618"/>
      <c r="DG93" s="618"/>
      <c r="DH93" s="618"/>
    </row>
    <row r="94" spans="1:112" s="570" customFormat="1" ht="12.75" customHeight="1" x14ac:dyDescent="0.2">
      <c r="A94" s="540" t="s">
        <v>512</v>
      </c>
      <c r="B94" s="540" t="s">
        <v>494</v>
      </c>
      <c r="C94" s="489"/>
      <c r="D94" s="528"/>
      <c r="E94" s="529"/>
      <c r="F94" s="531"/>
      <c r="G94" s="531"/>
      <c r="H94" s="541"/>
      <c r="I94" s="534"/>
      <c r="J94" s="534"/>
      <c r="K94" s="534"/>
      <c r="L94" s="536"/>
      <c r="M94" s="536"/>
      <c r="N94" s="536"/>
      <c r="O94" s="620"/>
      <c r="P94" s="537"/>
      <c r="Q94" s="538"/>
      <c r="R94" s="538"/>
      <c r="S94" s="537"/>
      <c r="T94" s="539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  <c r="AS94" s="618"/>
      <c r="AT94" s="618"/>
      <c r="AU94" s="618"/>
      <c r="AV94" s="618"/>
      <c r="AW94" s="618"/>
      <c r="AX94" s="618"/>
      <c r="AY94" s="618"/>
      <c r="AZ94" s="618"/>
      <c r="BA94" s="618"/>
      <c r="BB94" s="618"/>
      <c r="BC94" s="618"/>
      <c r="BD94" s="618"/>
      <c r="BE94" s="618"/>
      <c r="BF94" s="618"/>
      <c r="BG94" s="618"/>
      <c r="BH94" s="618"/>
      <c r="BI94" s="618"/>
      <c r="BJ94" s="618"/>
      <c r="BK94" s="618"/>
      <c r="BL94" s="618"/>
      <c r="BM94" s="618"/>
      <c r="BN94" s="618"/>
      <c r="BO94" s="618"/>
      <c r="BP94" s="618"/>
      <c r="BQ94" s="618"/>
      <c r="BR94" s="618"/>
      <c r="BS94" s="618"/>
      <c r="BT94" s="618"/>
      <c r="BU94" s="618"/>
      <c r="BV94" s="618"/>
      <c r="BW94" s="618"/>
      <c r="BX94" s="618"/>
      <c r="BY94" s="618"/>
      <c r="BZ94" s="618"/>
      <c r="CA94" s="618"/>
      <c r="CB94" s="618"/>
      <c r="CC94" s="618"/>
      <c r="CD94" s="618"/>
      <c r="CE94" s="618"/>
      <c r="CF94" s="618"/>
      <c r="CG94" s="618"/>
      <c r="CH94" s="618"/>
      <c r="CI94" s="618"/>
      <c r="CJ94" s="618"/>
      <c r="CK94" s="618"/>
      <c r="CL94" s="618"/>
      <c r="CM94" s="618"/>
      <c r="CN94" s="618"/>
      <c r="CO94" s="618"/>
      <c r="CP94" s="618"/>
      <c r="CQ94" s="618"/>
      <c r="CR94" s="618"/>
      <c r="CS94" s="618"/>
      <c r="CT94" s="618"/>
      <c r="CU94" s="618"/>
      <c r="CV94" s="618"/>
      <c r="CW94" s="618"/>
      <c r="CX94" s="618"/>
      <c r="CY94" s="618"/>
      <c r="CZ94" s="618"/>
      <c r="DA94" s="618"/>
      <c r="DB94" s="618"/>
      <c r="DC94" s="618"/>
      <c r="DD94" s="618"/>
      <c r="DE94" s="618"/>
      <c r="DF94" s="618"/>
      <c r="DG94" s="618"/>
      <c r="DH94" s="618"/>
    </row>
    <row r="95" spans="1:112" s="487" customFormat="1" ht="12.75" customHeight="1" x14ac:dyDescent="0.2">
      <c r="A95" s="180">
        <v>24670</v>
      </c>
      <c r="B95" s="180" t="s">
        <v>294</v>
      </c>
      <c r="C95" s="181" t="s">
        <v>327</v>
      </c>
      <c r="D95" s="181" t="s">
        <v>295</v>
      </c>
      <c r="E95" s="180">
        <f t="shared" ref="E95:E106" si="36">$E$2</f>
        <v>30</v>
      </c>
      <c r="F95" s="182">
        <v>10000</v>
      </c>
      <c r="G95" s="182">
        <f t="shared" ref="G95:G101" si="37">SUM(E95*F95)</f>
        <v>300000</v>
      </c>
      <c r="H95" s="508">
        <f t="shared" ref="H95:H101" si="38">SUM(I95*30.4)</f>
        <v>4.6025600000000004</v>
      </c>
      <c r="I95" s="170">
        <v>0.15140000000000001</v>
      </c>
      <c r="J95" s="170">
        <v>1.8599999999999998E-2</v>
      </c>
      <c r="K95" s="170">
        <f t="shared" ref="K95:K106" si="39">SUM(I95+J95)</f>
        <v>0.17</v>
      </c>
      <c r="L95" s="183">
        <f t="shared" ref="L95:L106" si="40">SUM(I95*G95)</f>
        <v>45420</v>
      </c>
      <c r="M95" s="183">
        <f t="shared" ref="M95:M101" si="41">SUM(J95*G95)</f>
        <v>5579.9999999999991</v>
      </c>
      <c r="N95" s="183">
        <f t="shared" ref="N95:N101" si="42">SUM(L95:M95)</f>
        <v>51000</v>
      </c>
      <c r="O95" s="183" t="s">
        <v>564</v>
      </c>
      <c r="P95" s="583" t="s">
        <v>565</v>
      </c>
      <c r="Q95" s="511" t="s">
        <v>512</v>
      </c>
      <c r="R95" s="511" t="s">
        <v>494</v>
      </c>
      <c r="S95" s="583"/>
      <c r="T95" s="172" t="s">
        <v>515</v>
      </c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601"/>
      <c r="BF95" s="601"/>
      <c r="BG95" s="601"/>
      <c r="BH95" s="601"/>
      <c r="BI95" s="601"/>
      <c r="BJ95" s="601"/>
      <c r="BK95" s="601"/>
      <c r="BL95" s="601"/>
      <c r="BM95" s="601"/>
      <c r="BN95" s="601"/>
      <c r="BO95" s="601"/>
      <c r="BP95" s="601"/>
      <c r="BQ95" s="601"/>
      <c r="BR95" s="601"/>
      <c r="BS95" s="601"/>
      <c r="BT95" s="601"/>
      <c r="BU95" s="601"/>
      <c r="BV95" s="601"/>
      <c r="BW95" s="601"/>
      <c r="BX95" s="601"/>
      <c r="BY95" s="601"/>
      <c r="BZ95" s="601"/>
      <c r="CA95" s="601"/>
      <c r="CB95" s="601"/>
      <c r="CC95" s="601"/>
      <c r="CD95" s="601"/>
      <c r="CE95" s="601"/>
      <c r="CF95" s="601"/>
      <c r="CG95" s="601"/>
      <c r="CH95" s="601"/>
      <c r="CI95" s="601"/>
      <c r="CJ95" s="601"/>
      <c r="CK95" s="601"/>
      <c r="CL95" s="601"/>
      <c r="CM95" s="601"/>
      <c r="CN95" s="601"/>
      <c r="CO95" s="601"/>
      <c r="CP95" s="601"/>
      <c r="CQ95" s="601"/>
      <c r="CR95" s="601"/>
      <c r="CS95" s="601"/>
      <c r="CT95" s="601"/>
      <c r="CU95" s="601"/>
      <c r="CV95" s="601"/>
      <c r="CW95" s="601"/>
      <c r="CX95" s="601"/>
      <c r="CY95" s="601"/>
      <c r="CZ95" s="601"/>
      <c r="DA95" s="601"/>
      <c r="DB95" s="601"/>
      <c r="DC95" s="601"/>
      <c r="DD95" s="601"/>
      <c r="DE95" s="601"/>
      <c r="DF95" s="601"/>
      <c r="DG95" s="601"/>
      <c r="DH95" s="601"/>
    </row>
    <row r="96" spans="1:112" s="487" customFormat="1" ht="12.75" customHeight="1" x14ac:dyDescent="0.2">
      <c r="A96" s="180">
        <v>25071</v>
      </c>
      <c r="B96" s="180" t="s">
        <v>297</v>
      </c>
      <c r="C96" s="181" t="s">
        <v>327</v>
      </c>
      <c r="D96" s="181">
        <v>39782</v>
      </c>
      <c r="E96" s="180">
        <f t="shared" si="36"/>
        <v>30</v>
      </c>
      <c r="F96" s="182">
        <v>30000</v>
      </c>
      <c r="G96" s="182">
        <f t="shared" si="37"/>
        <v>900000</v>
      </c>
      <c r="H96" s="508">
        <f t="shared" si="38"/>
        <v>4.7545599999999997</v>
      </c>
      <c r="I96" s="170">
        <v>0.15640000000000001</v>
      </c>
      <c r="J96" s="170">
        <v>1.8599999999999998E-2</v>
      </c>
      <c r="K96" s="170">
        <f t="shared" si="39"/>
        <v>0.17500000000000002</v>
      </c>
      <c r="L96" s="183">
        <f t="shared" si="40"/>
        <v>140760</v>
      </c>
      <c r="M96" s="183">
        <f t="shared" si="41"/>
        <v>16740</v>
      </c>
      <c r="N96" s="183">
        <f t="shared" si="42"/>
        <v>157500</v>
      </c>
      <c r="O96" s="619" t="s">
        <v>562</v>
      </c>
      <c r="P96" s="175" t="s">
        <v>563</v>
      </c>
      <c r="Q96" s="511" t="s">
        <v>507</v>
      </c>
      <c r="R96" s="511" t="s">
        <v>494</v>
      </c>
      <c r="S96" s="175"/>
      <c r="T96" s="172" t="s">
        <v>515</v>
      </c>
      <c r="U96" s="601"/>
      <c r="V96" s="601"/>
      <c r="W96" s="601"/>
      <c r="X96" s="601"/>
      <c r="Y96" s="601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</row>
    <row r="97" spans="1:20" s="487" customFormat="1" ht="12.75" customHeight="1" x14ac:dyDescent="0.2">
      <c r="A97" s="180">
        <v>25700</v>
      </c>
      <c r="B97" s="180" t="s">
        <v>297</v>
      </c>
      <c r="C97" s="181">
        <v>36526</v>
      </c>
      <c r="D97" s="181">
        <v>37621</v>
      </c>
      <c r="E97" s="180">
        <f t="shared" si="36"/>
        <v>30</v>
      </c>
      <c r="F97" s="182">
        <v>25000</v>
      </c>
      <c r="G97" s="182">
        <f t="shared" si="37"/>
        <v>750000</v>
      </c>
      <c r="H97" s="508">
        <f t="shared" si="38"/>
        <v>5.2105600000000001</v>
      </c>
      <c r="I97" s="170">
        <v>0.1714</v>
      </c>
      <c r="J97" s="170">
        <v>1.8599999999999998E-2</v>
      </c>
      <c r="K97" s="170">
        <f t="shared" si="39"/>
        <v>0.19</v>
      </c>
      <c r="L97" s="183">
        <f t="shared" si="40"/>
        <v>128550</v>
      </c>
      <c r="M97" s="183">
        <f t="shared" si="41"/>
        <v>13949.999999999998</v>
      </c>
      <c r="N97" s="183">
        <f t="shared" si="42"/>
        <v>142500</v>
      </c>
      <c r="O97" s="183" t="s">
        <v>478</v>
      </c>
      <c r="P97" s="175" t="s">
        <v>566</v>
      </c>
      <c r="Q97" s="511" t="s">
        <v>512</v>
      </c>
      <c r="R97" s="511" t="s">
        <v>494</v>
      </c>
      <c r="S97" s="175"/>
      <c r="T97" s="175"/>
    </row>
    <row r="98" spans="1:20" s="487" customFormat="1" ht="12.75" customHeight="1" x14ac:dyDescent="0.2">
      <c r="A98" s="180">
        <v>26125</v>
      </c>
      <c r="B98" s="180" t="s">
        <v>298</v>
      </c>
      <c r="C98" s="181">
        <v>35947</v>
      </c>
      <c r="D98" s="181">
        <v>37772</v>
      </c>
      <c r="E98" s="180">
        <f t="shared" si="36"/>
        <v>30</v>
      </c>
      <c r="F98" s="182">
        <v>8600</v>
      </c>
      <c r="G98" s="182">
        <f t="shared" si="37"/>
        <v>258000</v>
      </c>
      <c r="H98" s="508">
        <f t="shared" si="38"/>
        <v>3.3865599999999998</v>
      </c>
      <c r="I98" s="170">
        <v>0.1114</v>
      </c>
      <c r="J98" s="170">
        <v>1.8599999999999998E-2</v>
      </c>
      <c r="K98" s="170">
        <f t="shared" si="39"/>
        <v>0.13</v>
      </c>
      <c r="L98" s="183">
        <f t="shared" si="40"/>
        <v>28741.200000000001</v>
      </c>
      <c r="M98" s="183">
        <f t="shared" si="41"/>
        <v>4798.7999999999993</v>
      </c>
      <c r="N98" s="183">
        <f t="shared" si="42"/>
        <v>33540</v>
      </c>
      <c r="O98" s="183" t="s">
        <v>478</v>
      </c>
      <c r="P98" s="175" t="s">
        <v>567</v>
      </c>
      <c r="Q98" s="511" t="s">
        <v>512</v>
      </c>
      <c r="R98" s="511" t="s">
        <v>494</v>
      </c>
      <c r="S98" s="175"/>
      <c r="T98" s="175"/>
    </row>
    <row r="99" spans="1:20" ht="12.75" customHeight="1" x14ac:dyDescent="0.2">
      <c r="A99" s="180">
        <v>26719</v>
      </c>
      <c r="B99" s="180" t="s">
        <v>568</v>
      </c>
      <c r="C99" s="181" t="s">
        <v>569</v>
      </c>
      <c r="D99" s="181">
        <v>38472</v>
      </c>
      <c r="E99" s="180">
        <f t="shared" si="36"/>
        <v>30</v>
      </c>
      <c r="F99" s="603">
        <v>25000</v>
      </c>
      <c r="G99" s="603">
        <f t="shared" si="37"/>
        <v>750000</v>
      </c>
      <c r="H99" s="621">
        <f t="shared" si="38"/>
        <v>5.6665600000000005</v>
      </c>
      <c r="I99" s="533">
        <v>0.18640000000000001</v>
      </c>
      <c r="J99" s="170">
        <v>1.8599999999999998E-2</v>
      </c>
      <c r="K99" s="533">
        <f t="shared" si="39"/>
        <v>0.20500000000000002</v>
      </c>
      <c r="L99" s="604">
        <f t="shared" si="40"/>
        <v>139800</v>
      </c>
      <c r="M99" s="604">
        <f t="shared" si="41"/>
        <v>13949.999999999998</v>
      </c>
      <c r="N99" s="604">
        <f t="shared" si="42"/>
        <v>153750</v>
      </c>
      <c r="O99" s="604" t="s">
        <v>492</v>
      </c>
      <c r="P99" s="605" t="s">
        <v>570</v>
      </c>
      <c r="Q99" s="607" t="s">
        <v>571</v>
      </c>
      <c r="R99" s="607" t="s">
        <v>494</v>
      </c>
      <c r="S99" s="605"/>
      <c r="T99" s="605" t="s">
        <v>558</v>
      </c>
    </row>
    <row r="100" spans="1:20" s="11" customFormat="1" ht="12.75" customHeight="1" x14ac:dyDescent="0.2">
      <c r="A100" s="180">
        <v>26813</v>
      </c>
      <c r="B100" s="180" t="s">
        <v>572</v>
      </c>
      <c r="C100" s="181" t="s">
        <v>569</v>
      </c>
      <c r="D100" s="181">
        <v>39569</v>
      </c>
      <c r="E100" s="180">
        <f t="shared" si="36"/>
        <v>30</v>
      </c>
      <c r="F100" s="603">
        <v>3500</v>
      </c>
      <c r="G100" s="603">
        <f t="shared" si="37"/>
        <v>105000</v>
      </c>
      <c r="H100" s="621">
        <f t="shared" si="38"/>
        <v>5.2865599999999997</v>
      </c>
      <c r="I100" s="533">
        <v>0.1739</v>
      </c>
      <c r="J100" s="170">
        <v>1.8599999999999998E-2</v>
      </c>
      <c r="K100" s="533">
        <f t="shared" si="39"/>
        <v>0.1925</v>
      </c>
      <c r="L100" s="604">
        <f t="shared" si="40"/>
        <v>18259.5</v>
      </c>
      <c r="M100" s="604">
        <f>SUM(J100*G100)</f>
        <v>1952.9999999999998</v>
      </c>
      <c r="N100" s="604">
        <f>SUM(L100:M100)</f>
        <v>20212.5</v>
      </c>
      <c r="O100" s="604" t="s">
        <v>492</v>
      </c>
      <c r="P100" s="605" t="s">
        <v>573</v>
      </c>
      <c r="Q100" s="607" t="s">
        <v>571</v>
      </c>
      <c r="R100" s="607" t="s">
        <v>494</v>
      </c>
      <c r="S100" s="605"/>
      <c r="T100" s="605"/>
    </row>
    <row r="101" spans="1:20" s="11" customFormat="1" ht="12.75" customHeight="1" x14ac:dyDescent="0.2">
      <c r="A101" s="180">
        <v>26816</v>
      </c>
      <c r="B101" s="180" t="s">
        <v>27</v>
      </c>
      <c r="C101" s="181" t="s">
        <v>569</v>
      </c>
      <c r="D101" s="181">
        <v>38472</v>
      </c>
      <c r="E101" s="180">
        <f t="shared" si="36"/>
        <v>30</v>
      </c>
      <c r="F101" s="603">
        <v>21500</v>
      </c>
      <c r="G101" s="603">
        <f t="shared" si="37"/>
        <v>645000</v>
      </c>
      <c r="H101" s="621">
        <f t="shared" si="38"/>
        <v>4.6025600000000004</v>
      </c>
      <c r="I101" s="533">
        <v>0.15140000000000001</v>
      </c>
      <c r="J101" s="170">
        <v>1.8599999999999998E-2</v>
      </c>
      <c r="K101" s="533">
        <f t="shared" si="39"/>
        <v>0.17</v>
      </c>
      <c r="L101" s="604">
        <f t="shared" si="40"/>
        <v>97653</v>
      </c>
      <c r="M101" s="604">
        <f t="shared" si="41"/>
        <v>11996.999999999998</v>
      </c>
      <c r="N101" s="604">
        <f t="shared" si="42"/>
        <v>109650</v>
      </c>
      <c r="O101" s="604" t="s">
        <v>548</v>
      </c>
      <c r="P101" s="605" t="s">
        <v>574</v>
      </c>
      <c r="Q101" s="607" t="s">
        <v>571</v>
      </c>
      <c r="R101" s="607" t="s">
        <v>494</v>
      </c>
      <c r="S101" s="605"/>
      <c r="T101" s="605"/>
    </row>
    <row r="102" spans="1:20" s="11" customFormat="1" ht="12.75" customHeight="1" x14ac:dyDescent="0.2">
      <c r="A102" s="180">
        <v>26884</v>
      </c>
      <c r="B102" s="180" t="s">
        <v>575</v>
      </c>
      <c r="C102" s="181" t="s">
        <v>569</v>
      </c>
      <c r="D102" s="181">
        <v>38656</v>
      </c>
      <c r="E102" s="180">
        <f t="shared" si="36"/>
        <v>30</v>
      </c>
      <c r="F102" s="182">
        <v>40000</v>
      </c>
      <c r="G102" s="182">
        <f>SUM(E102*F102)</f>
        <v>1200000</v>
      </c>
      <c r="H102" s="508">
        <f>SUM(I102*30.4)</f>
        <v>5.59056</v>
      </c>
      <c r="I102" s="170">
        <v>0.18390000000000001</v>
      </c>
      <c r="J102" s="170">
        <v>1.8599999999999998E-2</v>
      </c>
      <c r="K102" s="170">
        <f t="shared" si="39"/>
        <v>0.20250000000000001</v>
      </c>
      <c r="L102" s="604">
        <f t="shared" si="40"/>
        <v>220680</v>
      </c>
      <c r="M102" s="604">
        <f>SUM(J102*G102)</f>
        <v>22319.999999999996</v>
      </c>
      <c r="N102" s="604">
        <f>SUM(L102:M102)</f>
        <v>243000</v>
      </c>
      <c r="O102" s="604" t="s">
        <v>492</v>
      </c>
      <c r="P102" s="605" t="s">
        <v>573</v>
      </c>
      <c r="Q102" s="607" t="s">
        <v>571</v>
      </c>
      <c r="R102" s="607" t="s">
        <v>494</v>
      </c>
      <c r="S102" s="605"/>
      <c r="T102" s="605"/>
    </row>
    <row r="103" spans="1:20" s="11" customFormat="1" ht="12.75" customHeight="1" x14ac:dyDescent="0.2">
      <c r="A103" s="180">
        <v>26960</v>
      </c>
      <c r="B103" s="180" t="s">
        <v>299</v>
      </c>
      <c r="C103" s="181"/>
      <c r="D103" s="181">
        <v>38077</v>
      </c>
      <c r="E103" s="180">
        <f t="shared" si="36"/>
        <v>30</v>
      </c>
      <c r="F103" s="182">
        <v>20000</v>
      </c>
      <c r="G103" s="182">
        <f>SUM(E103*F103)</f>
        <v>600000</v>
      </c>
      <c r="H103" s="508">
        <f>SUM(I103*30.4)</f>
        <v>5.2105600000000001</v>
      </c>
      <c r="I103" s="170">
        <v>0.1714</v>
      </c>
      <c r="J103" s="170">
        <v>1.8599999999999998E-2</v>
      </c>
      <c r="K103" s="170">
        <f>SUM(I103+J103)</f>
        <v>0.19</v>
      </c>
      <c r="L103" s="604">
        <f>SUM(I103*G103)</f>
        <v>102840</v>
      </c>
      <c r="M103" s="604">
        <f>SUM(J103*G103)</f>
        <v>11159.999999999998</v>
      </c>
      <c r="N103" s="604">
        <f>SUM(L103:M103)</f>
        <v>114000</v>
      </c>
      <c r="O103" s="604" t="s">
        <v>492</v>
      </c>
      <c r="P103" s="605" t="s">
        <v>573</v>
      </c>
      <c r="Q103" s="607" t="s">
        <v>571</v>
      </c>
      <c r="R103" s="607" t="s">
        <v>494</v>
      </c>
      <c r="S103" s="605"/>
      <c r="T103" s="605"/>
    </row>
    <row r="104" spans="1:20" s="11" customFormat="1" ht="12.75" customHeight="1" x14ac:dyDescent="0.2">
      <c r="A104" s="180">
        <v>27454</v>
      </c>
      <c r="B104" s="180" t="s">
        <v>289</v>
      </c>
      <c r="C104" s="181">
        <v>37257</v>
      </c>
      <c r="D104" s="181">
        <v>37621</v>
      </c>
      <c r="E104" s="180">
        <f t="shared" si="36"/>
        <v>30</v>
      </c>
      <c r="F104" s="733">
        <v>27500</v>
      </c>
      <c r="G104" s="182">
        <f>SUM(E104*F104)</f>
        <v>825000</v>
      </c>
      <c r="H104" s="755" t="s">
        <v>618</v>
      </c>
      <c r="I104" s="170">
        <v>0.3679</v>
      </c>
      <c r="J104" s="170">
        <v>1.8599999999999998E-2</v>
      </c>
      <c r="K104" s="170">
        <f>SUM(I104+J104)</f>
        <v>0.38650000000000001</v>
      </c>
      <c r="L104" s="604">
        <f>SUM(I104*G104)</f>
        <v>303517.5</v>
      </c>
      <c r="M104" s="604">
        <f>SUM(J104*G104)</f>
        <v>15344.999999999998</v>
      </c>
      <c r="N104" s="604">
        <f>SUM(L104:M104)</f>
        <v>318862.5</v>
      </c>
      <c r="O104" s="728" t="s">
        <v>604</v>
      </c>
      <c r="P104" s="605" t="s">
        <v>573</v>
      </c>
      <c r="Q104" s="607" t="s">
        <v>571</v>
      </c>
      <c r="R104" s="607" t="s">
        <v>494</v>
      </c>
      <c r="S104" s="605"/>
      <c r="T104" s="605"/>
    </row>
    <row r="105" spans="1:20" s="11" customFormat="1" ht="12.75" customHeight="1" x14ac:dyDescent="0.2">
      <c r="A105" s="180">
        <v>27456</v>
      </c>
      <c r="B105" s="180" t="s">
        <v>300</v>
      </c>
      <c r="C105" s="181">
        <v>37561</v>
      </c>
      <c r="D105" s="181">
        <v>37621</v>
      </c>
      <c r="E105" s="180">
        <f t="shared" si="36"/>
        <v>30</v>
      </c>
      <c r="F105" s="733">
        <v>21500</v>
      </c>
      <c r="G105" s="182">
        <f>SUM(E105*F105)</f>
        <v>645000</v>
      </c>
      <c r="H105" s="755" t="s">
        <v>618</v>
      </c>
      <c r="I105" s="170">
        <v>0.3679</v>
      </c>
      <c r="J105" s="170">
        <v>1.8599999999999998E-2</v>
      </c>
      <c r="K105" s="170">
        <f>SUM(I105+J105)</f>
        <v>0.38650000000000001</v>
      </c>
      <c r="L105" s="604">
        <f>SUM(I105*G105)</f>
        <v>237295.5</v>
      </c>
      <c r="M105" s="604">
        <f>SUM(J105*G105)</f>
        <v>11996.999999999998</v>
      </c>
      <c r="N105" s="604">
        <f>SUM(L105:M105)</f>
        <v>249292.5</v>
      </c>
      <c r="O105" s="728" t="s">
        <v>604</v>
      </c>
      <c r="P105" s="605" t="s">
        <v>573</v>
      </c>
      <c r="Q105" s="607" t="s">
        <v>571</v>
      </c>
      <c r="R105" s="607" t="s">
        <v>494</v>
      </c>
      <c r="S105" s="605"/>
      <c r="T105" s="605"/>
    </row>
    <row r="106" spans="1:20" ht="12.75" customHeight="1" x14ac:dyDescent="0.2">
      <c r="A106" s="180">
        <v>27566</v>
      </c>
      <c r="B106" s="180" t="s">
        <v>293</v>
      </c>
      <c r="C106" s="181">
        <v>37316</v>
      </c>
      <c r="D106" s="181">
        <v>39172</v>
      </c>
      <c r="E106" s="180">
        <f t="shared" si="36"/>
        <v>30</v>
      </c>
      <c r="F106" s="736">
        <v>0</v>
      </c>
      <c r="G106" s="182">
        <f>SUM(E106*F106)</f>
        <v>0</v>
      </c>
      <c r="H106" s="508">
        <f>SUM(I106*30.4)</f>
        <v>11.18416</v>
      </c>
      <c r="I106" s="170">
        <v>0.3679</v>
      </c>
      <c r="J106" s="170">
        <v>1.8599999999999998E-2</v>
      </c>
      <c r="K106" s="170">
        <f t="shared" si="39"/>
        <v>0.38650000000000001</v>
      </c>
      <c r="L106" s="622">
        <f t="shared" si="40"/>
        <v>0</v>
      </c>
      <c r="M106" s="604">
        <f>SUM(J106*G106)</f>
        <v>0</v>
      </c>
      <c r="N106" s="604">
        <f>SUM(L106:M106)</f>
        <v>0</v>
      </c>
      <c r="O106" s="728" t="s">
        <v>326</v>
      </c>
      <c r="P106" s="605" t="s">
        <v>573</v>
      </c>
      <c r="Q106" s="607" t="s">
        <v>571</v>
      </c>
      <c r="R106" s="607" t="s">
        <v>494</v>
      </c>
      <c r="S106" s="605"/>
      <c r="T106" s="605"/>
    </row>
    <row r="107" spans="1:20" ht="12.75" customHeight="1" x14ac:dyDescent="0.2">
      <c r="A107" s="591"/>
      <c r="B107" s="591"/>
      <c r="C107" s="593"/>
      <c r="D107" s="602"/>
      <c r="F107" s="603">
        <f>SUM(F95:F106)</f>
        <v>232600</v>
      </c>
      <c r="G107" s="603"/>
      <c r="H107" s="779" t="s">
        <v>506</v>
      </c>
      <c r="I107" s="533">
        <f>L107/(F107*E2)</f>
        <v>0.20973297506448838</v>
      </c>
      <c r="J107" s="533"/>
      <c r="K107" s="533"/>
      <c r="L107" s="780">
        <f>SUM(L95:L106)</f>
        <v>1463516.7</v>
      </c>
      <c r="M107" s="616"/>
      <c r="N107" s="616"/>
      <c r="O107" s="536"/>
      <c r="P107" s="605"/>
      <c r="Q107" s="607"/>
      <c r="R107" s="607"/>
      <c r="S107" s="605"/>
      <c r="T107" s="617"/>
    </row>
    <row r="108" spans="1:20" ht="12.75" customHeight="1" x14ac:dyDescent="0.2">
      <c r="A108" s="591"/>
      <c r="B108" s="591"/>
      <c r="C108" s="593"/>
      <c r="D108" s="602"/>
      <c r="F108" s="530"/>
      <c r="G108" s="567"/>
      <c r="H108" s="532"/>
      <c r="I108" s="533"/>
      <c r="J108" s="533"/>
      <c r="K108" s="534"/>
      <c r="L108" s="530"/>
      <c r="M108" s="616"/>
      <c r="N108" s="616"/>
      <c r="O108" s="536"/>
      <c r="P108" s="605"/>
      <c r="Q108" s="607"/>
      <c r="R108" s="607"/>
      <c r="S108" s="605"/>
      <c r="T108" s="617"/>
    </row>
    <row r="109" spans="1:20" x14ac:dyDescent="0.2">
      <c r="A109" s="540" t="s">
        <v>534</v>
      </c>
      <c r="B109" s="540" t="s">
        <v>494</v>
      </c>
      <c r="C109" s="593"/>
      <c r="D109" s="602"/>
      <c r="F109" s="603"/>
      <c r="G109" s="567"/>
      <c r="H109" s="541"/>
      <c r="I109" s="533"/>
      <c r="J109" s="533"/>
      <c r="K109" s="534"/>
      <c r="L109" s="616"/>
      <c r="M109" s="616"/>
      <c r="N109" s="616"/>
      <c r="O109" s="536"/>
      <c r="P109" s="605"/>
      <c r="Q109" s="607"/>
      <c r="R109" s="607"/>
      <c r="S109" s="605"/>
      <c r="T109" s="617"/>
    </row>
    <row r="110" spans="1:20" ht="12.75" customHeight="1" x14ac:dyDescent="0.2">
      <c r="A110" s="180">
        <v>20746</v>
      </c>
      <c r="B110" s="180" t="s">
        <v>576</v>
      </c>
      <c r="C110" s="579" t="s">
        <v>5</v>
      </c>
      <c r="D110" s="181">
        <v>38835</v>
      </c>
      <c r="E110" s="180">
        <f t="shared" ref="E110:E117" si="43">$E$2</f>
        <v>30</v>
      </c>
      <c r="F110" s="733">
        <v>20000</v>
      </c>
      <c r="G110" s="182">
        <f t="shared" ref="G110:G116" si="44">SUM(E110*F110)</f>
        <v>600000</v>
      </c>
      <c r="H110" s="508">
        <f t="shared" ref="H110:H116" si="45">SUM(I110*30.4)</f>
        <v>9.4513599999999993</v>
      </c>
      <c r="I110" s="170">
        <v>0.31090000000000001</v>
      </c>
      <c r="J110" s="565">
        <v>1.84E-2</v>
      </c>
      <c r="K110" s="170">
        <f t="shared" ref="K110:K116" si="46">SUM(I110+J110)</f>
        <v>0.32930000000000004</v>
      </c>
      <c r="L110" s="183">
        <f t="shared" ref="L110:L116" si="47">SUM(I110*G110)</f>
        <v>186540</v>
      </c>
      <c r="M110" s="183">
        <f t="shared" ref="M110:M116" si="48">SUM(J110*G110)</f>
        <v>11040</v>
      </c>
      <c r="N110" s="183">
        <f t="shared" ref="N110:N116" si="49">SUM(L110:M110)</f>
        <v>197580</v>
      </c>
      <c r="O110" s="732" t="s">
        <v>292</v>
      </c>
      <c r="P110" s="583" t="s">
        <v>577</v>
      </c>
      <c r="Q110" s="511" t="s">
        <v>534</v>
      </c>
      <c r="R110" s="511" t="s">
        <v>494</v>
      </c>
      <c r="S110" s="168"/>
      <c r="T110" s="168"/>
    </row>
    <row r="111" spans="1:20" ht="12.75" customHeight="1" x14ac:dyDescent="0.2">
      <c r="A111" s="180">
        <v>20747</v>
      </c>
      <c r="B111" s="180" t="s">
        <v>578</v>
      </c>
      <c r="C111" s="579" t="s">
        <v>579</v>
      </c>
      <c r="D111" s="181">
        <v>37315</v>
      </c>
      <c r="E111" s="180">
        <f t="shared" si="43"/>
        <v>30</v>
      </c>
      <c r="F111" s="733">
        <v>10000</v>
      </c>
      <c r="G111" s="182">
        <f t="shared" si="44"/>
        <v>300000</v>
      </c>
      <c r="H111" s="508">
        <f t="shared" si="45"/>
        <v>9.3084800000000012</v>
      </c>
      <c r="I111" s="170">
        <v>0.30620000000000003</v>
      </c>
      <c r="J111" s="565">
        <v>2.5399999999999999E-2</v>
      </c>
      <c r="K111" s="170">
        <f t="shared" si="46"/>
        <v>0.33160000000000001</v>
      </c>
      <c r="L111" s="183">
        <f t="shared" si="47"/>
        <v>91860.000000000015</v>
      </c>
      <c r="M111" s="183">
        <f t="shared" si="48"/>
        <v>7620</v>
      </c>
      <c r="N111" s="183">
        <f t="shared" si="49"/>
        <v>99480.000000000015</v>
      </c>
      <c r="O111" s="732" t="s">
        <v>292</v>
      </c>
      <c r="P111" s="583" t="s">
        <v>580</v>
      </c>
      <c r="Q111" s="511" t="s">
        <v>534</v>
      </c>
      <c r="R111" s="511" t="s">
        <v>494</v>
      </c>
      <c r="S111" s="583"/>
      <c r="T111" s="168"/>
    </row>
    <row r="112" spans="1:20" ht="12.75" customHeight="1" x14ac:dyDescent="0.2">
      <c r="A112" s="180">
        <v>20748</v>
      </c>
      <c r="B112" s="180" t="s">
        <v>578</v>
      </c>
      <c r="C112" s="579" t="s">
        <v>579</v>
      </c>
      <c r="D112" s="181">
        <v>37315</v>
      </c>
      <c r="E112" s="180">
        <f t="shared" si="43"/>
        <v>30</v>
      </c>
      <c r="F112" s="733">
        <v>10000</v>
      </c>
      <c r="G112" s="182">
        <f t="shared" si="44"/>
        <v>300000</v>
      </c>
      <c r="H112" s="508">
        <f t="shared" si="45"/>
        <v>9.2720000000000002</v>
      </c>
      <c r="I112" s="170">
        <v>0.30499999999999999</v>
      </c>
      <c r="J112" s="565">
        <v>2.5399999999999999E-2</v>
      </c>
      <c r="K112" s="170">
        <f t="shared" si="46"/>
        <v>0.33039999999999997</v>
      </c>
      <c r="L112" s="183">
        <f t="shared" si="47"/>
        <v>91500</v>
      </c>
      <c r="M112" s="183">
        <f t="shared" si="48"/>
        <v>7620</v>
      </c>
      <c r="N112" s="183">
        <f t="shared" si="49"/>
        <v>99120</v>
      </c>
      <c r="O112" s="732" t="s">
        <v>292</v>
      </c>
      <c r="P112" s="583" t="s">
        <v>580</v>
      </c>
      <c r="Q112" s="511" t="s">
        <v>534</v>
      </c>
      <c r="R112" s="511" t="s">
        <v>494</v>
      </c>
      <c r="S112" s="583"/>
      <c r="T112" s="168"/>
    </row>
    <row r="113" spans="1:112" s="487" customFormat="1" ht="12.75" customHeight="1" x14ac:dyDescent="0.2">
      <c r="A113" s="180">
        <v>21165</v>
      </c>
      <c r="B113" s="180" t="s">
        <v>581</v>
      </c>
      <c r="C113" s="579" t="s">
        <v>579</v>
      </c>
      <c r="D113" s="181">
        <v>39172</v>
      </c>
      <c r="E113" s="180">
        <f t="shared" si="43"/>
        <v>30</v>
      </c>
      <c r="F113" s="733">
        <v>150000</v>
      </c>
      <c r="G113" s="182">
        <f t="shared" si="44"/>
        <v>4500000</v>
      </c>
      <c r="H113" s="508">
        <f t="shared" si="45"/>
        <v>9.5395199999999996</v>
      </c>
      <c r="I113" s="170">
        <v>0.31380000000000002</v>
      </c>
      <c r="J113" s="565">
        <v>2.5399999999999999E-2</v>
      </c>
      <c r="K113" s="170">
        <f t="shared" si="46"/>
        <v>0.3392</v>
      </c>
      <c r="L113" s="183">
        <f t="shared" si="47"/>
        <v>1412100</v>
      </c>
      <c r="M113" s="183">
        <f t="shared" si="48"/>
        <v>114300</v>
      </c>
      <c r="N113" s="183">
        <f t="shared" si="49"/>
        <v>1526400</v>
      </c>
      <c r="O113" s="732" t="s">
        <v>292</v>
      </c>
      <c r="P113" s="583" t="s">
        <v>577</v>
      </c>
      <c r="Q113" s="511" t="s">
        <v>534</v>
      </c>
      <c r="R113" s="511" t="s">
        <v>494</v>
      </c>
      <c r="S113" s="583"/>
      <c r="T113" s="168"/>
    </row>
    <row r="114" spans="1:112" s="601" customFormat="1" ht="12.75" customHeight="1" x14ac:dyDescent="0.2">
      <c r="A114" s="180">
        <v>26372</v>
      </c>
      <c r="B114" s="588" t="s">
        <v>542</v>
      </c>
      <c r="C114" s="579" t="s">
        <v>579</v>
      </c>
      <c r="D114" s="181">
        <v>39172</v>
      </c>
      <c r="E114" s="180">
        <f t="shared" si="43"/>
        <v>30</v>
      </c>
      <c r="F114" s="733">
        <v>25000</v>
      </c>
      <c r="G114" s="182">
        <f t="shared" si="44"/>
        <v>750000</v>
      </c>
      <c r="H114" s="508">
        <f t="shared" si="45"/>
        <v>9.5364799999999992</v>
      </c>
      <c r="I114" s="170">
        <v>0.31369999999999998</v>
      </c>
      <c r="J114" s="565">
        <v>2.5399999999999999E-2</v>
      </c>
      <c r="K114" s="170">
        <f>SUM(I114+J114)</f>
        <v>0.33909999999999996</v>
      </c>
      <c r="L114" s="183">
        <f t="shared" si="47"/>
        <v>235274.99999999997</v>
      </c>
      <c r="M114" s="183">
        <f t="shared" si="48"/>
        <v>19050</v>
      </c>
      <c r="N114" s="183">
        <f t="shared" si="49"/>
        <v>254324.99999999997</v>
      </c>
      <c r="O114" s="732" t="s">
        <v>292</v>
      </c>
      <c r="P114" s="583" t="s">
        <v>577</v>
      </c>
      <c r="Q114" s="511" t="s">
        <v>534</v>
      </c>
      <c r="R114" s="511" t="s">
        <v>494</v>
      </c>
      <c r="S114" s="583"/>
      <c r="T114" s="168"/>
    </row>
    <row r="115" spans="1:112" s="601" customFormat="1" ht="12.75" customHeight="1" x14ac:dyDescent="0.2">
      <c r="A115" s="180">
        <v>20822</v>
      </c>
      <c r="B115" s="180" t="s">
        <v>582</v>
      </c>
      <c r="C115" s="579" t="s">
        <v>579</v>
      </c>
      <c r="D115" s="181">
        <v>39141</v>
      </c>
      <c r="E115" s="180">
        <f t="shared" si="43"/>
        <v>30</v>
      </c>
      <c r="F115" s="733">
        <v>25000</v>
      </c>
      <c r="G115" s="182">
        <f t="shared" si="44"/>
        <v>750000</v>
      </c>
      <c r="H115" s="508">
        <f t="shared" si="45"/>
        <v>6.3718399999999997</v>
      </c>
      <c r="I115" s="170">
        <v>0.20960000000000001</v>
      </c>
      <c r="J115" s="565">
        <v>2.5399999999999999E-2</v>
      </c>
      <c r="K115" s="170">
        <f t="shared" si="46"/>
        <v>0.23500000000000001</v>
      </c>
      <c r="L115" s="183">
        <f t="shared" si="47"/>
        <v>157200</v>
      </c>
      <c r="M115" s="183">
        <f t="shared" si="48"/>
        <v>19050</v>
      </c>
      <c r="N115" s="183">
        <f t="shared" si="49"/>
        <v>176250</v>
      </c>
      <c r="O115" s="732" t="s">
        <v>292</v>
      </c>
      <c r="P115" s="175" t="s">
        <v>583</v>
      </c>
      <c r="Q115" s="511" t="s">
        <v>534</v>
      </c>
      <c r="R115" s="511" t="s">
        <v>494</v>
      </c>
      <c r="S115" s="175"/>
      <c r="T115" s="168"/>
    </row>
    <row r="116" spans="1:112" s="601" customFormat="1" ht="12.75" customHeight="1" x14ac:dyDescent="0.2">
      <c r="A116" s="180">
        <v>26678</v>
      </c>
      <c r="B116" s="510" t="s">
        <v>544</v>
      </c>
      <c r="C116" s="579" t="s">
        <v>579</v>
      </c>
      <c r="D116" s="181">
        <v>39172</v>
      </c>
      <c r="E116" s="180">
        <f t="shared" si="43"/>
        <v>30</v>
      </c>
      <c r="F116" s="733">
        <v>25000</v>
      </c>
      <c r="G116" s="182">
        <f t="shared" si="44"/>
        <v>750000</v>
      </c>
      <c r="H116" s="508">
        <f t="shared" si="45"/>
        <v>9.4969599999999996</v>
      </c>
      <c r="I116" s="170">
        <v>0.31240000000000001</v>
      </c>
      <c r="J116" s="565">
        <v>2.5399999999999999E-2</v>
      </c>
      <c r="K116" s="170">
        <f t="shared" si="46"/>
        <v>0.33779999999999999</v>
      </c>
      <c r="L116" s="183">
        <f t="shared" si="47"/>
        <v>234300</v>
      </c>
      <c r="M116" s="183">
        <f t="shared" si="48"/>
        <v>19050</v>
      </c>
      <c r="N116" s="183">
        <f t="shared" si="49"/>
        <v>253350</v>
      </c>
      <c r="O116" s="732" t="s">
        <v>292</v>
      </c>
      <c r="P116" s="583" t="s">
        <v>577</v>
      </c>
      <c r="Q116" s="511" t="s">
        <v>534</v>
      </c>
      <c r="R116" s="511" t="s">
        <v>494</v>
      </c>
      <c r="S116" s="583"/>
      <c r="T116" s="168"/>
    </row>
    <row r="117" spans="1:112" s="601" customFormat="1" ht="12.75" customHeight="1" x14ac:dyDescent="0.2">
      <c r="A117" s="180">
        <v>27583</v>
      </c>
      <c r="B117" s="510" t="s">
        <v>584</v>
      </c>
      <c r="C117" s="623" t="s">
        <v>585</v>
      </c>
      <c r="D117" s="624" t="s">
        <v>586</v>
      </c>
      <c r="E117" s="180">
        <f t="shared" si="43"/>
        <v>30</v>
      </c>
      <c r="F117" s="736">
        <v>1300</v>
      </c>
      <c r="G117" s="182">
        <f>SUM(E117*F117)</f>
        <v>39000</v>
      </c>
      <c r="H117" s="508">
        <f>SUM(I117*30.4)</f>
        <v>6.9585599999999994</v>
      </c>
      <c r="I117" s="170">
        <v>0.22889999999999999</v>
      </c>
      <c r="J117" s="565">
        <v>1.5299999999999999E-2</v>
      </c>
      <c r="K117" s="170">
        <f>SUM(I117+J117)</f>
        <v>0.2442</v>
      </c>
      <c r="L117" s="527">
        <f>SUM(I117*G117)</f>
        <v>8927.1</v>
      </c>
      <c r="M117" s="183">
        <f>SUM(J117*G117)</f>
        <v>596.69999999999993</v>
      </c>
      <c r="N117" s="183">
        <f>SUM(L117:M117)</f>
        <v>9523.8000000000011</v>
      </c>
      <c r="O117" s="732"/>
      <c r="P117" s="583"/>
      <c r="Q117" s="511"/>
      <c r="R117" s="511"/>
      <c r="S117" s="583"/>
      <c r="T117" s="168"/>
    </row>
    <row r="118" spans="1:112" s="601" customFormat="1" ht="12.75" customHeight="1" x14ac:dyDescent="0.2">
      <c r="A118" s="591"/>
      <c r="B118" s="591"/>
      <c r="C118" s="489"/>
      <c r="D118" s="602"/>
      <c r="E118" s="35"/>
      <c r="F118" s="603">
        <f>SUM(F110:F117)</f>
        <v>266300</v>
      </c>
      <c r="G118" s="603"/>
      <c r="H118" s="779" t="s">
        <v>506</v>
      </c>
      <c r="I118" s="533">
        <f>L118/(F118*E2)</f>
        <v>0.3026288772061585</v>
      </c>
      <c r="J118" s="533"/>
      <c r="K118" s="533"/>
      <c r="L118" s="604">
        <f>SUM(L110:L117)</f>
        <v>2417702.1</v>
      </c>
      <c r="M118" s="616"/>
      <c r="N118" s="616"/>
      <c r="O118" s="536"/>
      <c r="P118" s="605"/>
      <c r="Q118" s="607"/>
      <c r="R118" s="607"/>
      <c r="S118" s="605"/>
      <c r="T118" s="617"/>
    </row>
    <row r="119" spans="1:112" s="601" customFormat="1" ht="12.75" customHeight="1" x14ac:dyDescent="0.2">
      <c r="A119" s="591"/>
      <c r="B119" s="591"/>
      <c r="C119" s="489"/>
      <c r="D119" s="602"/>
      <c r="E119" s="35"/>
      <c r="F119" s="530"/>
      <c r="G119" s="567"/>
      <c r="H119" s="532"/>
      <c r="I119" s="533"/>
      <c r="J119" s="533"/>
      <c r="K119" s="534"/>
      <c r="L119" s="535"/>
      <c r="M119" s="616"/>
      <c r="N119" s="616"/>
      <c r="O119" s="536"/>
      <c r="P119" s="605"/>
      <c r="Q119" s="607"/>
      <c r="R119" s="607"/>
      <c r="S119" s="605"/>
      <c r="T119" s="617"/>
    </row>
    <row r="120" spans="1:112" s="512" customFormat="1" ht="12.75" customHeight="1" x14ac:dyDescent="0.2">
      <c r="A120" s="591"/>
      <c r="B120" s="591"/>
      <c r="C120" s="489"/>
      <c r="D120" s="602"/>
      <c r="E120" s="35"/>
      <c r="F120" s="530"/>
      <c r="G120" s="567"/>
      <c r="H120" s="532"/>
      <c r="I120" s="533"/>
      <c r="J120" s="533"/>
      <c r="K120" s="534"/>
      <c r="L120" s="535"/>
      <c r="M120" s="616"/>
      <c r="N120" s="616"/>
      <c r="O120" s="536"/>
      <c r="P120" s="605"/>
      <c r="Q120" s="607"/>
      <c r="R120" s="607"/>
      <c r="S120" s="605"/>
      <c r="T120" s="617"/>
      <c r="U120" s="601"/>
      <c r="V120" s="601"/>
      <c r="W120" s="601"/>
      <c r="X120" s="601"/>
      <c r="Y120" s="601"/>
      <c r="Z120" s="601"/>
    </row>
    <row r="121" spans="1:112" s="11" customFormat="1" ht="12.75" customHeight="1" x14ac:dyDescent="0.2">
      <c r="A121" s="488">
        <v>25394</v>
      </c>
      <c r="B121" s="488" t="s">
        <v>297</v>
      </c>
      <c r="C121" s="489" t="s">
        <v>587</v>
      </c>
      <c r="D121" s="489">
        <v>37802</v>
      </c>
      <c r="E121" s="180">
        <f>$E$2</f>
        <v>30</v>
      </c>
      <c r="F121" s="490">
        <v>0</v>
      </c>
      <c r="G121" s="490">
        <f>SUM(E121*F121)</f>
        <v>0</v>
      </c>
      <c r="H121" s="502">
        <f>SUM(I121*30.4)</f>
        <v>0</v>
      </c>
      <c r="I121" s="493">
        <v>0</v>
      </c>
      <c r="J121" s="493">
        <v>0</v>
      </c>
      <c r="K121" s="493">
        <f>SUM(I121+J121)</f>
        <v>0</v>
      </c>
      <c r="L121" s="503">
        <f>SUM(I121*G121)</f>
        <v>0</v>
      </c>
      <c r="M121" s="503">
        <f>SUM(J121*G121)</f>
        <v>0</v>
      </c>
      <c r="N121" s="503">
        <f>SUM(L121:M121)</f>
        <v>0</v>
      </c>
      <c r="O121" s="503" t="s">
        <v>478</v>
      </c>
      <c r="P121" s="625" t="s">
        <v>588</v>
      </c>
      <c r="Q121" s="509"/>
      <c r="R121" s="509"/>
      <c r="S121" s="504"/>
      <c r="T121" s="499"/>
    </row>
    <row r="122" spans="1:112" s="11" customFormat="1" ht="12.75" customHeight="1" x14ac:dyDescent="0.2">
      <c r="A122" s="488"/>
      <c r="B122" s="488"/>
      <c r="C122" s="489"/>
      <c r="D122" s="528"/>
      <c r="E122" s="626"/>
      <c r="F122" s="531"/>
      <c r="G122" s="567"/>
      <c r="H122" s="541"/>
      <c r="I122" s="533"/>
      <c r="J122" s="533"/>
      <c r="K122" s="568"/>
      <c r="L122" s="536"/>
      <c r="M122" s="536"/>
      <c r="N122" s="536"/>
      <c r="O122" s="536"/>
      <c r="P122" s="537"/>
      <c r="Q122" s="538"/>
      <c r="R122" s="538"/>
      <c r="S122" s="537"/>
      <c r="T122" s="537"/>
    </row>
    <row r="123" spans="1:112" s="11" customFormat="1" ht="12.75" customHeight="1" x14ac:dyDescent="0.2">
      <c r="A123" s="627"/>
      <c r="B123" s="488"/>
      <c r="C123" s="489"/>
      <c r="D123" s="528"/>
      <c r="E123" s="626"/>
      <c r="F123" s="531"/>
      <c r="G123" s="531"/>
      <c r="H123" s="541"/>
      <c r="I123" s="534"/>
      <c r="J123" s="534"/>
      <c r="K123" s="534"/>
      <c r="L123" s="536">
        <f>L118+L107+L92+L88+L70+L57+L47+L34+L29+L24</f>
        <v>12561998.694</v>
      </c>
      <c r="M123" s="536"/>
      <c r="N123" s="536"/>
      <c r="O123" s="536"/>
      <c r="P123" s="537"/>
      <c r="Q123" s="538"/>
      <c r="R123" s="538"/>
      <c r="S123" s="537"/>
      <c r="T123" s="537"/>
    </row>
    <row r="124" spans="1:112" s="11" customFormat="1" ht="12.75" customHeight="1" x14ac:dyDescent="0.2">
      <c r="A124" s="488"/>
      <c r="B124" s="488"/>
      <c r="C124" s="489"/>
      <c r="D124" s="489"/>
      <c r="E124" s="488"/>
      <c r="F124" s="490"/>
      <c r="G124" s="490"/>
      <c r="H124" s="502"/>
      <c r="I124" s="493"/>
      <c r="J124" s="493"/>
      <c r="K124" s="493"/>
      <c r="L124" s="503"/>
      <c r="M124" s="503"/>
      <c r="N124" s="503"/>
      <c r="O124" s="503"/>
      <c r="P124" s="625"/>
      <c r="Q124" s="509"/>
      <c r="R124" s="509"/>
      <c r="S124" s="504"/>
      <c r="T124" s="499"/>
    </row>
    <row r="125" spans="1:112" s="570" customFormat="1" ht="12.75" customHeight="1" x14ac:dyDescent="0.2">
      <c r="A125" s="488"/>
      <c r="B125" s="488"/>
      <c r="C125" s="489"/>
      <c r="D125" s="528"/>
      <c r="E125" s="626"/>
      <c r="F125" s="531"/>
      <c r="G125" s="567"/>
      <c r="H125" s="541"/>
      <c r="I125" s="533"/>
      <c r="J125" s="533"/>
      <c r="K125" s="568"/>
      <c r="L125" s="536"/>
      <c r="M125" s="536"/>
      <c r="N125" s="536"/>
      <c r="O125" s="536"/>
      <c r="P125" s="537"/>
      <c r="Q125" s="538"/>
      <c r="R125" s="538"/>
      <c r="S125" s="537"/>
      <c r="T125" s="537"/>
      <c r="U125" s="618"/>
      <c r="V125" s="618"/>
      <c r="W125" s="618"/>
      <c r="X125" s="618"/>
      <c r="Y125" s="618"/>
      <c r="Z125" s="618"/>
      <c r="AA125" s="618"/>
      <c r="AB125" s="618"/>
      <c r="AC125" s="618"/>
      <c r="AD125" s="618"/>
      <c r="AE125" s="618"/>
      <c r="AF125" s="618"/>
      <c r="AG125" s="618"/>
      <c r="AH125" s="618"/>
      <c r="AI125" s="618"/>
      <c r="AJ125" s="618"/>
      <c r="AK125" s="618"/>
      <c r="AL125" s="618"/>
      <c r="AM125" s="618"/>
      <c r="AN125" s="618"/>
      <c r="AO125" s="618"/>
      <c r="AP125" s="618"/>
      <c r="AQ125" s="618"/>
      <c r="AR125" s="618"/>
      <c r="AS125" s="618"/>
      <c r="AT125" s="618"/>
      <c r="AU125" s="618"/>
      <c r="AV125" s="618"/>
      <c r="AW125" s="618"/>
      <c r="AX125" s="618"/>
      <c r="AY125" s="618"/>
      <c r="AZ125" s="618"/>
      <c r="BA125" s="618"/>
      <c r="BB125" s="618"/>
      <c r="BC125" s="618"/>
      <c r="BD125" s="618"/>
      <c r="BE125" s="618"/>
      <c r="BF125" s="618"/>
      <c r="BG125" s="618"/>
      <c r="BH125" s="618"/>
      <c r="BI125" s="618"/>
      <c r="BJ125" s="618"/>
      <c r="BK125" s="618"/>
      <c r="BL125" s="618"/>
      <c r="BM125" s="618"/>
      <c r="BN125" s="618"/>
      <c r="BO125" s="618"/>
      <c r="BP125" s="618"/>
      <c r="BQ125" s="618"/>
      <c r="BR125" s="618"/>
      <c r="BS125" s="618"/>
      <c r="BT125" s="618"/>
      <c r="BU125" s="618"/>
      <c r="BV125" s="618"/>
      <c r="BW125" s="618"/>
      <c r="BX125" s="618"/>
      <c r="BY125" s="618"/>
      <c r="BZ125" s="618"/>
      <c r="CA125" s="618"/>
      <c r="CB125" s="618"/>
      <c r="CC125" s="618"/>
      <c r="CD125" s="618"/>
      <c r="CE125" s="618"/>
      <c r="CF125" s="618"/>
      <c r="CG125" s="618"/>
      <c r="CH125" s="618"/>
      <c r="CI125" s="618"/>
      <c r="CJ125" s="618"/>
      <c r="CK125" s="618"/>
      <c r="CL125" s="618"/>
      <c r="CM125" s="618"/>
      <c r="CN125" s="618"/>
      <c r="CO125" s="618"/>
      <c r="CP125" s="618"/>
      <c r="CQ125" s="618"/>
      <c r="CR125" s="618"/>
      <c r="CS125" s="618"/>
      <c r="CT125" s="618"/>
      <c r="CU125" s="618"/>
      <c r="CV125" s="618"/>
      <c r="CW125" s="618"/>
      <c r="CX125" s="618"/>
      <c r="CY125" s="618"/>
      <c r="CZ125" s="618"/>
      <c r="DA125" s="618"/>
      <c r="DB125" s="618"/>
      <c r="DC125" s="618"/>
      <c r="DD125" s="618"/>
      <c r="DE125" s="618"/>
      <c r="DF125" s="618"/>
      <c r="DG125" s="618"/>
      <c r="DH125" s="618"/>
    </row>
    <row r="126" spans="1:112" s="570" customFormat="1" ht="12.75" customHeight="1" x14ac:dyDescent="0.2">
      <c r="A126" s="627"/>
      <c r="B126" s="488"/>
      <c r="C126" s="489"/>
      <c r="D126" s="528"/>
      <c r="E126" s="626"/>
      <c r="F126" s="531"/>
      <c r="G126" s="531"/>
      <c r="H126" s="541"/>
      <c r="I126" s="534"/>
      <c r="J126" s="534"/>
      <c r="K126" s="534"/>
      <c r="L126" s="536"/>
      <c r="M126" s="536"/>
      <c r="N126" s="536"/>
      <c r="O126" s="536"/>
      <c r="P126" s="537"/>
      <c r="Q126" s="538"/>
      <c r="R126" s="538"/>
      <c r="S126" s="537"/>
      <c r="T126" s="537"/>
      <c r="U126" s="618"/>
      <c r="V126" s="618"/>
      <c r="W126" s="618"/>
      <c r="X126" s="618"/>
      <c r="Y126" s="618"/>
      <c r="Z126" s="618"/>
      <c r="AA126" s="618"/>
      <c r="AB126" s="618"/>
      <c r="AC126" s="618"/>
      <c r="AD126" s="618"/>
      <c r="AE126" s="618"/>
      <c r="AF126" s="618"/>
      <c r="AG126" s="618"/>
      <c r="AH126" s="618"/>
      <c r="AI126" s="618"/>
      <c r="AJ126" s="618"/>
      <c r="AK126" s="618"/>
      <c r="AL126" s="618"/>
      <c r="AM126" s="618"/>
      <c r="AN126" s="618"/>
      <c r="AO126" s="618"/>
      <c r="AP126" s="618"/>
      <c r="AQ126" s="618"/>
      <c r="AR126" s="618"/>
      <c r="AS126" s="618"/>
      <c r="AT126" s="618"/>
      <c r="AU126" s="618"/>
      <c r="AV126" s="618"/>
      <c r="AW126" s="618"/>
      <c r="AX126" s="618"/>
      <c r="AY126" s="618"/>
      <c r="AZ126" s="618"/>
      <c r="BA126" s="618"/>
      <c r="BB126" s="618"/>
      <c r="BC126" s="618"/>
      <c r="BD126" s="618"/>
      <c r="BE126" s="618"/>
      <c r="BF126" s="618"/>
      <c r="BG126" s="618"/>
      <c r="BH126" s="618"/>
      <c r="BI126" s="618"/>
      <c r="BJ126" s="618"/>
      <c r="BK126" s="618"/>
      <c r="BL126" s="618"/>
      <c r="BM126" s="618"/>
      <c r="BN126" s="618"/>
      <c r="BO126" s="618"/>
      <c r="BP126" s="618"/>
      <c r="BQ126" s="618"/>
      <c r="BR126" s="618"/>
      <c r="BS126" s="618"/>
      <c r="BT126" s="618"/>
      <c r="BU126" s="618"/>
      <c r="BV126" s="618"/>
      <c r="BW126" s="618"/>
      <c r="BX126" s="618"/>
      <c r="BY126" s="618"/>
      <c r="BZ126" s="618"/>
      <c r="CA126" s="618"/>
      <c r="CB126" s="618"/>
      <c r="CC126" s="618"/>
      <c r="CD126" s="618"/>
      <c r="CE126" s="618"/>
      <c r="CF126" s="618"/>
      <c r="CG126" s="618"/>
      <c r="CH126" s="618"/>
      <c r="CI126" s="618"/>
      <c r="CJ126" s="618"/>
      <c r="CK126" s="618"/>
      <c r="CL126" s="618"/>
      <c r="CM126" s="618"/>
      <c r="CN126" s="618"/>
      <c r="CO126" s="618"/>
      <c r="CP126" s="618"/>
      <c r="CQ126" s="618"/>
      <c r="CR126" s="618"/>
      <c r="CS126" s="618"/>
      <c r="CT126" s="618"/>
      <c r="CU126" s="618"/>
      <c r="CV126" s="618"/>
      <c r="CW126" s="618"/>
      <c r="CX126" s="618"/>
      <c r="CY126" s="618"/>
      <c r="CZ126" s="618"/>
      <c r="DA126" s="618"/>
      <c r="DB126" s="618"/>
      <c r="DC126" s="618"/>
      <c r="DD126" s="618"/>
      <c r="DE126" s="618"/>
      <c r="DF126" s="618"/>
      <c r="DG126" s="618"/>
      <c r="DH126" s="618"/>
    </row>
    <row r="127" spans="1:112" x14ac:dyDescent="0.2">
      <c r="A127" s="11"/>
      <c r="B127" s="628"/>
      <c r="C127" s="591"/>
      <c r="D127" s="529"/>
      <c r="E127" s="529"/>
      <c r="F127" s="567"/>
      <c r="G127" s="567"/>
      <c r="H127" s="541"/>
      <c r="I127" s="568"/>
      <c r="J127" s="568"/>
      <c r="K127" s="568"/>
      <c r="L127" s="616"/>
      <c r="M127" s="616"/>
      <c r="N127" s="616"/>
      <c r="O127" s="616"/>
      <c r="Q127" s="549"/>
      <c r="R127" s="549"/>
      <c r="T127" s="629"/>
    </row>
    <row r="128" spans="1:112" x14ac:dyDescent="0.2">
      <c r="A128" s="11"/>
      <c r="B128" s="628"/>
      <c r="C128" s="591"/>
      <c r="D128" s="529"/>
      <c r="E128" s="529"/>
      <c r="F128" s="567"/>
      <c r="G128" s="567"/>
      <c r="H128" s="541"/>
      <c r="I128" s="568"/>
      <c r="J128" s="568"/>
      <c r="K128" s="568"/>
      <c r="L128" s="616"/>
      <c r="M128" s="616"/>
      <c r="N128" s="616"/>
      <c r="O128" s="616"/>
      <c r="Q128" s="549"/>
      <c r="R128" s="549"/>
      <c r="T128" s="629"/>
    </row>
    <row r="129" spans="1:20" x14ac:dyDescent="0.2">
      <c r="A129" s="630"/>
      <c r="B129" s="628"/>
      <c r="C129" s="591"/>
      <c r="D129" s="529"/>
      <c r="E129" s="529"/>
      <c r="F129" s="567"/>
      <c r="G129" s="567"/>
      <c r="H129" s="541"/>
      <c r="I129" s="568"/>
      <c r="J129" s="568"/>
      <c r="K129" s="568"/>
      <c r="L129" s="616"/>
      <c r="M129" s="616"/>
      <c r="N129" s="616"/>
      <c r="O129" s="616"/>
      <c r="Q129" s="549"/>
      <c r="R129" s="549"/>
      <c r="T129" s="629"/>
    </row>
    <row r="130" spans="1:20" x14ac:dyDescent="0.2">
      <c r="A130" s="506"/>
      <c r="B130" s="506"/>
      <c r="C130" s="506"/>
      <c r="D130" s="529"/>
      <c r="E130" s="529"/>
      <c r="F130" s="567"/>
      <c r="G130" s="567"/>
      <c r="H130" s="541"/>
      <c r="I130" s="568"/>
      <c r="J130" s="568"/>
      <c r="L130" s="616"/>
      <c r="M130" s="616"/>
      <c r="N130" s="616"/>
      <c r="O130" s="616"/>
      <c r="Q130" s="549"/>
      <c r="R130" s="549"/>
      <c r="T130" s="629"/>
    </row>
    <row r="131" spans="1:20" x14ac:dyDescent="0.2">
      <c r="A131" s="569"/>
      <c r="B131" s="506"/>
      <c r="C131" s="506"/>
      <c r="D131" s="529"/>
      <c r="E131" s="529"/>
      <c r="F131" s="631"/>
      <c r="G131" s="632"/>
      <c r="H131" s="541"/>
      <c r="I131" s="633"/>
      <c r="J131" s="634"/>
      <c r="K131" s="547"/>
      <c r="L131" s="620"/>
      <c r="M131" s="536"/>
      <c r="N131" s="635"/>
      <c r="O131" s="536"/>
      <c r="Q131" s="549"/>
      <c r="R131" s="549"/>
      <c r="T131" s="629"/>
    </row>
    <row r="132" spans="1:20" x14ac:dyDescent="0.2">
      <c r="A132" s="506"/>
      <c r="B132" s="506"/>
      <c r="C132" s="506"/>
      <c r="D132" s="529"/>
      <c r="E132" s="529"/>
      <c r="F132" s="567"/>
      <c r="G132" s="632"/>
      <c r="H132" s="541"/>
      <c r="I132" s="568"/>
      <c r="J132" s="568"/>
      <c r="L132" s="616"/>
      <c r="M132" s="616"/>
      <c r="N132" s="616"/>
      <c r="O132" s="616"/>
      <c r="Q132" s="549"/>
      <c r="R132" s="549"/>
      <c r="T132" s="629"/>
    </row>
    <row r="133" spans="1:20" x14ac:dyDescent="0.2">
      <c r="A133" s="630"/>
      <c r="B133" s="591"/>
      <c r="C133" s="506"/>
      <c r="D133" s="529"/>
      <c r="E133" s="529"/>
      <c r="F133" s="567"/>
      <c r="G133" s="567"/>
      <c r="H133" s="568"/>
      <c r="I133" s="568"/>
      <c r="J133" s="568"/>
      <c r="L133" s="636"/>
      <c r="M133" s="636"/>
      <c r="N133" s="636"/>
      <c r="O133" s="636"/>
      <c r="Q133" s="549"/>
      <c r="R133" s="549"/>
      <c r="T133" s="629"/>
    </row>
    <row r="134" spans="1:20" x14ac:dyDescent="0.2">
      <c r="A134" s="630"/>
      <c r="B134" s="591"/>
      <c r="C134" s="506"/>
      <c r="D134" s="529"/>
      <c r="E134" s="529"/>
      <c r="F134" s="567"/>
      <c r="G134" s="567"/>
      <c r="H134" s="568"/>
      <c r="I134" s="568"/>
      <c r="J134" s="568"/>
      <c r="L134" s="633"/>
      <c r="M134" s="634"/>
      <c r="N134" s="534"/>
      <c r="O134" s="534"/>
      <c r="Q134" s="549"/>
      <c r="R134" s="549"/>
      <c r="T134" s="629"/>
    </row>
    <row r="135" spans="1:20" x14ac:dyDescent="0.2">
      <c r="A135" s="630"/>
      <c r="B135" s="591"/>
      <c r="C135" s="591"/>
      <c r="D135" s="529"/>
      <c r="E135" s="529"/>
      <c r="F135" s="567"/>
      <c r="G135" s="567"/>
      <c r="H135" s="568"/>
      <c r="I135" s="568"/>
      <c r="J135" s="568"/>
      <c r="L135" s="568"/>
      <c r="M135" s="568"/>
      <c r="N135" s="568"/>
      <c r="O135" s="568"/>
      <c r="Q135" s="549"/>
      <c r="R135" s="549"/>
      <c r="T135" s="629"/>
    </row>
    <row r="136" spans="1:20" x14ac:dyDescent="0.2">
      <c r="A136" s="630"/>
      <c r="B136" s="591"/>
      <c r="C136" s="591"/>
      <c r="D136" s="529"/>
      <c r="E136" s="529"/>
      <c r="F136" s="567"/>
      <c r="G136" s="567"/>
      <c r="H136" s="568"/>
      <c r="I136" s="568"/>
      <c r="J136" s="568"/>
      <c r="L136" s="568"/>
      <c r="M136" s="568"/>
      <c r="N136" s="568"/>
      <c r="O136" s="568"/>
      <c r="Q136" s="549"/>
      <c r="R136" s="549"/>
      <c r="T136" s="629"/>
    </row>
    <row r="137" spans="1:20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/>
      <c r="L137"/>
      <c r="M137"/>
      <c r="N137"/>
      <c r="O137"/>
      <c r="P137"/>
      <c r="Q137" s="549"/>
      <c r="R137" s="549"/>
      <c r="T137" s="629"/>
    </row>
    <row r="138" spans="1:20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/>
      <c r="L138"/>
      <c r="M138"/>
      <c r="N138"/>
      <c r="O138"/>
      <c r="P138"/>
      <c r="Q138" s="549"/>
      <c r="R138" s="549"/>
      <c r="T138" s="629"/>
    </row>
    <row r="139" spans="1:20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/>
      <c r="L139"/>
      <c r="M139"/>
      <c r="N139"/>
      <c r="O139"/>
      <c r="P139"/>
      <c r="Q139" s="549"/>
      <c r="R139" s="549"/>
      <c r="T139" s="629"/>
    </row>
    <row r="140" spans="1:20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/>
      <c r="L140"/>
      <c r="M140"/>
      <c r="N140"/>
      <c r="O140"/>
      <c r="P140"/>
      <c r="Q140" s="549"/>
      <c r="R140" s="549"/>
      <c r="T140" s="629"/>
    </row>
    <row r="141" spans="1:20" x14ac:dyDescent="0.2">
      <c r="A141" s="591"/>
      <c r="B141" s="591"/>
      <c r="C141" s="591"/>
      <c r="D141" s="529"/>
      <c r="E141" s="529"/>
      <c r="F141" s="567"/>
      <c r="G141" s="567"/>
      <c r="H141" s="568"/>
      <c r="I141" s="568"/>
      <c r="J141" s="568"/>
      <c r="Q141" s="549"/>
      <c r="R141" s="549"/>
      <c r="T141" s="629"/>
    </row>
    <row r="142" spans="1:20" ht="20.25" x14ac:dyDescent="0.3">
      <c r="A142" s="637"/>
      <c r="B142" s="591"/>
      <c r="C142" s="591"/>
      <c r="D142" s="529"/>
      <c r="E142" s="529"/>
      <c r="F142" s="567"/>
      <c r="G142" s="567"/>
      <c r="H142" s="568"/>
      <c r="I142" s="568"/>
      <c r="J142" s="568"/>
      <c r="P142" s="459">
        <f ca="1">NOW()</f>
        <v>41885.92788761574</v>
      </c>
      <c r="Q142" s="638"/>
      <c r="R142" s="638"/>
      <c r="T142" s="629"/>
    </row>
    <row r="143" spans="1:20" x14ac:dyDescent="0.2">
      <c r="A143" s="639"/>
      <c r="B143" s="591"/>
      <c r="C143" s="591"/>
      <c r="D143" s="529"/>
      <c r="E143" s="529"/>
      <c r="F143" s="567"/>
      <c r="G143" s="567"/>
      <c r="H143" s="568"/>
      <c r="I143" s="568"/>
      <c r="J143" s="568"/>
      <c r="Q143" s="549"/>
      <c r="R143" s="549"/>
      <c r="T143" s="629"/>
    </row>
    <row r="144" spans="1:20" x14ac:dyDescent="0.2">
      <c r="A144" s="478"/>
      <c r="B144" s="640"/>
      <c r="C144" s="478"/>
      <c r="D144" s="478"/>
      <c r="E144" s="478"/>
      <c r="F144" s="481"/>
      <c r="G144" s="641"/>
      <c r="H144" s="642"/>
      <c r="I144" s="642"/>
      <c r="J144" s="482"/>
      <c r="K144" s="643"/>
      <c r="L144" s="644"/>
      <c r="M144" s="644"/>
      <c r="N144" s="644"/>
      <c r="O144" s="644"/>
      <c r="P144" s="479"/>
      <c r="Q144" s="645"/>
      <c r="R144" s="645"/>
      <c r="S144" s="479"/>
      <c r="T144" s="646"/>
    </row>
    <row r="145" spans="1:112" x14ac:dyDescent="0.2">
      <c r="A145" s="478"/>
      <c r="B145" s="478"/>
      <c r="C145" s="478"/>
      <c r="D145" s="478"/>
      <c r="E145" s="478"/>
      <c r="F145" s="481"/>
      <c r="G145" s="481"/>
      <c r="H145" s="482"/>
      <c r="I145" s="482"/>
      <c r="J145" s="482"/>
      <c r="K145" s="482"/>
      <c r="L145" s="482"/>
      <c r="M145" s="482"/>
      <c r="N145" s="482"/>
      <c r="O145" s="482"/>
      <c r="P145" s="479"/>
      <c r="Q145" s="645"/>
      <c r="R145" s="645"/>
      <c r="S145" s="479"/>
      <c r="T145" s="11"/>
    </row>
    <row r="146" spans="1:112" s="11" customFormat="1" ht="12.75" customHeight="1" x14ac:dyDescent="0.2">
      <c r="A146" s="591"/>
      <c r="B146" s="591"/>
      <c r="C146" s="593"/>
      <c r="D146" s="602"/>
      <c r="E146" s="529"/>
      <c r="F146" s="603"/>
      <c r="G146" s="567"/>
      <c r="H146" s="541"/>
      <c r="I146" s="533"/>
      <c r="J146" s="533"/>
      <c r="K146" s="534"/>
      <c r="L146" s="616"/>
      <c r="M146" s="616"/>
      <c r="N146" s="616"/>
      <c r="O146" s="536"/>
      <c r="P146" s="605"/>
      <c r="Q146" s="607"/>
      <c r="R146" s="607"/>
      <c r="S146" s="605"/>
      <c r="T146" s="617"/>
    </row>
    <row r="147" spans="1:112" s="11" customFormat="1" ht="12.75" customHeight="1" x14ac:dyDescent="0.2">
      <c r="A147" s="591"/>
      <c r="B147" s="591"/>
      <c r="C147" s="489"/>
      <c r="D147" s="602"/>
      <c r="E147" s="529"/>
      <c r="F147" s="603"/>
      <c r="G147" s="567"/>
      <c r="H147" s="541"/>
      <c r="I147" s="533"/>
      <c r="J147" s="533"/>
      <c r="K147" s="534"/>
      <c r="L147" s="616"/>
      <c r="M147" s="616"/>
      <c r="N147" s="616"/>
      <c r="O147" s="536"/>
      <c r="P147" s="605"/>
      <c r="Q147" s="607"/>
      <c r="R147" s="607"/>
      <c r="S147" s="605"/>
      <c r="T147" s="617"/>
    </row>
    <row r="148" spans="1:112" s="11" customFormat="1" ht="12.75" customHeight="1" x14ac:dyDescent="0.2">
      <c r="A148" s="591"/>
      <c r="B148" s="591"/>
      <c r="C148" s="593"/>
      <c r="D148" s="602"/>
      <c r="E148" s="529"/>
      <c r="F148" s="530"/>
      <c r="G148" s="567"/>
      <c r="H148" s="541"/>
      <c r="I148" s="533"/>
      <c r="J148" s="533"/>
      <c r="K148" s="534"/>
      <c r="L148" s="535"/>
      <c r="M148" s="616"/>
      <c r="N148" s="616"/>
      <c r="O148" s="536"/>
      <c r="P148" s="605"/>
      <c r="Q148" s="607"/>
      <c r="R148" s="607"/>
      <c r="S148" s="605"/>
      <c r="T148" s="617"/>
    </row>
    <row r="149" spans="1:112" s="11" customFormat="1" ht="12.75" customHeight="1" x14ac:dyDescent="0.2">
      <c r="A149" s="591"/>
      <c r="B149" s="591"/>
      <c r="C149" s="593"/>
      <c r="D149" s="602"/>
      <c r="E149" s="529"/>
      <c r="F149" s="603"/>
      <c r="G149" s="567"/>
      <c r="H149" s="541"/>
      <c r="I149" s="533"/>
      <c r="J149" s="533"/>
      <c r="K149" s="534"/>
      <c r="L149" s="616"/>
      <c r="M149" s="616"/>
      <c r="N149" s="616"/>
      <c r="O149" s="536"/>
      <c r="P149" s="605"/>
      <c r="Q149" s="607"/>
      <c r="R149" s="607"/>
      <c r="S149" s="605"/>
      <c r="T149" s="617"/>
    </row>
    <row r="150" spans="1:112" x14ac:dyDescent="0.2">
      <c r="A150" s="529"/>
      <c r="B150" s="529"/>
      <c r="C150" s="529"/>
      <c r="D150" s="529"/>
      <c r="E150" s="529"/>
      <c r="F150" s="567"/>
      <c r="G150" s="567"/>
      <c r="H150" s="568"/>
      <c r="I150" s="568"/>
      <c r="J150" s="568"/>
      <c r="K150" s="568"/>
      <c r="L150" s="568"/>
      <c r="M150" s="568"/>
      <c r="N150" s="568"/>
      <c r="O150" s="568"/>
      <c r="P150" s="647"/>
      <c r="Q150" s="529"/>
      <c r="R150" s="529"/>
      <c r="S150" s="647"/>
      <c r="T150" s="529"/>
    </row>
    <row r="151" spans="1:112" s="570" customFormat="1" ht="12.75" customHeight="1" x14ac:dyDescent="0.2">
      <c r="A151" s="488"/>
      <c r="B151" s="488"/>
      <c r="C151" s="489"/>
      <c r="D151" s="528"/>
      <c r="E151" s="529"/>
      <c r="F151" s="531"/>
      <c r="G151" s="531"/>
      <c r="H151" s="541"/>
      <c r="I151" s="534"/>
      <c r="J151" s="534"/>
      <c r="K151" s="534"/>
      <c r="L151" s="536"/>
      <c r="M151" s="536"/>
      <c r="N151" s="536"/>
      <c r="O151" s="536"/>
      <c r="P151" s="537"/>
      <c r="Q151" s="538"/>
      <c r="R151" s="538"/>
      <c r="S151" s="537"/>
      <c r="T151" s="537"/>
      <c r="U151" s="618"/>
      <c r="V151" s="618"/>
      <c r="W151" s="618"/>
      <c r="X151" s="618"/>
      <c r="Y151" s="618"/>
      <c r="Z151" s="618"/>
      <c r="AA151" s="618"/>
      <c r="AB151" s="618"/>
      <c r="AC151" s="618"/>
      <c r="AD151" s="618"/>
      <c r="AE151" s="618"/>
      <c r="AF151" s="618"/>
      <c r="AG151" s="618"/>
      <c r="AH151" s="618"/>
      <c r="AI151" s="618"/>
      <c r="AJ151" s="618"/>
      <c r="AK151" s="618"/>
      <c r="AL151" s="618"/>
      <c r="AM151" s="618"/>
      <c r="AN151" s="618"/>
      <c r="AO151" s="618"/>
      <c r="AP151" s="618"/>
      <c r="AQ151" s="618"/>
      <c r="AR151" s="618"/>
      <c r="AS151" s="618"/>
      <c r="AT151" s="618"/>
      <c r="AU151" s="618"/>
      <c r="AV151" s="618"/>
      <c r="AW151" s="618"/>
      <c r="AX151" s="618"/>
      <c r="AY151" s="618"/>
      <c r="AZ151" s="618"/>
      <c r="BA151" s="618"/>
      <c r="BB151" s="618"/>
      <c r="BC151" s="618"/>
      <c r="BD151" s="618"/>
      <c r="BE151" s="618"/>
      <c r="BF151" s="618"/>
      <c r="BG151" s="618"/>
      <c r="BH151" s="618"/>
      <c r="BI151" s="618"/>
      <c r="BJ151" s="618"/>
      <c r="BK151" s="618"/>
      <c r="BL151" s="618"/>
      <c r="BM151" s="618"/>
      <c r="BN151" s="618"/>
      <c r="BO151" s="618"/>
      <c r="BP151" s="618"/>
      <c r="BQ151" s="618"/>
      <c r="BR151" s="618"/>
      <c r="BS151" s="618"/>
      <c r="BT151" s="618"/>
      <c r="BU151" s="618"/>
      <c r="BV151" s="618"/>
      <c r="BW151" s="618"/>
      <c r="BX151" s="618"/>
      <c r="BY151" s="618"/>
      <c r="BZ151" s="618"/>
      <c r="CA151" s="618"/>
      <c r="CB151" s="618"/>
      <c r="CC151" s="618"/>
      <c r="CD151" s="618"/>
      <c r="CE151" s="618"/>
      <c r="CF151" s="618"/>
      <c r="CG151" s="618"/>
      <c r="CH151" s="618"/>
      <c r="CI151" s="618"/>
      <c r="CJ151" s="618"/>
      <c r="CK151" s="618"/>
      <c r="CL151" s="618"/>
      <c r="CM151" s="618"/>
      <c r="CN151" s="618"/>
      <c r="CO151" s="618"/>
      <c r="CP151" s="618"/>
      <c r="CQ151" s="618"/>
      <c r="CR151" s="618"/>
      <c r="CS151" s="618"/>
      <c r="CT151" s="618"/>
      <c r="CU151" s="618"/>
      <c r="CV151" s="618"/>
      <c r="CW151" s="618"/>
      <c r="CX151" s="618"/>
      <c r="CY151" s="618"/>
      <c r="CZ151" s="618"/>
      <c r="DA151" s="618"/>
      <c r="DB151" s="618"/>
      <c r="DC151" s="618"/>
      <c r="DD151" s="618"/>
      <c r="DE151" s="618"/>
      <c r="DF151" s="618"/>
      <c r="DG151" s="618"/>
      <c r="DH151" s="618"/>
    </row>
    <row r="152" spans="1:112" s="11" customFormat="1" ht="12.75" customHeight="1" x14ac:dyDescent="0.2">
      <c r="A152" s="648"/>
      <c r="B152" s="591"/>
      <c r="C152" s="593"/>
      <c r="D152" s="602"/>
      <c r="E152" s="529"/>
      <c r="F152" s="603"/>
      <c r="G152" s="567"/>
      <c r="H152" s="541"/>
      <c r="I152" s="533"/>
      <c r="J152" s="533"/>
      <c r="K152" s="534"/>
      <c r="L152" s="616"/>
      <c r="M152" s="616"/>
      <c r="N152" s="616"/>
      <c r="O152" s="536"/>
      <c r="P152" s="605"/>
      <c r="Q152" s="607"/>
      <c r="R152" s="607"/>
      <c r="S152" s="605"/>
      <c r="T152" s="617"/>
    </row>
    <row r="153" spans="1:112" s="11" customFormat="1" ht="12.75" customHeight="1" x14ac:dyDescent="0.2">
      <c r="A153" s="648"/>
      <c r="B153" s="591"/>
      <c r="C153" s="593"/>
      <c r="D153" s="602"/>
      <c r="E153" s="529"/>
      <c r="F153" s="603"/>
      <c r="G153" s="567"/>
      <c r="H153" s="541"/>
      <c r="I153" s="533"/>
      <c r="J153" s="533"/>
      <c r="K153" s="534"/>
      <c r="L153" s="616"/>
      <c r="M153" s="616"/>
      <c r="N153" s="616"/>
      <c r="O153" s="536"/>
      <c r="P153" s="605"/>
      <c r="Q153" s="607"/>
      <c r="R153" s="607"/>
      <c r="S153" s="605"/>
      <c r="T153" s="617"/>
    </row>
    <row r="154" spans="1:112" x14ac:dyDescent="0.2">
      <c r="A154" s="529"/>
      <c r="B154" s="529"/>
      <c r="C154" s="529"/>
      <c r="D154" s="529"/>
      <c r="E154" s="529"/>
      <c r="F154" s="567"/>
      <c r="G154" s="11"/>
      <c r="H154" s="568"/>
      <c r="I154" s="568"/>
      <c r="J154" s="568"/>
      <c r="K154" s="568"/>
      <c r="L154" s="616"/>
      <c r="M154" s="616"/>
      <c r="N154" s="616"/>
      <c r="O154" s="568"/>
      <c r="P154" s="647"/>
      <c r="Q154" s="538"/>
      <c r="R154" s="538"/>
      <c r="S154" s="647"/>
      <c r="T154" s="617"/>
    </row>
    <row r="155" spans="1:112" x14ac:dyDescent="0.2">
      <c r="A155" s="529"/>
      <c r="B155" s="529"/>
      <c r="C155" s="529"/>
      <c r="D155" s="529"/>
      <c r="E155" s="529"/>
      <c r="F155" s="567"/>
      <c r="G155" s="11"/>
      <c r="H155" s="568"/>
      <c r="I155" s="568"/>
      <c r="J155" s="568"/>
      <c r="K155" s="568"/>
      <c r="L155" s="616"/>
      <c r="M155" s="616"/>
      <c r="N155" s="616"/>
      <c r="O155" s="568"/>
      <c r="P155" s="647"/>
      <c r="Q155" s="538"/>
      <c r="R155" s="538"/>
      <c r="S155" s="647"/>
      <c r="T155" s="617"/>
    </row>
    <row r="156" spans="1:112" x14ac:dyDescent="0.2">
      <c r="A156" s="529"/>
      <c r="B156" s="529"/>
      <c r="C156" s="529"/>
      <c r="D156" s="529"/>
      <c r="E156" s="529"/>
      <c r="F156" s="567"/>
      <c r="G156" s="11"/>
      <c r="H156" s="568"/>
      <c r="I156" s="568"/>
      <c r="J156" s="568"/>
      <c r="K156" s="568"/>
      <c r="L156" s="616"/>
      <c r="M156" s="616"/>
      <c r="N156" s="616"/>
      <c r="O156" s="568"/>
      <c r="P156" s="647"/>
      <c r="Q156" s="538"/>
      <c r="R156" s="538"/>
      <c r="S156" s="647"/>
      <c r="T156" s="617"/>
    </row>
    <row r="157" spans="1:112" x14ac:dyDescent="0.2">
      <c r="A157" s="529"/>
      <c r="B157" s="529"/>
      <c r="C157" s="529"/>
      <c r="D157" s="529"/>
      <c r="E157" s="529"/>
      <c r="F157" s="567"/>
      <c r="G157" s="567"/>
      <c r="H157" s="568"/>
      <c r="I157" s="568"/>
      <c r="J157" s="568"/>
      <c r="K157" s="568"/>
      <c r="L157" s="649"/>
      <c r="M157" s="616"/>
      <c r="N157" s="616"/>
      <c r="O157" s="568"/>
      <c r="P157" s="647"/>
      <c r="Q157" s="538"/>
      <c r="R157" s="538"/>
      <c r="S157" s="647"/>
      <c r="T157" s="617"/>
    </row>
    <row r="158" spans="1:112" x14ac:dyDescent="0.2">
      <c r="A158" s="529"/>
      <c r="B158" s="529"/>
      <c r="C158" s="529"/>
      <c r="D158" s="529"/>
      <c r="E158" s="529"/>
      <c r="F158" s="567"/>
      <c r="G158" s="632"/>
      <c r="H158" s="568"/>
      <c r="I158" s="568"/>
      <c r="J158" s="568"/>
      <c r="K158" s="568"/>
      <c r="L158" s="620"/>
      <c r="M158" s="536"/>
      <c r="N158" s="635"/>
      <c r="O158" s="568"/>
      <c r="P158" s="647"/>
      <c r="Q158" s="538"/>
      <c r="R158" s="538"/>
      <c r="S158" s="647"/>
      <c r="T158" s="617"/>
    </row>
    <row r="159" spans="1:112" ht="15.75" x14ac:dyDescent="0.25">
      <c r="A159" s="650"/>
      <c r="B159" s="529"/>
      <c r="C159" s="529"/>
      <c r="D159" s="529"/>
      <c r="E159" s="529"/>
      <c r="F159" s="567"/>
      <c r="G159" s="632"/>
      <c r="H159" s="568"/>
      <c r="I159" s="568"/>
      <c r="J159" s="568"/>
      <c r="K159" s="568"/>
      <c r="L159" s="616"/>
      <c r="M159" s="616"/>
      <c r="N159" s="616"/>
      <c r="O159" s="568"/>
      <c r="P159" s="647"/>
      <c r="Q159" s="538"/>
      <c r="R159" s="538"/>
      <c r="S159" s="647"/>
      <c r="T159" s="617"/>
    </row>
    <row r="160" spans="1:112" x14ac:dyDescent="0.2">
      <c r="A160" s="529"/>
      <c r="B160" s="529"/>
      <c r="C160" s="529"/>
      <c r="D160" s="529"/>
      <c r="E160" s="529"/>
      <c r="F160" s="567"/>
      <c r="G160" s="632"/>
      <c r="H160" s="568"/>
      <c r="I160" s="568"/>
      <c r="J160" s="568"/>
      <c r="K160" s="568"/>
      <c r="L160" s="636"/>
      <c r="M160" s="636"/>
      <c r="N160" s="636"/>
      <c r="O160" s="568"/>
      <c r="P160" s="647"/>
      <c r="Q160" s="538"/>
      <c r="R160" s="538"/>
      <c r="S160" s="647"/>
      <c r="T160" s="617"/>
    </row>
    <row r="161" spans="1:20" x14ac:dyDescent="0.2">
      <c r="A161" s="529"/>
      <c r="B161" s="529"/>
      <c r="C161" s="529"/>
      <c r="D161" s="529"/>
      <c r="E161" s="529"/>
      <c r="F161" s="567"/>
      <c r="G161" s="632"/>
      <c r="H161" s="568"/>
      <c r="I161" s="568"/>
      <c r="J161" s="568"/>
      <c r="K161" s="568"/>
      <c r="L161" s="633"/>
      <c r="M161" s="634"/>
      <c r="N161" s="534"/>
      <c r="O161" s="568"/>
      <c r="P161" s="647"/>
      <c r="Q161" s="538"/>
      <c r="R161" s="538"/>
      <c r="S161" s="647"/>
      <c r="T161" s="617"/>
    </row>
    <row r="162" spans="1:20" x14ac:dyDescent="0.2">
      <c r="A162" s="529"/>
      <c r="B162" s="529"/>
      <c r="C162" s="529"/>
      <c r="D162" s="529"/>
      <c r="E162" s="529"/>
      <c r="F162" s="567"/>
      <c r="G162" s="567"/>
      <c r="H162" s="568"/>
      <c r="I162" s="568"/>
      <c r="J162" s="568"/>
      <c r="K162" s="568"/>
      <c r="L162" s="568"/>
      <c r="M162" s="568"/>
      <c r="N162" s="568"/>
      <c r="O162" s="568"/>
      <c r="P162" s="647"/>
      <c r="Q162" s="538"/>
      <c r="R162" s="538"/>
      <c r="S162" s="647"/>
      <c r="T162" s="617"/>
    </row>
    <row r="163" spans="1:20" x14ac:dyDescent="0.2">
      <c r="A163" s="529"/>
      <c r="B163" s="529"/>
      <c r="C163" s="529"/>
      <c r="D163" s="529"/>
      <c r="E163" s="529"/>
      <c r="F163" s="567"/>
      <c r="G163" s="567"/>
      <c r="H163" s="568"/>
      <c r="I163" s="568"/>
      <c r="J163" s="568"/>
      <c r="K163" s="568"/>
      <c r="L163" s="568"/>
      <c r="M163" s="568"/>
      <c r="N163" s="568"/>
      <c r="O163" s="568"/>
      <c r="P163" s="647"/>
      <c r="Q163" s="538"/>
      <c r="R163" s="538"/>
      <c r="S163" s="647"/>
      <c r="T163" s="617"/>
    </row>
    <row r="164" spans="1:20" x14ac:dyDescent="0.2">
      <c r="A164" s="529"/>
      <c r="B164" s="529"/>
      <c r="C164" s="529"/>
      <c r="D164" s="529"/>
      <c r="E164" s="529"/>
      <c r="F164" s="567"/>
      <c r="G164" s="567"/>
      <c r="H164" s="568"/>
      <c r="I164" s="568"/>
      <c r="J164" s="568"/>
      <c r="K164" s="568"/>
      <c r="L164" s="568"/>
      <c r="M164" s="568"/>
      <c r="N164" s="568"/>
      <c r="O164" s="568"/>
      <c r="P164" s="647"/>
      <c r="Q164" s="538"/>
      <c r="R164" s="538"/>
      <c r="S164" s="647"/>
      <c r="T164" s="617"/>
    </row>
    <row r="165" spans="1:20" x14ac:dyDescent="0.2">
      <c r="A165" s="529"/>
      <c r="B165" s="529"/>
      <c r="C165" s="529"/>
      <c r="D165" s="529"/>
      <c r="E165" s="529"/>
      <c r="F165" s="567"/>
      <c r="G165" s="567"/>
      <c r="H165" s="568"/>
      <c r="I165" s="568"/>
      <c r="J165" s="568"/>
      <c r="K165" s="568"/>
      <c r="L165" s="651"/>
      <c r="M165" s="568"/>
      <c r="N165" s="568"/>
      <c r="O165" s="568"/>
      <c r="P165" s="647"/>
      <c r="Q165" s="538"/>
      <c r="R165" s="538"/>
      <c r="S165" s="647"/>
      <c r="T165" s="617"/>
    </row>
    <row r="166" spans="1:20" ht="20.25" x14ac:dyDescent="0.3">
      <c r="A166" s="652"/>
      <c r="B166" s="529"/>
      <c r="C166" s="529"/>
      <c r="D166" s="529"/>
      <c r="E166" s="529"/>
      <c r="F166" s="567"/>
      <c r="G166" s="567"/>
      <c r="H166" s="568"/>
      <c r="I166" s="568"/>
      <c r="J166" s="568"/>
      <c r="K166" s="568"/>
      <c r="L166" s="568"/>
      <c r="M166" s="568"/>
      <c r="N166" s="568"/>
      <c r="O166" s="568"/>
      <c r="P166" s="647"/>
      <c r="Q166" s="538"/>
      <c r="R166" s="538"/>
      <c r="S166" s="647"/>
      <c r="T166" s="617"/>
    </row>
    <row r="167" spans="1:20" x14ac:dyDescent="0.2">
      <c r="A167" s="529"/>
      <c r="B167" s="529"/>
      <c r="C167" s="529"/>
      <c r="D167" s="529"/>
      <c r="E167" s="529"/>
      <c r="F167" s="567"/>
      <c r="G167" s="567"/>
      <c r="H167" s="568"/>
      <c r="I167" s="568"/>
      <c r="J167" s="568"/>
      <c r="Q167" s="549"/>
      <c r="R167" s="549"/>
      <c r="T167" s="629"/>
    </row>
    <row r="168" spans="1:20" x14ac:dyDescent="0.2">
      <c r="A168" s="529"/>
      <c r="B168" s="529"/>
      <c r="C168" s="529"/>
      <c r="D168" s="529"/>
      <c r="E168" s="529"/>
      <c r="F168" s="567"/>
      <c r="G168" s="567"/>
      <c r="H168" s="568"/>
      <c r="I168" s="568"/>
      <c r="J168" s="568"/>
      <c r="Q168" s="549"/>
      <c r="R168" s="549"/>
      <c r="T168" s="629"/>
    </row>
    <row r="169" spans="1:20" x14ac:dyDescent="0.2">
      <c r="A169" s="529"/>
      <c r="B169" s="616"/>
      <c r="C169" s="616"/>
      <c r="D169" s="616"/>
      <c r="E169" s="529"/>
      <c r="F169" s="567"/>
      <c r="G169" s="567"/>
      <c r="H169" s="568"/>
      <c r="I169" s="568"/>
      <c r="J169" s="568"/>
      <c r="Q169" s="549"/>
      <c r="R169" s="549"/>
      <c r="T169" s="629"/>
    </row>
    <row r="170" spans="1:20" x14ac:dyDescent="0.2">
      <c r="A170" s="529"/>
      <c r="B170" s="616"/>
      <c r="C170" s="616"/>
      <c r="D170" s="616"/>
      <c r="E170" s="529"/>
      <c r="F170" s="567"/>
      <c r="G170" s="567"/>
      <c r="H170" s="568"/>
      <c r="I170" s="568"/>
      <c r="J170" s="568"/>
      <c r="Q170" s="549"/>
      <c r="R170" s="549"/>
      <c r="T170" s="629"/>
    </row>
    <row r="171" spans="1:20" x14ac:dyDescent="0.2">
      <c r="A171" s="529"/>
      <c r="B171" s="616"/>
      <c r="C171" s="616"/>
      <c r="D171" s="616"/>
      <c r="E171" s="529"/>
      <c r="F171" s="567"/>
      <c r="G171" s="567"/>
      <c r="H171" s="568"/>
      <c r="I171" s="568"/>
      <c r="J171" s="568"/>
      <c r="Q171" s="549"/>
      <c r="R171" s="549"/>
      <c r="T171" s="629"/>
    </row>
    <row r="172" spans="1:20" x14ac:dyDescent="0.2">
      <c r="A172" s="529"/>
      <c r="B172" s="649"/>
      <c r="C172" s="616"/>
      <c r="D172" s="616"/>
      <c r="E172" s="529"/>
      <c r="F172" s="567"/>
      <c r="G172" s="567"/>
      <c r="H172" s="568"/>
      <c r="I172" s="568"/>
      <c r="J172" s="568"/>
      <c r="Q172" s="549"/>
      <c r="R172" s="549"/>
      <c r="T172" s="629"/>
    </row>
    <row r="173" spans="1:20" x14ac:dyDescent="0.2">
      <c r="A173" s="529"/>
      <c r="B173" s="620"/>
      <c r="C173" s="536"/>
      <c r="D173" s="635"/>
      <c r="E173" s="529"/>
      <c r="F173" s="567"/>
      <c r="G173" s="567"/>
      <c r="H173" s="568"/>
      <c r="I173" s="568"/>
      <c r="J173" s="568"/>
      <c r="Q173" s="549"/>
      <c r="R173" s="549"/>
      <c r="T173" s="629"/>
    </row>
    <row r="174" spans="1:20" x14ac:dyDescent="0.2">
      <c r="A174" s="529"/>
      <c r="B174" s="616"/>
      <c r="C174" s="616"/>
      <c r="D174" s="616"/>
      <c r="E174" s="529"/>
      <c r="F174" s="567"/>
      <c r="G174" s="567"/>
      <c r="H174" s="568"/>
      <c r="I174" s="568"/>
      <c r="J174" s="568"/>
      <c r="Q174" s="549"/>
      <c r="R174" s="549"/>
      <c r="T174" s="629"/>
    </row>
    <row r="175" spans="1:20" x14ac:dyDescent="0.2">
      <c r="B175" s="653" t="e">
        <f>B172/G169</f>
        <v>#DIV/0!</v>
      </c>
      <c r="C175" s="654" t="e">
        <f>+C172/G169</f>
        <v>#DIV/0!</v>
      </c>
      <c r="D175" s="655" t="e">
        <f>+D172/G169</f>
        <v>#DIV/0!</v>
      </c>
      <c r="Q175" s="549"/>
      <c r="R175" s="549"/>
      <c r="T175" s="629"/>
    </row>
    <row r="176" spans="1:20" x14ac:dyDescent="0.2">
      <c r="B176" s="656" t="s">
        <v>589</v>
      </c>
      <c r="C176" s="634" t="s">
        <v>590</v>
      </c>
      <c r="D176" s="657" t="s">
        <v>591</v>
      </c>
      <c r="Q176" s="549"/>
      <c r="R176" s="549"/>
      <c r="T176" s="629"/>
    </row>
    <row r="177" spans="1:20" ht="13.5" thickBot="1" x14ac:dyDescent="0.25">
      <c r="B177" s="658"/>
      <c r="C177" s="659"/>
      <c r="D177" s="660"/>
      <c r="Q177" s="549"/>
      <c r="R177" s="549"/>
      <c r="T177" s="629"/>
    </row>
    <row r="178" spans="1:20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 s="549"/>
      <c r="R178" s="549"/>
      <c r="S178"/>
      <c r="T178"/>
    </row>
    <row r="179" spans="1:20" x14ac:dyDescent="0.2">
      <c r="Q179" s="549"/>
      <c r="R179" s="549"/>
      <c r="T179" s="629"/>
    </row>
    <row r="180" spans="1:20" x14ac:dyDescent="0.2">
      <c r="Q180" s="549"/>
      <c r="R180" s="549"/>
      <c r="T180" s="629"/>
    </row>
    <row r="181" spans="1:20" x14ac:dyDescent="0.2">
      <c r="Q181" s="549"/>
      <c r="R181" s="549"/>
      <c r="T181" s="629"/>
    </row>
    <row r="182" spans="1:20" x14ac:dyDescent="0.2">
      <c r="T182" s="629"/>
    </row>
    <row r="183" spans="1:20" x14ac:dyDescent="0.2">
      <c r="T183" s="629"/>
    </row>
    <row r="184" spans="1:20" x14ac:dyDescent="0.2">
      <c r="T184" s="629"/>
    </row>
    <row r="185" spans="1:20" x14ac:dyDescent="0.2">
      <c r="T185" s="629"/>
    </row>
    <row r="186" spans="1:20" x14ac:dyDescent="0.2">
      <c r="T186" s="629"/>
    </row>
    <row r="187" spans="1:20" x14ac:dyDescent="0.2">
      <c r="T187" s="629"/>
    </row>
    <row r="188" spans="1:20" x14ac:dyDescent="0.2">
      <c r="T188" s="629"/>
    </row>
    <row r="189" spans="1:20" x14ac:dyDescent="0.2">
      <c r="T189" s="629"/>
    </row>
    <row r="190" spans="1:20" x14ac:dyDescent="0.2">
      <c r="T190" s="629"/>
    </row>
    <row r="191" spans="1:20" x14ac:dyDescent="0.2">
      <c r="T191" s="629"/>
    </row>
    <row r="192" spans="1:20" x14ac:dyDescent="0.2">
      <c r="T192" s="629"/>
    </row>
    <row r="193" spans="20:20" x14ac:dyDescent="0.2">
      <c r="T193" s="629"/>
    </row>
    <row r="194" spans="20:20" x14ac:dyDescent="0.2">
      <c r="T194" s="629"/>
    </row>
    <row r="195" spans="20:20" x14ac:dyDescent="0.2">
      <c r="T195" s="629"/>
    </row>
    <row r="196" spans="20:20" x14ac:dyDescent="0.2">
      <c r="T196" s="629"/>
    </row>
    <row r="197" spans="20:20" x14ac:dyDescent="0.2">
      <c r="T197" s="629"/>
    </row>
    <row r="198" spans="20:20" x14ac:dyDescent="0.2">
      <c r="T198" s="629"/>
    </row>
    <row r="199" spans="20:20" x14ac:dyDescent="0.2">
      <c r="T199" s="629"/>
    </row>
    <row r="200" spans="20:20" x14ac:dyDescent="0.2">
      <c r="T200" s="629"/>
    </row>
    <row r="201" spans="20:20" x14ac:dyDescent="0.2">
      <c r="T201" s="629"/>
    </row>
    <row r="202" spans="20:20" x14ac:dyDescent="0.2">
      <c r="T202" s="629"/>
    </row>
    <row r="203" spans="20:20" x14ac:dyDescent="0.2">
      <c r="T203" s="629"/>
    </row>
    <row r="204" spans="20:20" x14ac:dyDescent="0.2">
      <c r="T204" s="629"/>
    </row>
    <row r="205" spans="20:20" x14ac:dyDescent="0.2">
      <c r="T205" s="629"/>
    </row>
    <row r="206" spans="20:20" x14ac:dyDescent="0.2">
      <c r="T206" s="629"/>
    </row>
    <row r="207" spans="20:20" x14ac:dyDescent="0.2">
      <c r="T207" s="629"/>
    </row>
    <row r="208" spans="20:20" x14ac:dyDescent="0.2">
      <c r="T208" s="629"/>
    </row>
    <row r="209" spans="1:21" x14ac:dyDescent="0.2">
      <c r="T209" s="629"/>
    </row>
    <row r="210" spans="1:21" x14ac:dyDescent="0.2">
      <c r="T210" s="629"/>
    </row>
    <row r="211" spans="1:21" x14ac:dyDescent="0.2">
      <c r="T211" s="629"/>
    </row>
    <row r="212" spans="1:21" x14ac:dyDescent="0.2">
      <c r="A212" s="488"/>
      <c r="B212" s="488"/>
      <c r="C212" s="489"/>
      <c r="D212" s="528"/>
      <c r="E212" s="626"/>
      <c r="F212" s="531"/>
      <c r="G212" s="531"/>
      <c r="H212" s="541"/>
      <c r="I212" s="534"/>
      <c r="J212" s="534"/>
      <c r="K212" s="534"/>
      <c r="L212" s="536"/>
      <c r="M212" s="536"/>
      <c r="N212" s="536"/>
      <c r="O212" s="536"/>
      <c r="P212" s="537"/>
      <c r="Q212" s="626"/>
      <c r="R212" s="626"/>
      <c r="S212" s="537"/>
      <c r="T212" s="537"/>
      <c r="U212" s="618"/>
    </row>
    <row r="213" spans="1:21" ht="20.25" x14ac:dyDescent="0.3">
      <c r="A213" s="461"/>
      <c r="P213" s="459"/>
      <c r="Q213" s="460"/>
      <c r="R213" s="460"/>
      <c r="S213" s="459"/>
      <c r="T213" s="460"/>
    </row>
    <row r="214" spans="1:21" x14ac:dyDescent="0.2">
      <c r="A214" s="464"/>
      <c r="B214" s="465"/>
      <c r="C214" s="464"/>
      <c r="D214" s="464"/>
      <c r="E214" s="464"/>
      <c r="F214" s="466"/>
      <c r="G214" s="467"/>
      <c r="H214" s="468"/>
      <c r="I214" s="468"/>
      <c r="J214" s="469"/>
      <c r="K214" s="470"/>
      <c r="L214" s="471"/>
      <c r="M214" s="471"/>
      <c r="N214" s="471"/>
      <c r="O214" s="471"/>
      <c r="P214" s="472"/>
      <c r="Q214" s="464"/>
      <c r="R214" s="464"/>
      <c r="S214" s="472"/>
      <c r="T214" s="473"/>
    </row>
    <row r="215" spans="1:21" ht="13.5" thickBot="1" x14ac:dyDescent="0.25">
      <c r="A215" s="474"/>
      <c r="B215" s="474"/>
      <c r="C215" s="474"/>
      <c r="D215" s="474"/>
      <c r="E215" s="474"/>
      <c r="F215" s="475"/>
      <c r="G215" s="475"/>
      <c r="H215" s="476"/>
      <c r="I215" s="476"/>
      <c r="J215" s="476"/>
      <c r="K215" s="476"/>
      <c r="L215" s="476"/>
      <c r="M215" s="476"/>
      <c r="N215" s="476"/>
      <c r="O215" s="476"/>
      <c r="P215" s="477"/>
      <c r="Q215" s="478"/>
      <c r="R215" s="478"/>
      <c r="S215" s="479"/>
      <c r="T215" s="453"/>
    </row>
    <row r="216" spans="1:2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S216"/>
      <c r="T216"/>
      <c r="U216" s="618"/>
    </row>
    <row r="217" spans="1:21" x14ac:dyDescent="0.2">
      <c r="T217" s="629"/>
    </row>
    <row r="218" spans="1:21" x14ac:dyDescent="0.2">
      <c r="T218" s="629"/>
    </row>
    <row r="219" spans="1:21" x14ac:dyDescent="0.2">
      <c r="T219" s="629"/>
    </row>
    <row r="220" spans="1:21" x14ac:dyDescent="0.2">
      <c r="T220" s="629"/>
    </row>
    <row r="221" spans="1:21" x14ac:dyDescent="0.2">
      <c r="T221" s="629"/>
    </row>
    <row r="222" spans="1:21" x14ac:dyDescent="0.2">
      <c r="T222" s="629"/>
    </row>
    <row r="223" spans="1:21" x14ac:dyDescent="0.2">
      <c r="T223" s="629"/>
    </row>
    <row r="224" spans="1:21" x14ac:dyDescent="0.2">
      <c r="T224" s="629"/>
    </row>
    <row r="225" spans="20:20" x14ac:dyDescent="0.2">
      <c r="T225" s="629"/>
    </row>
    <row r="226" spans="20:20" x14ac:dyDescent="0.2">
      <c r="T226" s="629"/>
    </row>
    <row r="227" spans="20:20" x14ac:dyDescent="0.2">
      <c r="T227" s="629"/>
    </row>
    <row r="228" spans="20:20" x14ac:dyDescent="0.2">
      <c r="T228" s="629"/>
    </row>
    <row r="229" spans="20:20" x14ac:dyDescent="0.2">
      <c r="T229" s="629"/>
    </row>
    <row r="230" spans="20:20" x14ac:dyDescent="0.2">
      <c r="T230" s="629"/>
    </row>
    <row r="231" spans="20:20" x14ac:dyDescent="0.2">
      <c r="T231" s="629"/>
    </row>
    <row r="232" spans="20:20" x14ac:dyDescent="0.2">
      <c r="T232" s="629"/>
    </row>
    <row r="233" spans="20:20" x14ac:dyDescent="0.2">
      <c r="T233" s="629"/>
    </row>
    <row r="234" spans="20:20" x14ac:dyDescent="0.2">
      <c r="T234" s="629"/>
    </row>
    <row r="235" spans="20:20" x14ac:dyDescent="0.2">
      <c r="T235" s="629"/>
    </row>
    <row r="236" spans="20:20" x14ac:dyDescent="0.2">
      <c r="T236" s="629"/>
    </row>
    <row r="237" spans="20:20" x14ac:dyDescent="0.2">
      <c r="T237" s="629"/>
    </row>
    <row r="238" spans="20:20" x14ac:dyDescent="0.2">
      <c r="T238" s="629"/>
    </row>
    <row r="239" spans="20:20" x14ac:dyDescent="0.2">
      <c r="T239" s="629"/>
    </row>
    <row r="240" spans="20:20" x14ac:dyDescent="0.2">
      <c r="T240" s="629"/>
    </row>
    <row r="241" spans="20:20" x14ac:dyDescent="0.2">
      <c r="T241" s="629"/>
    </row>
    <row r="242" spans="20:20" x14ac:dyDescent="0.2">
      <c r="T242" s="629"/>
    </row>
    <row r="243" spans="20:20" x14ac:dyDescent="0.2">
      <c r="T243" s="629"/>
    </row>
    <row r="244" spans="20:20" x14ac:dyDescent="0.2">
      <c r="T244" s="629"/>
    </row>
    <row r="245" spans="20:20" x14ac:dyDescent="0.2">
      <c r="T245" s="629"/>
    </row>
    <row r="246" spans="20:20" x14ac:dyDescent="0.2">
      <c r="T246" s="629"/>
    </row>
    <row r="247" spans="20:20" x14ac:dyDescent="0.2">
      <c r="T247" s="629"/>
    </row>
    <row r="248" spans="20:20" x14ac:dyDescent="0.2">
      <c r="T248" s="629"/>
    </row>
    <row r="249" spans="20:20" x14ac:dyDescent="0.2">
      <c r="T249" s="629"/>
    </row>
    <row r="250" spans="20:20" x14ac:dyDescent="0.2">
      <c r="T250" s="629"/>
    </row>
    <row r="251" spans="20:20" x14ac:dyDescent="0.2">
      <c r="T251" s="629"/>
    </row>
    <row r="252" spans="20:20" x14ac:dyDescent="0.2">
      <c r="T252" s="629"/>
    </row>
    <row r="253" spans="20:20" x14ac:dyDescent="0.2">
      <c r="T253" s="629"/>
    </row>
    <row r="254" spans="20:20" x14ac:dyDescent="0.2">
      <c r="T254" s="629"/>
    </row>
    <row r="255" spans="20:20" x14ac:dyDescent="0.2">
      <c r="T255" s="629"/>
    </row>
    <row r="256" spans="20:20" x14ac:dyDescent="0.2">
      <c r="T256" s="629"/>
    </row>
    <row r="257" spans="20:20" x14ac:dyDescent="0.2">
      <c r="T257" s="629"/>
    </row>
    <row r="258" spans="20:20" x14ac:dyDescent="0.2">
      <c r="T258" s="629"/>
    </row>
    <row r="259" spans="20:20" x14ac:dyDescent="0.2">
      <c r="T259" s="629"/>
    </row>
    <row r="260" spans="20:20" x14ac:dyDescent="0.2">
      <c r="T260" s="629"/>
    </row>
    <row r="261" spans="20:20" x14ac:dyDescent="0.2">
      <c r="T261" s="629"/>
    </row>
    <row r="262" spans="20:20" x14ac:dyDescent="0.2">
      <c r="T262" s="629"/>
    </row>
    <row r="263" spans="20:20" x14ac:dyDescent="0.2">
      <c r="T263" s="629"/>
    </row>
    <row r="264" spans="20:20" x14ac:dyDescent="0.2">
      <c r="T264" s="629"/>
    </row>
    <row r="265" spans="20:20" x14ac:dyDescent="0.2">
      <c r="T265" s="629"/>
    </row>
    <row r="266" spans="20:20" x14ac:dyDescent="0.2">
      <c r="T266" s="629"/>
    </row>
    <row r="267" spans="20:20" x14ac:dyDescent="0.2">
      <c r="T267" s="629"/>
    </row>
    <row r="268" spans="20:20" x14ac:dyDescent="0.2">
      <c r="T268" s="629"/>
    </row>
    <row r="269" spans="20:20" x14ac:dyDescent="0.2">
      <c r="T269" s="629"/>
    </row>
    <row r="270" spans="20:20" x14ac:dyDescent="0.2">
      <c r="T270" s="629"/>
    </row>
    <row r="271" spans="20:20" x14ac:dyDescent="0.2">
      <c r="T271" s="629"/>
    </row>
    <row r="272" spans="20:20" x14ac:dyDescent="0.2">
      <c r="T272" s="629"/>
    </row>
    <row r="273" spans="20:20" x14ac:dyDescent="0.2">
      <c r="T273" s="629"/>
    </row>
    <row r="274" spans="20:20" x14ac:dyDescent="0.2">
      <c r="T274" s="629"/>
    </row>
    <row r="275" spans="20:20" x14ac:dyDescent="0.2">
      <c r="T275" s="629"/>
    </row>
    <row r="276" spans="20:20" x14ac:dyDescent="0.2">
      <c r="T276" s="629"/>
    </row>
    <row r="277" spans="20:20" x14ac:dyDescent="0.2">
      <c r="T277" s="629"/>
    </row>
    <row r="278" spans="20:20" x14ac:dyDescent="0.2">
      <c r="T278" s="629"/>
    </row>
    <row r="279" spans="20:20" x14ac:dyDescent="0.2">
      <c r="T279" s="629"/>
    </row>
    <row r="280" spans="20:20" x14ac:dyDescent="0.2">
      <c r="T280" s="629"/>
    </row>
    <row r="281" spans="20:20" x14ac:dyDescent="0.2">
      <c r="T281" s="629"/>
    </row>
    <row r="282" spans="20:20" x14ac:dyDescent="0.2">
      <c r="T282" s="629"/>
    </row>
    <row r="283" spans="20:20" x14ac:dyDescent="0.2">
      <c r="T283" s="629"/>
    </row>
    <row r="284" spans="20:20" x14ac:dyDescent="0.2">
      <c r="T284" s="629"/>
    </row>
    <row r="285" spans="20:20" x14ac:dyDescent="0.2">
      <c r="T285" s="629"/>
    </row>
    <row r="286" spans="20:20" x14ac:dyDescent="0.2">
      <c r="T286" s="629"/>
    </row>
    <row r="287" spans="20:20" x14ac:dyDescent="0.2">
      <c r="T287" s="629"/>
    </row>
    <row r="288" spans="20:20" x14ac:dyDescent="0.2">
      <c r="T288" s="629"/>
    </row>
    <row r="289" spans="20:20" x14ac:dyDescent="0.2">
      <c r="T289" s="629"/>
    </row>
    <row r="290" spans="20:20" x14ac:dyDescent="0.2">
      <c r="T290" s="629"/>
    </row>
    <row r="291" spans="20:20" x14ac:dyDescent="0.2">
      <c r="T291" s="629"/>
    </row>
    <row r="292" spans="20:20" x14ac:dyDescent="0.2">
      <c r="T292" s="629"/>
    </row>
    <row r="293" spans="20:20" x14ac:dyDescent="0.2">
      <c r="T293" s="629"/>
    </row>
    <row r="294" spans="20:20" x14ac:dyDescent="0.2">
      <c r="T294" s="629"/>
    </row>
    <row r="295" spans="20:20" x14ac:dyDescent="0.2">
      <c r="T295" s="629"/>
    </row>
  </sheetData>
  <phoneticPr fontId="10" type="noConversion"/>
  <pageMargins left="0.5" right="0.5" top="0.5" bottom="0.25" header="0.25" footer="0.25"/>
  <pageSetup paperSize="5" scale="61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7"/>
  <sheetViews>
    <sheetView zoomScale="60" zoomScaleNormal="75" workbookViewId="0">
      <pane ySplit="11" topLeftCell="A45" activePane="bottomLeft" state="frozen"/>
      <selection pane="bottomLeft" activeCell="B79" sqref="B79"/>
    </sheetView>
  </sheetViews>
  <sheetFormatPr defaultRowHeight="12.75" x14ac:dyDescent="0.2"/>
  <cols>
    <col min="1" max="1" width="12.85546875" style="629" customWidth="1"/>
    <col min="2" max="2" width="24.5703125" customWidth="1"/>
    <col min="3" max="3" width="16.5703125" style="35" customWidth="1"/>
    <col min="4" max="4" width="13.85546875" customWidth="1"/>
    <col min="5" max="5" width="10.85546875" customWidth="1"/>
    <col min="6" max="6" width="2.28515625" customWidth="1"/>
    <col min="7" max="7" width="10.7109375" customWidth="1"/>
    <col min="8" max="8" width="11.140625" customWidth="1"/>
    <col min="9" max="9" width="16.28515625" bestFit="1" customWidth="1"/>
    <col min="10" max="10" width="16.140625" bestFit="1" customWidth="1"/>
    <col min="11" max="11" width="16.28515625" bestFit="1" customWidth="1"/>
    <col min="12" max="12" width="16.85546875" bestFit="1" customWidth="1"/>
    <col min="13" max="14" width="17.28515625" bestFit="1" customWidth="1"/>
    <col min="15" max="15" width="16.28515625" bestFit="1" customWidth="1"/>
    <col min="16" max="16" width="16.140625" bestFit="1" customWidth="1"/>
    <col min="17" max="17" width="16.85546875" bestFit="1" customWidth="1"/>
    <col min="18" max="18" width="15.5703125" bestFit="1" customWidth="1"/>
    <col min="19" max="19" width="2.28515625" customWidth="1"/>
    <col min="20" max="20" width="12.28515625" bestFit="1" customWidth="1"/>
    <col min="21" max="21" width="10.85546875" customWidth="1"/>
  </cols>
  <sheetData>
    <row r="1" spans="1:23" ht="12" customHeight="1" x14ac:dyDescent="0.2">
      <c r="G1">
        <v>31</v>
      </c>
      <c r="H1">
        <v>28</v>
      </c>
      <c r="I1">
        <v>31</v>
      </c>
      <c r="J1">
        <v>30</v>
      </c>
      <c r="K1">
        <v>31</v>
      </c>
      <c r="L1">
        <v>30</v>
      </c>
      <c r="M1">
        <v>31</v>
      </c>
      <c r="N1">
        <v>31</v>
      </c>
      <c r="O1">
        <v>30</v>
      </c>
      <c r="P1">
        <v>31</v>
      </c>
      <c r="Q1">
        <v>30</v>
      </c>
      <c r="R1">
        <v>31</v>
      </c>
    </row>
    <row r="2" spans="1:23" x14ac:dyDescent="0.2">
      <c r="A2" s="741" t="s">
        <v>0</v>
      </c>
    </row>
    <row r="3" spans="1:23" x14ac:dyDescent="0.2">
      <c r="A3" s="741" t="s">
        <v>427</v>
      </c>
    </row>
    <row r="4" spans="1:23" x14ac:dyDescent="0.2">
      <c r="A4" s="848" t="s">
        <v>428</v>
      </c>
    </row>
    <row r="5" spans="1:23" x14ac:dyDescent="0.2">
      <c r="A5" s="629" t="str">
        <f ca="1">CELL("filename")</f>
        <v>C:\Users\Felienne\Enron\EnronSpreadsheets\[tracy_geaccone__40433__PLAN_FORECAST_DESIGN_MASTER_WITH_STRETCH_Rev_10_08.xls]Summary</v>
      </c>
    </row>
    <row r="6" spans="1:23" x14ac:dyDescent="0.2">
      <c r="B6" s="947">
        <f ca="1">NOW()</f>
        <v>41885.92788761574</v>
      </c>
    </row>
    <row r="7" spans="1:23" ht="13.5" thickBot="1" x14ac:dyDescent="0.25"/>
    <row r="8" spans="1:23" ht="13.5" thickBot="1" x14ac:dyDescent="0.25">
      <c r="A8" s="849" t="s">
        <v>678</v>
      </c>
      <c r="B8" s="847"/>
      <c r="C8" s="591"/>
    </row>
    <row r="9" spans="1:23" x14ac:dyDescent="0.2">
      <c r="A9" s="850"/>
      <c r="B9" s="506"/>
      <c r="C9" s="591"/>
    </row>
    <row r="10" spans="1:23" s="35" customFormat="1" x14ac:dyDescent="0.2">
      <c r="A10" s="851" t="s">
        <v>679</v>
      </c>
      <c r="B10" s="43" t="s">
        <v>32</v>
      </c>
      <c r="C10" s="43"/>
      <c r="D10" s="43" t="s">
        <v>680</v>
      </c>
      <c r="E10" s="43" t="s">
        <v>681</v>
      </c>
      <c r="F10" s="43"/>
      <c r="G10" s="43" t="s">
        <v>57</v>
      </c>
      <c r="H10" s="43" t="s">
        <v>58</v>
      </c>
      <c r="I10" s="43" t="s">
        <v>59</v>
      </c>
      <c r="J10" s="43" t="s">
        <v>60</v>
      </c>
      <c r="K10" s="43" t="s">
        <v>1</v>
      </c>
      <c r="L10" s="43" t="s">
        <v>61</v>
      </c>
      <c r="M10" s="43" t="s">
        <v>62</v>
      </c>
      <c r="N10" s="43" t="s">
        <v>63</v>
      </c>
      <c r="O10" s="43" t="s">
        <v>64</v>
      </c>
      <c r="P10" s="43" t="s">
        <v>65</v>
      </c>
      <c r="Q10" s="43" t="s">
        <v>66</v>
      </c>
      <c r="R10" s="43" t="s">
        <v>67</v>
      </c>
      <c r="S10" s="43"/>
      <c r="T10" s="43" t="s">
        <v>2</v>
      </c>
      <c r="U10" s="43"/>
      <c r="V10" s="43"/>
      <c r="W10" s="43"/>
    </row>
    <row r="11" spans="1:23" s="35" customFormat="1" ht="8.25" customHeight="1" x14ac:dyDescent="0.2">
      <c r="A11" s="85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s="35" customFormat="1" ht="13.5" customHeight="1" x14ac:dyDescent="0.2">
      <c r="A12" s="855" t="s">
        <v>22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s="35" customFormat="1" ht="13.5" customHeight="1" x14ac:dyDescent="0.2">
      <c r="A13" s="851" t="s">
        <v>283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x14ac:dyDescent="0.2">
      <c r="A14" s="35">
        <v>8255</v>
      </c>
      <c r="B14" s="29" t="s">
        <v>285</v>
      </c>
      <c r="C14" s="5"/>
      <c r="D14" s="37">
        <v>306000</v>
      </c>
      <c r="E14" s="854">
        <v>2E-3</v>
      </c>
      <c r="G14" s="32">
        <f>ROUND($D14*$E14*G$1,0)</f>
        <v>18972</v>
      </c>
      <c r="H14" s="32">
        <f t="shared" ref="H14:R14" si="0">ROUND($D14*$E14*H$1,0)</f>
        <v>17136</v>
      </c>
      <c r="I14" s="32">
        <f t="shared" si="0"/>
        <v>18972</v>
      </c>
      <c r="J14" s="32">
        <f t="shared" si="0"/>
        <v>18360</v>
      </c>
      <c r="K14" s="32">
        <f t="shared" si="0"/>
        <v>18972</v>
      </c>
      <c r="L14" s="32">
        <f t="shared" si="0"/>
        <v>18360</v>
      </c>
      <c r="M14" s="32">
        <f t="shared" si="0"/>
        <v>18972</v>
      </c>
      <c r="N14" s="32">
        <f t="shared" si="0"/>
        <v>18972</v>
      </c>
      <c r="O14" s="32">
        <f t="shared" si="0"/>
        <v>18360</v>
      </c>
      <c r="P14" s="32">
        <f t="shared" si="0"/>
        <v>18972</v>
      </c>
      <c r="Q14" s="32">
        <f t="shared" si="0"/>
        <v>18360</v>
      </c>
      <c r="R14" s="32">
        <f t="shared" si="0"/>
        <v>18972</v>
      </c>
      <c r="S14" s="853"/>
      <c r="T14" s="32">
        <f>SUM(G14:S14)</f>
        <v>223380</v>
      </c>
    </row>
    <row r="15" spans="1:23" x14ac:dyDescent="0.2">
      <c r="A15" s="180">
        <v>26683</v>
      </c>
      <c r="B15" s="175" t="s">
        <v>553</v>
      </c>
      <c r="C15" s="180"/>
      <c r="D15" s="37">
        <v>8000</v>
      </c>
      <c r="E15" s="854">
        <v>2E-3</v>
      </c>
      <c r="G15" s="853">
        <f t="shared" ref="G15:R17" si="1">ROUND($D15*$E15*G$1,0)</f>
        <v>496</v>
      </c>
      <c r="H15" s="853">
        <f t="shared" si="1"/>
        <v>448</v>
      </c>
      <c r="I15" s="853">
        <f t="shared" si="1"/>
        <v>496</v>
      </c>
      <c r="J15" s="853">
        <f t="shared" si="1"/>
        <v>480</v>
      </c>
      <c r="K15" s="853">
        <f t="shared" si="1"/>
        <v>496</v>
      </c>
      <c r="L15" s="853">
        <f t="shared" si="1"/>
        <v>480</v>
      </c>
      <c r="M15" s="853">
        <f t="shared" si="1"/>
        <v>496</v>
      </c>
      <c r="N15" s="853">
        <f t="shared" si="1"/>
        <v>496</v>
      </c>
      <c r="O15" s="853">
        <f t="shared" si="1"/>
        <v>480</v>
      </c>
      <c r="P15" s="853">
        <f t="shared" si="1"/>
        <v>496</v>
      </c>
      <c r="Q15" s="853">
        <f t="shared" si="1"/>
        <v>480</v>
      </c>
      <c r="R15" s="853">
        <f t="shared" si="1"/>
        <v>496</v>
      </c>
      <c r="S15" s="853"/>
      <c r="T15" s="32">
        <f>SUM(G15:S15)</f>
        <v>5840</v>
      </c>
    </row>
    <row r="16" spans="1:23" x14ac:dyDescent="0.2">
      <c r="A16" s="573">
        <v>27340</v>
      </c>
      <c r="B16" s="852" t="s">
        <v>560</v>
      </c>
      <c r="C16" s="181" t="s">
        <v>686</v>
      </c>
      <c r="D16" s="37">
        <v>20000</v>
      </c>
      <c r="E16" s="854">
        <v>2E-3</v>
      </c>
      <c r="G16" s="853">
        <f t="shared" si="1"/>
        <v>1240</v>
      </c>
      <c r="H16" s="853">
        <v>0</v>
      </c>
      <c r="I16" s="853"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  <c r="O16" s="853">
        <v>0</v>
      </c>
      <c r="P16" s="853">
        <v>0</v>
      </c>
      <c r="Q16" s="853">
        <v>0</v>
      </c>
      <c r="R16" s="853">
        <v>0</v>
      </c>
      <c r="S16" s="853"/>
      <c r="T16" s="32">
        <f>SUM(G16:S16)</f>
        <v>1240</v>
      </c>
    </row>
    <row r="17" spans="1:20" x14ac:dyDescent="0.2">
      <c r="A17" s="180">
        <v>27581</v>
      </c>
      <c r="B17" s="175" t="s">
        <v>290</v>
      </c>
      <c r="C17" s="180" t="s">
        <v>687</v>
      </c>
      <c r="D17" s="37">
        <v>14000</v>
      </c>
      <c r="E17" s="854">
        <v>0</v>
      </c>
      <c r="G17" s="853">
        <v>0</v>
      </c>
      <c r="H17" s="853">
        <v>0</v>
      </c>
      <c r="I17" s="853">
        <v>0</v>
      </c>
      <c r="J17" s="853">
        <f t="shared" si="1"/>
        <v>0</v>
      </c>
      <c r="K17" s="853">
        <f t="shared" si="1"/>
        <v>0</v>
      </c>
      <c r="L17" s="853">
        <f t="shared" si="1"/>
        <v>0</v>
      </c>
      <c r="M17" s="853">
        <f t="shared" si="1"/>
        <v>0</v>
      </c>
      <c r="N17" s="853">
        <f t="shared" si="1"/>
        <v>0</v>
      </c>
      <c r="O17" s="853">
        <f t="shared" si="1"/>
        <v>0</v>
      </c>
      <c r="P17" s="853">
        <f t="shared" si="1"/>
        <v>0</v>
      </c>
      <c r="Q17" s="853">
        <v>0</v>
      </c>
      <c r="R17" s="853">
        <v>0</v>
      </c>
      <c r="S17" s="853"/>
      <c r="T17" s="32">
        <f>SUM(G17:S17)</f>
        <v>0</v>
      </c>
    </row>
    <row r="18" spans="1:20" x14ac:dyDescent="0.2">
      <c r="A18" s="35"/>
      <c r="B18" s="29"/>
      <c r="C18" s="5"/>
      <c r="D18" s="37"/>
    </row>
    <row r="19" spans="1:20" x14ac:dyDescent="0.2">
      <c r="A19" s="851" t="s">
        <v>291</v>
      </c>
      <c r="B19" s="29"/>
      <c r="C19" s="5"/>
      <c r="D19" s="37"/>
    </row>
    <row r="20" spans="1:20" x14ac:dyDescent="0.2">
      <c r="A20" s="180">
        <v>20746</v>
      </c>
      <c r="B20" s="175" t="s">
        <v>576</v>
      </c>
      <c r="C20" s="180"/>
      <c r="D20" s="37">
        <v>20000</v>
      </c>
      <c r="E20" s="854">
        <v>2E-3</v>
      </c>
      <c r="G20" s="32">
        <f>ROUND($D20*$E20*G$1,0)</f>
        <v>1240</v>
      </c>
      <c r="H20" s="32">
        <f t="shared" ref="H20:R20" si="2">ROUND($D20*$E20*H$1,0)</f>
        <v>1120</v>
      </c>
      <c r="I20" s="32">
        <f t="shared" si="2"/>
        <v>1240</v>
      </c>
      <c r="J20" s="32">
        <f t="shared" si="2"/>
        <v>1200</v>
      </c>
      <c r="K20" s="32">
        <f t="shared" si="2"/>
        <v>1240</v>
      </c>
      <c r="L20" s="32">
        <f t="shared" si="2"/>
        <v>1200</v>
      </c>
      <c r="M20" s="32">
        <f t="shared" si="2"/>
        <v>1240</v>
      </c>
      <c r="N20" s="32">
        <f t="shared" si="2"/>
        <v>1240</v>
      </c>
      <c r="O20" s="32">
        <f t="shared" si="2"/>
        <v>1200</v>
      </c>
      <c r="P20" s="32">
        <f t="shared" si="2"/>
        <v>1240</v>
      </c>
      <c r="Q20" s="32">
        <f t="shared" si="2"/>
        <v>1200</v>
      </c>
      <c r="R20" s="32">
        <f t="shared" si="2"/>
        <v>1240</v>
      </c>
      <c r="S20" s="853"/>
      <c r="T20" s="32">
        <f t="shared" ref="T20:T26" si="3">SUM(G20:S20)</f>
        <v>14600</v>
      </c>
    </row>
    <row r="21" spans="1:20" x14ac:dyDescent="0.2">
      <c r="A21" s="180">
        <v>20747</v>
      </c>
      <c r="B21" s="175" t="s">
        <v>578</v>
      </c>
      <c r="C21" s="181" t="s">
        <v>683</v>
      </c>
      <c r="D21" s="37">
        <v>10000</v>
      </c>
      <c r="E21" s="854">
        <v>2E-3</v>
      </c>
      <c r="G21" s="853">
        <f t="shared" ref="G21:R35" si="4">ROUND($D21*$E21*G$1,0)</f>
        <v>620</v>
      </c>
      <c r="H21" s="853">
        <f t="shared" si="4"/>
        <v>560</v>
      </c>
      <c r="I21" s="853">
        <v>0</v>
      </c>
      <c r="J21" s="853">
        <v>0</v>
      </c>
      <c r="K21" s="853">
        <v>0</v>
      </c>
      <c r="L21" s="853">
        <v>0</v>
      </c>
      <c r="M21" s="853">
        <v>0</v>
      </c>
      <c r="N21" s="853">
        <v>0</v>
      </c>
      <c r="O21" s="853">
        <v>0</v>
      </c>
      <c r="P21" s="853">
        <v>0</v>
      </c>
      <c r="Q21" s="853">
        <v>0</v>
      </c>
      <c r="R21" s="853">
        <v>0</v>
      </c>
      <c r="S21" s="853"/>
      <c r="T21" s="32">
        <f t="shared" si="3"/>
        <v>1180</v>
      </c>
    </row>
    <row r="22" spans="1:20" x14ac:dyDescent="0.2">
      <c r="A22" s="180">
        <v>20748</v>
      </c>
      <c r="B22" s="175" t="s">
        <v>578</v>
      </c>
      <c r="C22" s="181" t="s">
        <v>683</v>
      </c>
      <c r="D22" s="37">
        <v>10000</v>
      </c>
      <c r="E22" s="854">
        <v>1.1999999999999999E-3</v>
      </c>
      <c r="G22" s="853">
        <f t="shared" si="4"/>
        <v>372</v>
      </c>
      <c r="H22" s="853">
        <f t="shared" si="4"/>
        <v>336</v>
      </c>
      <c r="I22" s="853">
        <v>0</v>
      </c>
      <c r="J22" s="853">
        <v>0</v>
      </c>
      <c r="K22" s="853">
        <v>0</v>
      </c>
      <c r="L22" s="853">
        <v>0</v>
      </c>
      <c r="M22" s="853">
        <v>0</v>
      </c>
      <c r="N22" s="853">
        <v>0</v>
      </c>
      <c r="O22" s="853">
        <v>0</v>
      </c>
      <c r="P22" s="853">
        <v>0</v>
      </c>
      <c r="Q22" s="853">
        <v>0</v>
      </c>
      <c r="R22" s="853">
        <v>0</v>
      </c>
      <c r="S22" s="853"/>
      <c r="T22" s="32">
        <f t="shared" si="3"/>
        <v>708</v>
      </c>
    </row>
    <row r="23" spans="1:20" x14ac:dyDescent="0.2">
      <c r="A23" s="180">
        <v>21165</v>
      </c>
      <c r="B23" s="175" t="s">
        <v>581</v>
      </c>
      <c r="C23" s="180"/>
      <c r="D23" s="37">
        <v>150000</v>
      </c>
      <c r="E23" s="854">
        <v>2E-3</v>
      </c>
      <c r="G23" s="853">
        <f t="shared" si="4"/>
        <v>9300</v>
      </c>
      <c r="H23" s="853">
        <f t="shared" si="4"/>
        <v>8400</v>
      </c>
      <c r="I23" s="853">
        <f t="shared" si="4"/>
        <v>9300</v>
      </c>
      <c r="J23" s="853">
        <f t="shared" si="4"/>
        <v>9000</v>
      </c>
      <c r="K23" s="853">
        <f t="shared" si="4"/>
        <v>9300</v>
      </c>
      <c r="L23" s="853">
        <f t="shared" si="4"/>
        <v>9000</v>
      </c>
      <c r="M23" s="853">
        <f t="shared" si="4"/>
        <v>9300</v>
      </c>
      <c r="N23" s="853">
        <f t="shared" si="4"/>
        <v>9300</v>
      </c>
      <c r="O23" s="853">
        <f t="shared" si="4"/>
        <v>9000</v>
      </c>
      <c r="P23" s="853">
        <f t="shared" si="4"/>
        <v>9300</v>
      </c>
      <c r="Q23" s="853">
        <f t="shared" si="4"/>
        <v>9000</v>
      </c>
      <c r="R23" s="853">
        <f t="shared" si="4"/>
        <v>9300</v>
      </c>
      <c r="S23" s="853"/>
      <c r="T23" s="32">
        <f t="shared" si="3"/>
        <v>109500</v>
      </c>
    </row>
    <row r="24" spans="1:20" x14ac:dyDescent="0.2">
      <c r="A24" s="180">
        <v>26372</v>
      </c>
      <c r="B24" s="175" t="s">
        <v>542</v>
      </c>
      <c r="C24" s="180"/>
      <c r="D24" s="37">
        <v>25000</v>
      </c>
      <c r="E24" s="854">
        <v>2E-3</v>
      </c>
      <c r="G24" s="853">
        <f t="shared" si="4"/>
        <v>1550</v>
      </c>
      <c r="H24" s="853">
        <f t="shared" si="4"/>
        <v>1400</v>
      </c>
      <c r="I24" s="853">
        <f t="shared" si="4"/>
        <v>1550</v>
      </c>
      <c r="J24" s="853">
        <f t="shared" si="4"/>
        <v>1500</v>
      </c>
      <c r="K24" s="853">
        <f t="shared" si="4"/>
        <v>1550</v>
      </c>
      <c r="L24" s="853">
        <f t="shared" si="4"/>
        <v>1500</v>
      </c>
      <c r="M24" s="853">
        <f t="shared" si="4"/>
        <v>1550</v>
      </c>
      <c r="N24" s="853">
        <f t="shared" si="4"/>
        <v>1550</v>
      </c>
      <c r="O24" s="853">
        <f t="shared" si="4"/>
        <v>1500</v>
      </c>
      <c r="P24" s="853">
        <f t="shared" si="4"/>
        <v>1550</v>
      </c>
      <c r="Q24" s="853">
        <f t="shared" si="4"/>
        <v>1500</v>
      </c>
      <c r="R24" s="853">
        <f t="shared" si="4"/>
        <v>1550</v>
      </c>
      <c r="S24" s="853"/>
      <c r="T24" s="32">
        <f t="shared" si="3"/>
        <v>18250</v>
      </c>
    </row>
    <row r="25" spans="1:20" x14ac:dyDescent="0.2">
      <c r="A25" s="180">
        <v>20822</v>
      </c>
      <c r="B25" s="175" t="s">
        <v>582</v>
      </c>
      <c r="C25" s="180"/>
      <c r="D25" s="37">
        <v>25000</v>
      </c>
      <c r="E25" s="854">
        <v>1.8E-3</v>
      </c>
      <c r="G25" s="853">
        <f t="shared" si="4"/>
        <v>1395</v>
      </c>
      <c r="H25" s="853">
        <f t="shared" si="4"/>
        <v>1260</v>
      </c>
      <c r="I25" s="853">
        <f t="shared" si="4"/>
        <v>1395</v>
      </c>
      <c r="J25" s="853">
        <f t="shared" si="4"/>
        <v>1350</v>
      </c>
      <c r="K25" s="853">
        <f t="shared" si="4"/>
        <v>1395</v>
      </c>
      <c r="L25" s="853">
        <f t="shared" si="4"/>
        <v>1350</v>
      </c>
      <c r="M25" s="853">
        <f t="shared" si="4"/>
        <v>1395</v>
      </c>
      <c r="N25" s="853">
        <f t="shared" si="4"/>
        <v>1395</v>
      </c>
      <c r="O25" s="853">
        <f t="shared" si="4"/>
        <v>1350</v>
      </c>
      <c r="P25" s="853">
        <f t="shared" si="4"/>
        <v>1395</v>
      </c>
      <c r="Q25" s="853">
        <f t="shared" si="4"/>
        <v>1350</v>
      </c>
      <c r="R25" s="853">
        <f t="shared" si="4"/>
        <v>1395</v>
      </c>
      <c r="S25" s="853"/>
      <c r="T25" s="32">
        <f t="shared" si="3"/>
        <v>16425</v>
      </c>
    </row>
    <row r="26" spans="1:20" x14ac:dyDescent="0.2">
      <c r="A26" s="180">
        <v>26678</v>
      </c>
      <c r="B26" s="175" t="s">
        <v>544</v>
      </c>
      <c r="C26" s="180"/>
      <c r="D26" s="37">
        <v>25000</v>
      </c>
      <c r="E26" s="854">
        <v>2E-3</v>
      </c>
      <c r="G26" s="853">
        <f t="shared" si="4"/>
        <v>1550</v>
      </c>
      <c r="H26" s="853">
        <f t="shared" si="4"/>
        <v>1400</v>
      </c>
      <c r="I26" s="853">
        <f t="shared" si="4"/>
        <v>1550</v>
      </c>
      <c r="J26" s="853">
        <f t="shared" si="4"/>
        <v>1500</v>
      </c>
      <c r="K26" s="853">
        <f t="shared" si="4"/>
        <v>1550</v>
      </c>
      <c r="L26" s="853">
        <f t="shared" si="4"/>
        <v>1500</v>
      </c>
      <c r="M26" s="853">
        <f t="shared" si="4"/>
        <v>1550</v>
      </c>
      <c r="N26" s="853">
        <f t="shared" si="4"/>
        <v>1550</v>
      </c>
      <c r="O26" s="853">
        <f t="shared" si="4"/>
        <v>1500</v>
      </c>
      <c r="P26" s="853">
        <f t="shared" si="4"/>
        <v>1550</v>
      </c>
      <c r="Q26" s="853">
        <f t="shared" si="4"/>
        <v>1500</v>
      </c>
      <c r="R26" s="853">
        <f t="shared" si="4"/>
        <v>1550</v>
      </c>
      <c r="S26" s="853"/>
      <c r="T26" s="32">
        <f t="shared" si="3"/>
        <v>18250</v>
      </c>
    </row>
    <row r="27" spans="1:20" x14ac:dyDescent="0.2">
      <c r="A27" s="180"/>
      <c r="B27" s="175"/>
      <c r="C27" s="180"/>
      <c r="D27" s="37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32"/>
    </row>
    <row r="28" spans="1:20" x14ac:dyDescent="0.2">
      <c r="A28" s="851" t="s">
        <v>685</v>
      </c>
      <c r="D28" s="37"/>
      <c r="G28" s="853"/>
      <c r="H28" s="853"/>
      <c r="I28" s="853"/>
      <c r="J28" s="853"/>
      <c r="K28" s="853"/>
      <c r="L28" s="853"/>
      <c r="M28" s="853"/>
      <c r="N28" s="853"/>
      <c r="O28" s="853"/>
      <c r="P28" s="853"/>
      <c r="Q28" s="853"/>
      <c r="R28" s="853"/>
      <c r="S28" s="853"/>
      <c r="T28" s="32"/>
    </row>
    <row r="29" spans="1:20" x14ac:dyDescent="0.2">
      <c r="A29" s="180">
        <v>27454</v>
      </c>
      <c r="B29" s="175" t="s">
        <v>289</v>
      </c>
      <c r="C29" s="180"/>
      <c r="D29" s="37">
        <v>27500</v>
      </c>
      <c r="E29" s="854">
        <v>0</v>
      </c>
      <c r="G29" s="32">
        <f t="shared" si="4"/>
        <v>0</v>
      </c>
      <c r="H29" s="32">
        <f t="shared" si="4"/>
        <v>0</v>
      </c>
      <c r="I29" s="32">
        <f t="shared" si="4"/>
        <v>0</v>
      </c>
      <c r="J29" s="32">
        <f t="shared" si="4"/>
        <v>0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4"/>
        <v>0</v>
      </c>
      <c r="S29" s="853"/>
      <c r="T29" s="32">
        <f t="shared" ref="T29:T35" si="5">SUM(G29:S29)</f>
        <v>0</v>
      </c>
    </row>
    <row r="30" spans="1:20" x14ac:dyDescent="0.2">
      <c r="A30" s="180">
        <v>27456</v>
      </c>
      <c r="B30" s="175" t="s">
        <v>300</v>
      </c>
      <c r="C30" s="180" t="s">
        <v>682</v>
      </c>
      <c r="D30" s="37">
        <v>21500</v>
      </c>
      <c r="E30" s="854">
        <v>0</v>
      </c>
      <c r="G30" s="853">
        <v>0</v>
      </c>
      <c r="H30" s="853">
        <v>0</v>
      </c>
      <c r="I30" s="853">
        <v>0</v>
      </c>
      <c r="J30" s="853">
        <v>0</v>
      </c>
      <c r="K30" s="853">
        <v>0</v>
      </c>
      <c r="L30" s="853">
        <v>0</v>
      </c>
      <c r="M30" s="853">
        <v>0</v>
      </c>
      <c r="N30" s="853">
        <v>0</v>
      </c>
      <c r="O30" s="853">
        <v>0</v>
      </c>
      <c r="P30" s="853">
        <v>0</v>
      </c>
      <c r="Q30" s="853">
        <f t="shared" si="4"/>
        <v>0</v>
      </c>
      <c r="R30" s="853">
        <f t="shared" si="4"/>
        <v>0</v>
      </c>
      <c r="S30" s="853"/>
      <c r="T30" s="32">
        <f t="shared" si="5"/>
        <v>0</v>
      </c>
    </row>
    <row r="31" spans="1:20" x14ac:dyDescent="0.2">
      <c r="A31" s="180">
        <v>27566</v>
      </c>
      <c r="B31" s="175" t="s">
        <v>293</v>
      </c>
      <c r="C31" s="180" t="s">
        <v>684</v>
      </c>
      <c r="D31" s="37">
        <v>20000</v>
      </c>
      <c r="E31" s="854">
        <v>2E-3</v>
      </c>
      <c r="G31" s="853">
        <v>0</v>
      </c>
      <c r="H31" s="853">
        <v>0</v>
      </c>
      <c r="I31" s="853">
        <f t="shared" si="4"/>
        <v>1240</v>
      </c>
      <c r="J31" s="853">
        <f t="shared" si="4"/>
        <v>1200</v>
      </c>
      <c r="K31" s="853">
        <f t="shared" si="4"/>
        <v>1240</v>
      </c>
      <c r="L31" s="853">
        <f t="shared" si="4"/>
        <v>1200</v>
      </c>
      <c r="M31" s="853">
        <f t="shared" si="4"/>
        <v>1240</v>
      </c>
      <c r="N31" s="853">
        <f t="shared" si="4"/>
        <v>1240</v>
      </c>
      <c r="O31" s="853">
        <f t="shared" si="4"/>
        <v>1200</v>
      </c>
      <c r="P31" s="853">
        <f t="shared" si="4"/>
        <v>1240</v>
      </c>
      <c r="Q31" s="853">
        <f t="shared" si="4"/>
        <v>1200</v>
      </c>
      <c r="R31" s="853">
        <f t="shared" si="4"/>
        <v>1240</v>
      </c>
      <c r="S31" s="853"/>
      <c r="T31" s="32">
        <f t="shared" si="5"/>
        <v>12240</v>
      </c>
    </row>
    <row r="32" spans="1:20" x14ac:dyDescent="0.2">
      <c r="A32" s="180"/>
      <c r="B32" s="175"/>
      <c r="C32" s="180"/>
      <c r="D32" s="37"/>
      <c r="G32" s="853"/>
      <c r="H32" s="853"/>
      <c r="I32" s="853"/>
      <c r="J32" s="853"/>
      <c r="K32" s="853"/>
      <c r="L32" s="853"/>
      <c r="M32" s="853"/>
      <c r="N32" s="853"/>
      <c r="O32" s="853"/>
      <c r="P32" s="853"/>
      <c r="Q32" s="853"/>
      <c r="R32" s="853"/>
      <c r="S32" s="853"/>
      <c r="T32" s="32"/>
    </row>
    <row r="33" spans="1:21" x14ac:dyDescent="0.2">
      <c r="A33" s="851" t="s">
        <v>688</v>
      </c>
      <c r="D33" s="37"/>
      <c r="G33" s="853"/>
      <c r="H33" s="853"/>
      <c r="I33" s="853"/>
      <c r="J33" s="853"/>
      <c r="K33" s="853"/>
      <c r="L33" s="853"/>
      <c r="M33" s="853"/>
      <c r="N33" s="853"/>
      <c r="O33" s="853"/>
      <c r="P33" s="853"/>
      <c r="Q33" s="853"/>
      <c r="R33" s="853"/>
      <c r="S33" s="853"/>
      <c r="T33" s="32"/>
    </row>
    <row r="34" spans="1:21" x14ac:dyDescent="0.2">
      <c r="A34" s="180">
        <v>27370</v>
      </c>
      <c r="B34" s="175" t="s">
        <v>306</v>
      </c>
      <c r="C34" s="180"/>
      <c r="D34" s="37">
        <v>22000</v>
      </c>
      <c r="E34" s="854">
        <v>2E-3</v>
      </c>
      <c r="G34" s="32">
        <f t="shared" si="4"/>
        <v>1364</v>
      </c>
      <c r="H34" s="32">
        <f t="shared" si="4"/>
        <v>1232</v>
      </c>
      <c r="I34" s="32">
        <f t="shared" si="4"/>
        <v>1364</v>
      </c>
      <c r="J34" s="32">
        <f t="shared" si="4"/>
        <v>1320</v>
      </c>
      <c r="K34" s="32">
        <f t="shared" si="4"/>
        <v>1364</v>
      </c>
      <c r="L34" s="32">
        <f t="shared" si="4"/>
        <v>1320</v>
      </c>
      <c r="M34" s="32">
        <f t="shared" si="4"/>
        <v>1364</v>
      </c>
      <c r="N34" s="32">
        <f t="shared" si="4"/>
        <v>1364</v>
      </c>
      <c r="O34" s="32">
        <f t="shared" si="4"/>
        <v>1320</v>
      </c>
      <c r="P34" s="32">
        <f t="shared" si="4"/>
        <v>1364</v>
      </c>
      <c r="Q34" s="32">
        <f t="shared" si="4"/>
        <v>1320</v>
      </c>
      <c r="R34" s="32">
        <f t="shared" si="4"/>
        <v>1364</v>
      </c>
      <c r="S34" s="853"/>
      <c r="T34" s="32">
        <f t="shared" si="5"/>
        <v>16060</v>
      </c>
    </row>
    <row r="35" spans="1:21" x14ac:dyDescent="0.2">
      <c r="A35" s="180">
        <v>27460</v>
      </c>
      <c r="B35" s="175" t="s">
        <v>306</v>
      </c>
      <c r="C35" s="180"/>
      <c r="D35" s="37">
        <v>55000</v>
      </c>
      <c r="E35" s="854">
        <v>2E-3</v>
      </c>
      <c r="G35" s="853">
        <f t="shared" si="4"/>
        <v>3410</v>
      </c>
      <c r="H35" s="853">
        <f t="shared" si="4"/>
        <v>3080</v>
      </c>
      <c r="I35" s="853">
        <f t="shared" si="4"/>
        <v>3410</v>
      </c>
      <c r="J35" s="853">
        <f t="shared" si="4"/>
        <v>3300</v>
      </c>
      <c r="K35" s="853">
        <f t="shared" si="4"/>
        <v>3410</v>
      </c>
      <c r="L35" s="853">
        <f t="shared" si="4"/>
        <v>3300</v>
      </c>
      <c r="M35" s="853">
        <f t="shared" si="4"/>
        <v>3410</v>
      </c>
      <c r="N35" s="853">
        <f t="shared" si="4"/>
        <v>3410</v>
      </c>
      <c r="O35" s="853">
        <f t="shared" si="4"/>
        <v>3300</v>
      </c>
      <c r="P35" s="853">
        <f t="shared" si="4"/>
        <v>3410</v>
      </c>
      <c r="Q35" s="853">
        <f t="shared" si="4"/>
        <v>3300</v>
      </c>
      <c r="R35" s="853">
        <f t="shared" si="4"/>
        <v>3410</v>
      </c>
      <c r="S35" s="853"/>
      <c r="T35" s="32">
        <f t="shared" si="5"/>
        <v>40150</v>
      </c>
    </row>
    <row r="36" spans="1:21" x14ac:dyDescent="0.2">
      <c r="A36" s="180"/>
      <c r="B36" s="175"/>
      <c r="C36" s="180"/>
      <c r="D36" s="37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32"/>
    </row>
    <row r="37" spans="1:21" x14ac:dyDescent="0.2">
      <c r="A37" s="180"/>
      <c r="B37" s="175"/>
      <c r="C37" s="180"/>
      <c r="D37" s="37"/>
      <c r="G37" s="811"/>
      <c r="H37" s="811"/>
      <c r="I37" s="811"/>
      <c r="J37" s="811"/>
      <c r="K37" s="811"/>
      <c r="L37" s="811"/>
      <c r="M37" s="811"/>
      <c r="N37" s="811"/>
      <c r="O37" s="811"/>
      <c r="P37" s="811"/>
      <c r="Q37" s="811"/>
      <c r="R37" s="811"/>
      <c r="S37" s="811"/>
      <c r="T37" s="811"/>
      <c r="U37" s="857" t="s">
        <v>689</v>
      </c>
    </row>
    <row r="38" spans="1:21" x14ac:dyDescent="0.2">
      <c r="B38" t="s">
        <v>693</v>
      </c>
      <c r="D38" s="37"/>
      <c r="G38" s="33">
        <f t="shared" ref="G38:R38" si="6">SUM(G14:G37)</f>
        <v>41509</v>
      </c>
      <c r="H38" s="33">
        <f t="shared" si="6"/>
        <v>36372</v>
      </c>
      <c r="I38" s="33">
        <f t="shared" si="6"/>
        <v>40517</v>
      </c>
      <c r="J38" s="33">
        <f t="shared" si="6"/>
        <v>39210</v>
      </c>
      <c r="K38" s="33">
        <f t="shared" si="6"/>
        <v>40517</v>
      </c>
      <c r="L38" s="33">
        <f t="shared" si="6"/>
        <v>39210</v>
      </c>
      <c r="M38" s="33">
        <f t="shared" si="6"/>
        <v>40517</v>
      </c>
      <c r="N38" s="33">
        <f t="shared" si="6"/>
        <v>40517</v>
      </c>
      <c r="O38" s="33">
        <f t="shared" si="6"/>
        <v>39210</v>
      </c>
      <c r="P38" s="33">
        <f t="shared" si="6"/>
        <v>40517</v>
      </c>
      <c r="Q38" s="33">
        <f t="shared" si="6"/>
        <v>39210</v>
      </c>
      <c r="R38" s="33">
        <f t="shared" si="6"/>
        <v>40517</v>
      </c>
      <c r="T38" s="33">
        <f>SUM(T14:T37)</f>
        <v>477823</v>
      </c>
      <c r="U38" s="856">
        <f>SUM(G38:S38)</f>
        <v>477823</v>
      </c>
    </row>
    <row r="39" spans="1:21" x14ac:dyDescent="0.2">
      <c r="D39" s="37"/>
    </row>
    <row r="40" spans="1:21" x14ac:dyDescent="0.2">
      <c r="A40" s="855" t="s">
        <v>224</v>
      </c>
      <c r="B40" s="43"/>
      <c r="C40" s="43"/>
      <c r="D40" s="37"/>
    </row>
    <row r="41" spans="1:21" x14ac:dyDescent="0.2">
      <c r="A41" s="851" t="s">
        <v>283</v>
      </c>
      <c r="B41" s="43" t="s">
        <v>692</v>
      </c>
      <c r="C41" s="43"/>
      <c r="D41" s="43"/>
      <c r="E41" s="43"/>
      <c r="F41" s="43"/>
      <c r="G41" s="858">
        <f>'[2]load factor study'!$C$39</f>
        <v>0.44</v>
      </c>
      <c r="H41" s="858">
        <f>'[2]load factor study'!$D$39</f>
        <v>0.43671023824855115</v>
      </c>
      <c r="I41" s="858">
        <f>'[2]load factor study'!$E$39</f>
        <v>0.44</v>
      </c>
      <c r="J41" s="858">
        <f>'[2]load factor study'!$F$39</f>
        <v>0.55776747815230965</v>
      </c>
      <c r="K41" s="858">
        <f>'[2]load factor study'!$G$39</f>
        <v>0.57185807251317022</v>
      </c>
      <c r="L41" s="858">
        <f>'[2]load factor study'!$H$39</f>
        <v>0.56038753466872115</v>
      </c>
      <c r="M41" s="858">
        <f>'[2]load factor study'!$I$39</f>
        <v>0.53231388846909466</v>
      </c>
      <c r="N41" s="858">
        <f>'[2]load factor study'!$J$39</f>
        <v>0.52835702951443986</v>
      </c>
      <c r="O41" s="858">
        <f>'[2]load factor study'!$K$39</f>
        <v>0.49248575089697594</v>
      </c>
      <c r="P41" s="858">
        <f>'[2]load factor study'!$L$39</f>
        <v>0.52097307060755338</v>
      </c>
      <c r="Q41" s="858">
        <f>'[2]load factor study'!$M$39</f>
        <v>0.53396116207951072</v>
      </c>
      <c r="R41" s="858">
        <f>'[2]load factor study'!$N$39</f>
        <v>0.54857258440046563</v>
      </c>
      <c r="S41" s="43"/>
      <c r="T41" s="43"/>
      <c r="U41" s="43"/>
    </row>
    <row r="42" spans="1:21" x14ac:dyDescent="0.2">
      <c r="A42" s="35">
        <v>8255</v>
      </c>
      <c r="B42" s="29" t="s">
        <v>285</v>
      </c>
      <c r="C42" s="5"/>
      <c r="D42" s="37">
        <v>306000</v>
      </c>
      <c r="E42" s="854">
        <v>5.0000000000000001E-3</v>
      </c>
      <c r="G42" s="32">
        <f t="shared" ref="G42:R42" si="7">ROUND($D42*G41*$E42*G$1,0)</f>
        <v>20869</v>
      </c>
      <c r="H42" s="32">
        <f t="shared" si="7"/>
        <v>18709</v>
      </c>
      <c r="I42" s="32">
        <f t="shared" si="7"/>
        <v>20869</v>
      </c>
      <c r="J42" s="32">
        <f t="shared" si="7"/>
        <v>25602</v>
      </c>
      <c r="K42" s="32">
        <f t="shared" si="7"/>
        <v>27123</v>
      </c>
      <c r="L42" s="32">
        <f t="shared" si="7"/>
        <v>25722</v>
      </c>
      <c r="M42" s="32">
        <f t="shared" si="7"/>
        <v>25248</v>
      </c>
      <c r="N42" s="32">
        <f t="shared" si="7"/>
        <v>25060</v>
      </c>
      <c r="O42" s="32">
        <f t="shared" si="7"/>
        <v>22605</v>
      </c>
      <c r="P42" s="32">
        <f t="shared" si="7"/>
        <v>24710</v>
      </c>
      <c r="Q42" s="32">
        <f t="shared" si="7"/>
        <v>24509</v>
      </c>
      <c r="R42" s="32">
        <f t="shared" si="7"/>
        <v>26019</v>
      </c>
      <c r="S42" s="853"/>
      <c r="T42" s="32">
        <f>SUM(G42:S42)</f>
        <v>287045</v>
      </c>
    </row>
    <row r="43" spans="1:21" x14ac:dyDescent="0.2">
      <c r="A43" s="180">
        <v>26683</v>
      </c>
      <c r="B43" s="175" t="s">
        <v>553</v>
      </c>
      <c r="C43" s="180"/>
      <c r="D43" s="37">
        <v>8000</v>
      </c>
      <c r="E43" s="854">
        <v>5.0000000000000001E-3</v>
      </c>
      <c r="G43" s="853">
        <f t="shared" ref="G43:R43" si="8">ROUND($D43*G41*$E43*G$1,0)</f>
        <v>546</v>
      </c>
      <c r="H43" s="853">
        <f t="shared" si="8"/>
        <v>489</v>
      </c>
      <c r="I43" s="853">
        <f t="shared" si="8"/>
        <v>546</v>
      </c>
      <c r="J43" s="853">
        <f t="shared" si="8"/>
        <v>669</v>
      </c>
      <c r="K43" s="853">
        <f t="shared" si="8"/>
        <v>709</v>
      </c>
      <c r="L43" s="853">
        <f t="shared" si="8"/>
        <v>672</v>
      </c>
      <c r="M43" s="853">
        <f t="shared" si="8"/>
        <v>660</v>
      </c>
      <c r="N43" s="853">
        <f t="shared" si="8"/>
        <v>655</v>
      </c>
      <c r="O43" s="853">
        <f t="shared" si="8"/>
        <v>591</v>
      </c>
      <c r="P43" s="853">
        <f t="shared" si="8"/>
        <v>646</v>
      </c>
      <c r="Q43" s="853">
        <f t="shared" si="8"/>
        <v>641</v>
      </c>
      <c r="R43" s="853">
        <f t="shared" si="8"/>
        <v>680</v>
      </c>
      <c r="S43" s="853"/>
      <c r="T43" s="32">
        <f>SUM(G43:S43)</f>
        <v>7504</v>
      </c>
    </row>
    <row r="44" spans="1:21" x14ac:dyDescent="0.2">
      <c r="A44" s="573">
        <v>27340</v>
      </c>
      <c r="B44" s="852" t="s">
        <v>560</v>
      </c>
      <c r="C44" s="181" t="s">
        <v>686</v>
      </c>
      <c r="D44" s="37">
        <v>20000</v>
      </c>
      <c r="E44" s="854">
        <v>5.0000000000000001E-3</v>
      </c>
      <c r="G44" s="853">
        <f>ROUND($D44*G41*$E44*G$1,0)</f>
        <v>1364</v>
      </c>
      <c r="H44" s="853">
        <v>0</v>
      </c>
      <c r="I44" s="853">
        <v>0</v>
      </c>
      <c r="J44" s="853">
        <v>0</v>
      </c>
      <c r="K44" s="853">
        <v>0</v>
      </c>
      <c r="L44" s="853">
        <v>0</v>
      </c>
      <c r="M44" s="853">
        <v>0</v>
      </c>
      <c r="N44" s="853">
        <v>0</v>
      </c>
      <c r="O44" s="853">
        <v>0</v>
      </c>
      <c r="P44" s="853">
        <v>0</v>
      </c>
      <c r="Q44" s="853">
        <v>0</v>
      </c>
      <c r="R44" s="853">
        <v>0</v>
      </c>
      <c r="S44" s="853"/>
      <c r="T44" s="32">
        <f>SUM(G44:S44)</f>
        <v>1364</v>
      </c>
    </row>
    <row r="45" spans="1:21" x14ac:dyDescent="0.2">
      <c r="A45" s="180">
        <v>27581</v>
      </c>
      <c r="B45" s="175" t="s">
        <v>290</v>
      </c>
      <c r="C45" s="180" t="s">
        <v>687</v>
      </c>
      <c r="D45" s="37">
        <v>14000</v>
      </c>
      <c r="E45" s="854">
        <v>0</v>
      </c>
      <c r="G45" s="853">
        <v>0</v>
      </c>
      <c r="H45" s="853">
        <v>0</v>
      </c>
      <c r="I45" s="853">
        <v>0</v>
      </c>
      <c r="J45" s="853">
        <f t="shared" ref="J45:P45" si="9">ROUND($D45*J41*$E45*J$1,0)</f>
        <v>0</v>
      </c>
      <c r="K45" s="853">
        <f t="shared" si="9"/>
        <v>0</v>
      </c>
      <c r="L45" s="853">
        <f t="shared" si="9"/>
        <v>0</v>
      </c>
      <c r="M45" s="853">
        <f t="shared" si="9"/>
        <v>0</v>
      </c>
      <c r="N45" s="853">
        <f t="shared" si="9"/>
        <v>0</v>
      </c>
      <c r="O45" s="853">
        <f t="shared" si="9"/>
        <v>0</v>
      </c>
      <c r="P45" s="853">
        <f t="shared" si="9"/>
        <v>0</v>
      </c>
      <c r="Q45" s="853">
        <v>0</v>
      </c>
      <c r="R45" s="853">
        <v>0</v>
      </c>
      <c r="S45" s="853"/>
      <c r="T45" s="32">
        <f>SUM(G45:S45)</f>
        <v>0</v>
      </c>
    </row>
    <row r="46" spans="1:21" x14ac:dyDescent="0.2">
      <c r="A46" s="35"/>
      <c r="B46" s="29"/>
      <c r="C46" s="5"/>
      <c r="D46" s="37"/>
    </row>
    <row r="47" spans="1:21" x14ac:dyDescent="0.2">
      <c r="A47" s="851" t="s">
        <v>291</v>
      </c>
      <c r="B47" s="29" t="s">
        <v>692</v>
      </c>
      <c r="C47" s="5"/>
      <c r="D47" s="37"/>
      <c r="G47" s="859">
        <f>'[2]load factor study'!$C$11</f>
        <v>1.6054716981132076</v>
      </c>
      <c r="H47" s="859">
        <f>'[2]load factor study'!$D$11</f>
        <v>1.6454716981132074</v>
      </c>
      <c r="I47" s="859">
        <f>'[2]load factor study'!$E$11</f>
        <v>1.6017924528301888</v>
      </c>
      <c r="J47" s="859">
        <f>'[2]load factor study'!$F$11</f>
        <v>1.5160377358490567</v>
      </c>
      <c r="K47" s="859">
        <f>'[2]load factor study'!$G$11</f>
        <v>1.4600732256853173</v>
      </c>
      <c r="L47" s="859">
        <f>'[2]load factor study'!$H$11</f>
        <v>1.4970660843144703</v>
      </c>
      <c r="M47" s="859">
        <f>'[2]load factor study'!$I$11</f>
        <v>1.4863207547169812</v>
      </c>
      <c r="N47" s="859">
        <f>'[2]load factor study'!$J$11</f>
        <v>1.5999530604581298</v>
      </c>
      <c r="O47" s="859">
        <f>'[2]load factor study'!$K$11</f>
        <v>1.5849324070597071</v>
      </c>
      <c r="P47" s="859">
        <f>'[2]load factor study'!$L$11</f>
        <v>1.5000938790837401</v>
      </c>
      <c r="Q47" s="859">
        <f>'[2]load factor study'!$M$11</f>
        <v>1.1200826135936914</v>
      </c>
      <c r="R47" s="859">
        <f>'[2]load factor study'!$N$11</f>
        <v>1.1900056327450244</v>
      </c>
    </row>
    <row r="48" spans="1:21" x14ac:dyDescent="0.2">
      <c r="A48" s="180">
        <v>20746</v>
      </c>
      <c r="B48" s="175" t="s">
        <v>576</v>
      </c>
      <c r="C48" s="180"/>
      <c r="D48" s="37">
        <v>20000</v>
      </c>
      <c r="E48" s="854">
        <v>0</v>
      </c>
      <c r="G48" s="32">
        <f t="shared" ref="G48:R48" si="10">ROUND($D48*G47*$E48*G$1,0)</f>
        <v>0</v>
      </c>
      <c r="H48" s="32">
        <f t="shared" si="10"/>
        <v>0</v>
      </c>
      <c r="I48" s="32">
        <f t="shared" si="10"/>
        <v>0</v>
      </c>
      <c r="J48" s="32">
        <f t="shared" si="10"/>
        <v>0</v>
      </c>
      <c r="K48" s="32">
        <f t="shared" si="10"/>
        <v>0</v>
      </c>
      <c r="L48" s="32">
        <f t="shared" si="10"/>
        <v>0</v>
      </c>
      <c r="M48" s="32">
        <f t="shared" si="10"/>
        <v>0</v>
      </c>
      <c r="N48" s="32">
        <f t="shared" si="10"/>
        <v>0</v>
      </c>
      <c r="O48" s="32">
        <f t="shared" si="10"/>
        <v>0</v>
      </c>
      <c r="P48" s="32">
        <f t="shared" si="10"/>
        <v>0</v>
      </c>
      <c r="Q48" s="32">
        <f t="shared" si="10"/>
        <v>0</v>
      </c>
      <c r="R48" s="32">
        <f t="shared" si="10"/>
        <v>0</v>
      </c>
      <c r="S48" s="853"/>
      <c r="T48" s="32">
        <f>SUM(G48:S48)</f>
        <v>0</v>
      </c>
    </row>
    <row r="49" spans="1:20" x14ac:dyDescent="0.2">
      <c r="A49" s="180">
        <v>20747</v>
      </c>
      <c r="B49" s="175" t="s">
        <v>578</v>
      </c>
      <c r="C49" s="181" t="s">
        <v>683</v>
      </c>
      <c r="D49" s="37">
        <v>10000</v>
      </c>
      <c r="E49" s="854">
        <v>5.0000000000000001E-3</v>
      </c>
      <c r="G49" s="853">
        <f>ROUND($D49*G47*$E49*G$1,0)</f>
        <v>2488</v>
      </c>
      <c r="H49" s="853">
        <f>ROUND($D49*H47*$E49*H$1,0)</f>
        <v>2304</v>
      </c>
      <c r="I49" s="853">
        <v>0</v>
      </c>
      <c r="J49" s="853">
        <v>0</v>
      </c>
      <c r="K49" s="853">
        <v>0</v>
      </c>
      <c r="L49" s="853">
        <v>0</v>
      </c>
      <c r="M49" s="853">
        <v>0</v>
      </c>
      <c r="N49" s="853">
        <v>0</v>
      </c>
      <c r="O49" s="853">
        <v>0</v>
      </c>
      <c r="P49" s="853">
        <v>0</v>
      </c>
      <c r="Q49" s="853">
        <v>0</v>
      </c>
      <c r="R49" s="853">
        <v>0</v>
      </c>
      <c r="S49" s="853"/>
      <c r="T49" s="32">
        <f t="shared" ref="T49:T54" si="11">SUM(G49:S49)</f>
        <v>4792</v>
      </c>
    </row>
    <row r="50" spans="1:20" x14ac:dyDescent="0.2">
      <c r="A50" s="180">
        <v>20748</v>
      </c>
      <c r="B50" s="175" t="s">
        <v>578</v>
      </c>
      <c r="C50" s="181" t="s">
        <v>683</v>
      </c>
      <c r="D50" s="37">
        <v>10000</v>
      </c>
      <c r="E50" s="854">
        <v>5.0000000000000001E-3</v>
      </c>
      <c r="G50" s="853">
        <f>ROUND($D50*G47*$E50*G$1,0)</f>
        <v>2488</v>
      </c>
      <c r="H50" s="853">
        <f>ROUND($D50*H47*$E50*H$1,0)</f>
        <v>2304</v>
      </c>
      <c r="I50" s="853">
        <v>0</v>
      </c>
      <c r="J50" s="853">
        <v>0</v>
      </c>
      <c r="K50" s="853">
        <v>0</v>
      </c>
      <c r="L50" s="853">
        <v>0</v>
      </c>
      <c r="M50" s="853">
        <v>0</v>
      </c>
      <c r="N50" s="853">
        <v>0</v>
      </c>
      <c r="O50" s="853">
        <v>0</v>
      </c>
      <c r="P50" s="853">
        <v>0</v>
      </c>
      <c r="Q50" s="853">
        <v>0</v>
      </c>
      <c r="R50" s="853">
        <v>0</v>
      </c>
      <c r="S50" s="853"/>
      <c r="T50" s="32">
        <f t="shared" si="11"/>
        <v>4792</v>
      </c>
    </row>
    <row r="51" spans="1:20" x14ac:dyDescent="0.2">
      <c r="A51" s="180">
        <v>21165</v>
      </c>
      <c r="B51" s="175" t="s">
        <v>581</v>
      </c>
      <c r="C51" s="180"/>
      <c r="D51" s="37">
        <v>150000</v>
      </c>
      <c r="E51" s="854">
        <v>5.0000000000000001E-3</v>
      </c>
      <c r="G51" s="853">
        <f t="shared" ref="G51:R51" si="12">ROUND($D51*G47*$E51*G$1,0)</f>
        <v>37327</v>
      </c>
      <c r="H51" s="853">
        <f t="shared" si="12"/>
        <v>34555</v>
      </c>
      <c r="I51" s="853">
        <f t="shared" si="12"/>
        <v>37242</v>
      </c>
      <c r="J51" s="853">
        <f t="shared" si="12"/>
        <v>34111</v>
      </c>
      <c r="K51" s="853">
        <f t="shared" si="12"/>
        <v>33947</v>
      </c>
      <c r="L51" s="853">
        <f t="shared" si="12"/>
        <v>33684</v>
      </c>
      <c r="M51" s="853">
        <f t="shared" si="12"/>
        <v>34557</v>
      </c>
      <c r="N51" s="853">
        <f t="shared" si="12"/>
        <v>37199</v>
      </c>
      <c r="O51" s="853">
        <f t="shared" si="12"/>
        <v>35661</v>
      </c>
      <c r="P51" s="853">
        <f t="shared" si="12"/>
        <v>34877</v>
      </c>
      <c r="Q51" s="853">
        <f t="shared" si="12"/>
        <v>25202</v>
      </c>
      <c r="R51" s="853">
        <f t="shared" si="12"/>
        <v>27668</v>
      </c>
      <c r="S51" s="853"/>
      <c r="T51" s="32">
        <f t="shared" si="11"/>
        <v>406030</v>
      </c>
    </row>
    <row r="52" spans="1:20" x14ac:dyDescent="0.2">
      <c r="A52" s="180">
        <v>26372</v>
      </c>
      <c r="B52" s="175" t="s">
        <v>542</v>
      </c>
      <c r="C52" s="180"/>
      <c r="D52" s="37">
        <v>25000</v>
      </c>
      <c r="E52" s="854">
        <v>5.0000000000000001E-3</v>
      </c>
      <c r="G52" s="853">
        <f t="shared" ref="G52:R52" si="13">ROUND($D52*G47*$E52*G$1,0)</f>
        <v>6221</v>
      </c>
      <c r="H52" s="853">
        <f t="shared" si="13"/>
        <v>5759</v>
      </c>
      <c r="I52" s="853">
        <f t="shared" si="13"/>
        <v>6207</v>
      </c>
      <c r="J52" s="853">
        <f t="shared" si="13"/>
        <v>5685</v>
      </c>
      <c r="K52" s="853">
        <f t="shared" si="13"/>
        <v>5658</v>
      </c>
      <c r="L52" s="853">
        <f t="shared" si="13"/>
        <v>5614</v>
      </c>
      <c r="M52" s="853">
        <f t="shared" si="13"/>
        <v>5759</v>
      </c>
      <c r="N52" s="853">
        <f t="shared" si="13"/>
        <v>6200</v>
      </c>
      <c r="O52" s="853">
        <f t="shared" si="13"/>
        <v>5943</v>
      </c>
      <c r="P52" s="853">
        <f t="shared" si="13"/>
        <v>5813</v>
      </c>
      <c r="Q52" s="853">
        <f t="shared" si="13"/>
        <v>4200</v>
      </c>
      <c r="R52" s="853">
        <f t="shared" si="13"/>
        <v>4611</v>
      </c>
      <c r="S52" s="853"/>
      <c r="T52" s="32">
        <f t="shared" si="11"/>
        <v>67670</v>
      </c>
    </row>
    <row r="53" spans="1:20" x14ac:dyDescent="0.2">
      <c r="A53" s="180">
        <v>20822</v>
      </c>
      <c r="B53" s="175" t="s">
        <v>582</v>
      </c>
      <c r="C53" s="180"/>
      <c r="D53" s="37">
        <v>25000</v>
      </c>
      <c r="E53" s="854">
        <v>5.0000000000000001E-3</v>
      </c>
      <c r="G53" s="853">
        <f>ROUND($D53*G47*$E53*G$1,0)</f>
        <v>6221</v>
      </c>
      <c r="H53" s="853">
        <f>ROUND($D53*$E53*H$1,0)</f>
        <v>3500</v>
      </c>
      <c r="I53" s="853">
        <f t="shared" ref="I53:R53" si="14">ROUND($D53*I47*$E53*I$1,0)</f>
        <v>6207</v>
      </c>
      <c r="J53" s="853">
        <f t="shared" si="14"/>
        <v>5685</v>
      </c>
      <c r="K53" s="853">
        <f t="shared" si="14"/>
        <v>5658</v>
      </c>
      <c r="L53" s="853">
        <f t="shared" si="14"/>
        <v>5614</v>
      </c>
      <c r="M53" s="853">
        <f t="shared" si="14"/>
        <v>5759</v>
      </c>
      <c r="N53" s="853">
        <f t="shared" si="14"/>
        <v>6200</v>
      </c>
      <c r="O53" s="853">
        <f t="shared" si="14"/>
        <v>5943</v>
      </c>
      <c r="P53" s="853">
        <f t="shared" si="14"/>
        <v>5813</v>
      </c>
      <c r="Q53" s="853">
        <f t="shared" si="14"/>
        <v>4200</v>
      </c>
      <c r="R53" s="853">
        <f t="shared" si="14"/>
        <v>4611</v>
      </c>
      <c r="S53" s="853"/>
      <c r="T53" s="32">
        <f t="shared" si="11"/>
        <v>65411</v>
      </c>
    </row>
    <row r="54" spans="1:20" x14ac:dyDescent="0.2">
      <c r="A54" s="180">
        <v>26678</v>
      </c>
      <c r="B54" s="175" t="s">
        <v>544</v>
      </c>
      <c r="C54" s="180"/>
      <c r="D54" s="37">
        <v>25000</v>
      </c>
      <c r="E54" s="854">
        <v>5.0000000000000001E-3</v>
      </c>
      <c r="G54" s="853">
        <f t="shared" ref="G54:R54" si="15">ROUND($D54*G47*$E54*G$1,0)</f>
        <v>6221</v>
      </c>
      <c r="H54" s="853">
        <f t="shared" si="15"/>
        <v>5759</v>
      </c>
      <c r="I54" s="853">
        <f t="shared" si="15"/>
        <v>6207</v>
      </c>
      <c r="J54" s="853">
        <f t="shared" si="15"/>
        <v>5685</v>
      </c>
      <c r="K54" s="853">
        <f t="shared" si="15"/>
        <v>5658</v>
      </c>
      <c r="L54" s="853">
        <f t="shared" si="15"/>
        <v>5614</v>
      </c>
      <c r="M54" s="853">
        <f t="shared" si="15"/>
        <v>5759</v>
      </c>
      <c r="N54" s="853">
        <f t="shared" si="15"/>
        <v>6200</v>
      </c>
      <c r="O54" s="853">
        <f t="shared" si="15"/>
        <v>5943</v>
      </c>
      <c r="P54" s="853">
        <f t="shared" si="15"/>
        <v>5813</v>
      </c>
      <c r="Q54" s="853">
        <f t="shared" si="15"/>
        <v>4200</v>
      </c>
      <c r="R54" s="853">
        <f t="shared" si="15"/>
        <v>4611</v>
      </c>
      <c r="S54" s="853"/>
      <c r="T54" s="32">
        <f t="shared" si="11"/>
        <v>67670</v>
      </c>
    </row>
    <row r="55" spans="1:20" x14ac:dyDescent="0.2">
      <c r="A55" s="180"/>
      <c r="B55" s="175"/>
      <c r="C55" s="180"/>
      <c r="D55" s="37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32"/>
    </row>
    <row r="56" spans="1:20" x14ac:dyDescent="0.2">
      <c r="A56" s="851" t="s">
        <v>685</v>
      </c>
      <c r="B56" s="29" t="s">
        <v>692</v>
      </c>
      <c r="D56" s="37"/>
      <c r="G56" s="859">
        <f>'[2]load factor study'!$C$73</f>
        <v>0.95908602150537625</v>
      </c>
      <c r="H56" s="859">
        <f>'[2]load factor study'!$D$73</f>
        <v>0.97666666666666668</v>
      </c>
      <c r="I56" s="859">
        <f>'[2]load factor study'!$E$73</f>
        <v>0.94736559139784937</v>
      </c>
      <c r="J56" s="859">
        <f>'[2]load factor study'!$F$73</f>
        <v>0.92134408602150542</v>
      </c>
      <c r="K56" s="859">
        <f>'[2]load factor study'!$G$73</f>
        <v>0.85553763440860209</v>
      </c>
      <c r="L56" s="859">
        <f>'[2]load factor study'!$H$73</f>
        <v>0.85360215053763433</v>
      </c>
      <c r="M56" s="859">
        <f>'[2]load factor study'!$I$73</f>
        <v>0.94720430107526887</v>
      </c>
      <c r="N56" s="859">
        <f>'[2]load factor study'!$J$73</f>
        <v>0.9</v>
      </c>
      <c r="O56" s="859">
        <f>'[2]load factor study'!$K$73</f>
        <v>0.9100537634408602</v>
      </c>
      <c r="P56" s="859">
        <f>'[2]load factor study'!$L$73</f>
        <v>0.91502688172043012</v>
      </c>
      <c r="Q56" s="859">
        <f>'[2]load factor study'!$M$73</f>
        <v>0.9129516129032258</v>
      </c>
      <c r="R56" s="859">
        <f>'[2]load factor study'!$N$73</f>
        <v>0.9210376344086022</v>
      </c>
      <c r="S56" s="853"/>
      <c r="T56" s="32"/>
    </row>
    <row r="57" spans="1:20" x14ac:dyDescent="0.2">
      <c r="A57" s="180">
        <v>27454</v>
      </c>
      <c r="B57" s="175" t="s">
        <v>289</v>
      </c>
      <c r="C57" s="180"/>
      <c r="D57" s="37">
        <v>27500</v>
      </c>
      <c r="E57" s="854">
        <v>0</v>
      </c>
      <c r="G57" s="32">
        <f t="shared" ref="G57:P57" si="16">ROUND($D57*G56*$E57*G$1,0)</f>
        <v>0</v>
      </c>
      <c r="H57" s="32">
        <f t="shared" si="16"/>
        <v>0</v>
      </c>
      <c r="I57" s="32">
        <f t="shared" si="16"/>
        <v>0</v>
      </c>
      <c r="J57" s="32">
        <f t="shared" si="16"/>
        <v>0</v>
      </c>
      <c r="K57" s="32">
        <f t="shared" si="16"/>
        <v>0</v>
      </c>
      <c r="L57" s="32">
        <f t="shared" si="16"/>
        <v>0</v>
      </c>
      <c r="M57" s="32">
        <f t="shared" si="16"/>
        <v>0</v>
      </c>
      <c r="N57" s="32">
        <f t="shared" si="16"/>
        <v>0</v>
      </c>
      <c r="O57" s="32">
        <f t="shared" si="16"/>
        <v>0</v>
      </c>
      <c r="P57" s="32">
        <f t="shared" si="16"/>
        <v>0</v>
      </c>
      <c r="Q57" s="32">
        <f>ROUND($D57*$E57*Q56*Q$1,0)</f>
        <v>0</v>
      </c>
      <c r="R57" s="32">
        <f>ROUND($D57*R56*$E57*R$1,0)</f>
        <v>0</v>
      </c>
      <c r="S57" s="853"/>
      <c r="T57" s="32">
        <f>SUM(G57:S57)</f>
        <v>0</v>
      </c>
    </row>
    <row r="58" spans="1:20" x14ac:dyDescent="0.2">
      <c r="A58" s="180">
        <v>27456</v>
      </c>
      <c r="B58" s="175" t="s">
        <v>300</v>
      </c>
      <c r="C58" s="180" t="s">
        <v>682</v>
      </c>
      <c r="D58" s="37">
        <v>21500</v>
      </c>
      <c r="E58" s="854">
        <v>0</v>
      </c>
      <c r="G58" s="853">
        <v>0</v>
      </c>
      <c r="H58" s="853">
        <v>0</v>
      </c>
      <c r="I58" s="853">
        <v>0</v>
      </c>
      <c r="J58" s="853">
        <v>0</v>
      </c>
      <c r="K58" s="853">
        <v>0</v>
      </c>
      <c r="L58" s="853">
        <v>0</v>
      </c>
      <c r="M58" s="853">
        <v>0</v>
      </c>
      <c r="N58" s="853">
        <v>0</v>
      </c>
      <c r="O58" s="853">
        <v>0</v>
      </c>
      <c r="P58" s="853">
        <v>0</v>
      </c>
      <c r="Q58" s="853">
        <f>ROUND($D58*Q56*$E58*Q$1,0)</f>
        <v>0</v>
      </c>
      <c r="R58" s="853">
        <f>ROUND($D58*R56*$E58*R$1,0)</f>
        <v>0</v>
      </c>
      <c r="S58" s="853"/>
      <c r="T58" s="32">
        <f>SUM(G58:S58)</f>
        <v>0</v>
      </c>
    </row>
    <row r="59" spans="1:20" x14ac:dyDescent="0.2">
      <c r="A59" s="180">
        <v>27566</v>
      </c>
      <c r="B59" s="175" t="s">
        <v>293</v>
      </c>
      <c r="C59" s="180" t="s">
        <v>684</v>
      </c>
      <c r="D59" s="37">
        <v>20000</v>
      </c>
      <c r="E59" s="854">
        <v>5.0000000000000001E-3</v>
      </c>
      <c r="G59" s="853">
        <v>0</v>
      </c>
      <c r="H59" s="853">
        <v>0</v>
      </c>
      <c r="I59" s="853">
        <f t="shared" ref="I59:R59" si="17">ROUND($D59*I56*$E59*I$1,0)</f>
        <v>2937</v>
      </c>
      <c r="J59" s="853">
        <f t="shared" si="17"/>
        <v>2764</v>
      </c>
      <c r="K59" s="853">
        <f t="shared" si="17"/>
        <v>2652</v>
      </c>
      <c r="L59" s="853">
        <f t="shared" si="17"/>
        <v>2561</v>
      </c>
      <c r="M59" s="853">
        <f t="shared" si="17"/>
        <v>2936</v>
      </c>
      <c r="N59" s="853">
        <f t="shared" si="17"/>
        <v>2790</v>
      </c>
      <c r="O59" s="853">
        <f t="shared" si="17"/>
        <v>2730</v>
      </c>
      <c r="P59" s="853">
        <f t="shared" si="17"/>
        <v>2837</v>
      </c>
      <c r="Q59" s="853">
        <f t="shared" si="17"/>
        <v>2739</v>
      </c>
      <c r="R59" s="853">
        <f t="shared" si="17"/>
        <v>2855</v>
      </c>
      <c r="S59" s="853"/>
      <c r="T59" s="32">
        <f>SUM(G59:S59)</f>
        <v>27801</v>
      </c>
    </row>
    <row r="60" spans="1:20" x14ac:dyDescent="0.2">
      <c r="A60" s="180"/>
      <c r="B60" s="175"/>
      <c r="C60" s="180"/>
      <c r="D60" s="37"/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853"/>
      <c r="T60" s="32"/>
    </row>
    <row r="61" spans="1:20" x14ac:dyDescent="0.2">
      <c r="A61" s="851" t="s">
        <v>688</v>
      </c>
      <c r="D61" s="37"/>
      <c r="G61" s="859">
        <f>'[2]load factor study'!$C$66</f>
        <v>0.88730179842637691</v>
      </c>
      <c r="H61" s="859">
        <f>'[2]load factor study'!$D$66</f>
        <v>0.97664023071377071</v>
      </c>
      <c r="I61" s="859">
        <f>'[2]load factor study'!$E$66</f>
        <v>0.99997240315392522</v>
      </c>
      <c r="J61" s="859">
        <f>'[2]load factor study'!$F$66</f>
        <v>0.81879876394332229</v>
      </c>
      <c r="K61" s="859">
        <f>'[2]load factor study'!$G$66</f>
        <v>0.84511322612405637</v>
      </c>
      <c r="L61" s="859">
        <f>'[2]load factor study'!$H$66</f>
        <v>1.0007552973342446</v>
      </c>
      <c r="M61" s="859">
        <f>'[2]load factor study'!$I$66</f>
        <v>0.6624589086127548</v>
      </c>
      <c r="N61" s="859">
        <f>'[2]load factor study'!$J$66</f>
        <v>0.96492262132212459</v>
      </c>
      <c r="O61" s="859">
        <f>'[2]load factor study'!$K$66</f>
        <v>0.70500286587695826</v>
      </c>
      <c r="P61" s="859">
        <f>'[2]load factor study'!$L$66</f>
        <v>0.74506400458540312</v>
      </c>
      <c r="Q61" s="859">
        <f>'[2]load factor study'!$M$66</f>
        <v>0.92505254107756985</v>
      </c>
      <c r="R61" s="859">
        <f>'[2]load factor study'!$N$66</f>
        <v>1.2049073366450136</v>
      </c>
      <c r="S61" s="853"/>
      <c r="T61" s="32"/>
    </row>
    <row r="62" spans="1:20" x14ac:dyDescent="0.2">
      <c r="A62" s="180">
        <v>27370</v>
      </c>
      <c r="B62" s="175" t="s">
        <v>306</v>
      </c>
      <c r="C62" s="180"/>
      <c r="D62" s="37">
        <v>22000</v>
      </c>
      <c r="E62" s="854">
        <v>5.0000000000000001E-3</v>
      </c>
      <c r="G62" s="32">
        <f t="shared" ref="G62:R62" si="18">ROUND($D62*G61*$E62*G$1,0)</f>
        <v>3026</v>
      </c>
      <c r="H62" s="32">
        <f t="shared" si="18"/>
        <v>3008</v>
      </c>
      <c r="I62" s="32">
        <f t="shared" si="18"/>
        <v>3410</v>
      </c>
      <c r="J62" s="32">
        <f t="shared" si="18"/>
        <v>2702</v>
      </c>
      <c r="K62" s="32">
        <f t="shared" si="18"/>
        <v>2882</v>
      </c>
      <c r="L62" s="32">
        <f t="shared" si="18"/>
        <v>3302</v>
      </c>
      <c r="M62" s="32">
        <f t="shared" si="18"/>
        <v>2259</v>
      </c>
      <c r="N62" s="32">
        <f t="shared" si="18"/>
        <v>3290</v>
      </c>
      <c r="O62" s="32">
        <f t="shared" si="18"/>
        <v>2327</v>
      </c>
      <c r="P62" s="32">
        <f t="shared" si="18"/>
        <v>2541</v>
      </c>
      <c r="Q62" s="32">
        <f t="shared" si="18"/>
        <v>3053</v>
      </c>
      <c r="R62" s="32">
        <f t="shared" si="18"/>
        <v>4109</v>
      </c>
      <c r="S62" s="853"/>
      <c r="T62" s="32">
        <f>SUM(G62:S62)</f>
        <v>35909</v>
      </c>
    </row>
    <row r="63" spans="1:20" x14ac:dyDescent="0.2">
      <c r="A63" s="180">
        <v>27460</v>
      </c>
      <c r="B63" s="175" t="s">
        <v>306</v>
      </c>
      <c r="C63" s="180"/>
      <c r="D63" s="37">
        <v>55000</v>
      </c>
      <c r="E63" s="854">
        <v>5.0000000000000001E-3</v>
      </c>
      <c r="G63" s="853">
        <f t="shared" ref="G63:R63" si="19">ROUND($D63*G61*$E63*G$1,0)</f>
        <v>7564</v>
      </c>
      <c r="H63" s="853">
        <f t="shared" si="19"/>
        <v>7520</v>
      </c>
      <c r="I63" s="853">
        <f t="shared" si="19"/>
        <v>8525</v>
      </c>
      <c r="J63" s="853">
        <f t="shared" si="19"/>
        <v>6755</v>
      </c>
      <c r="K63" s="853">
        <f t="shared" si="19"/>
        <v>7205</v>
      </c>
      <c r="L63" s="853">
        <f t="shared" si="19"/>
        <v>8256</v>
      </c>
      <c r="M63" s="853">
        <f t="shared" si="19"/>
        <v>5647</v>
      </c>
      <c r="N63" s="853">
        <f t="shared" si="19"/>
        <v>8226</v>
      </c>
      <c r="O63" s="853">
        <f t="shared" si="19"/>
        <v>5816</v>
      </c>
      <c r="P63" s="853">
        <f t="shared" si="19"/>
        <v>6352</v>
      </c>
      <c r="Q63" s="853">
        <f t="shared" si="19"/>
        <v>7632</v>
      </c>
      <c r="R63" s="853">
        <f t="shared" si="19"/>
        <v>10272</v>
      </c>
      <c r="S63" s="853"/>
      <c r="T63" s="32">
        <f>SUM(G63:S63)</f>
        <v>89770</v>
      </c>
    </row>
    <row r="64" spans="1:20" x14ac:dyDescent="0.2">
      <c r="A64" s="180"/>
      <c r="B64" s="175"/>
      <c r="C64" s="180"/>
      <c r="D64" s="37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32"/>
    </row>
    <row r="65" spans="1:21" x14ac:dyDescent="0.2">
      <c r="A65" s="180"/>
      <c r="B65" s="175"/>
      <c r="C65" s="180"/>
      <c r="D65" s="37"/>
      <c r="G65" s="811"/>
      <c r="H65" s="811"/>
      <c r="I65" s="811"/>
      <c r="J65" s="811"/>
      <c r="K65" s="811"/>
      <c r="L65" s="811"/>
      <c r="M65" s="811"/>
      <c r="N65" s="811"/>
      <c r="O65" s="811"/>
      <c r="P65" s="811"/>
      <c r="Q65" s="811"/>
      <c r="R65" s="811"/>
      <c r="S65" s="811"/>
      <c r="T65" s="811"/>
      <c r="U65" s="857" t="s">
        <v>689</v>
      </c>
    </row>
    <row r="66" spans="1:21" x14ac:dyDescent="0.2">
      <c r="B66" t="s">
        <v>694</v>
      </c>
      <c r="D66" s="37"/>
      <c r="G66" s="33">
        <f t="shared" ref="G66:R66" si="20">SUM(G42:G65)</f>
        <v>94338.451859518056</v>
      </c>
      <c r="H66" s="33">
        <f t="shared" si="20"/>
        <v>83910.598778595493</v>
      </c>
      <c r="I66" s="33">
        <f t="shared" si="20"/>
        <v>92153.549130447384</v>
      </c>
      <c r="J66" s="33">
        <f t="shared" si="20"/>
        <v>89661.256180585813</v>
      </c>
      <c r="K66" s="33">
        <f t="shared" si="20"/>
        <v>91495.160724086221</v>
      </c>
      <c r="L66" s="33">
        <f t="shared" si="20"/>
        <v>91042.351423532193</v>
      </c>
      <c r="M66" s="33">
        <f t="shared" si="20"/>
        <v>88587.095983964406</v>
      </c>
      <c r="N66" s="33">
        <f t="shared" si="20"/>
        <v>95823.464875681777</v>
      </c>
      <c r="O66" s="33">
        <f t="shared" si="20"/>
        <v>87562.199989036366</v>
      </c>
      <c r="P66" s="33">
        <f t="shared" si="20"/>
        <v>89405.160184765395</v>
      </c>
      <c r="Q66" s="33">
        <f t="shared" si="20"/>
        <v>76378.958086767569</v>
      </c>
      <c r="R66" s="33">
        <f t="shared" si="20"/>
        <v>85439.315950603806</v>
      </c>
      <c r="T66" s="33">
        <f>SUM(T42:T65)</f>
        <v>1065758</v>
      </c>
      <c r="U66" s="856">
        <f>SUM(G66:S66)</f>
        <v>1065797.5631675846</v>
      </c>
    </row>
    <row r="67" spans="1:21" x14ac:dyDescent="0.2">
      <c r="D67" s="37"/>
    </row>
    <row r="68" spans="1:21" x14ac:dyDescent="0.2">
      <c r="B68" t="s">
        <v>695</v>
      </c>
      <c r="G68" s="33">
        <f>G66+G38</f>
        <v>135847.45185951807</v>
      </c>
      <c r="H68" s="33">
        <f t="shared" ref="H68:U68" si="21">H66+H38</f>
        <v>120282.59877859549</v>
      </c>
      <c r="I68" s="33">
        <f t="shared" si="21"/>
        <v>132670.54913044738</v>
      </c>
      <c r="J68" s="33">
        <f t="shared" si="21"/>
        <v>128871.25618058581</v>
      </c>
      <c r="K68" s="33">
        <f t="shared" si="21"/>
        <v>132012.16072408622</v>
      </c>
      <c r="L68" s="33">
        <f t="shared" si="21"/>
        <v>130252.35142353219</v>
      </c>
      <c r="M68" s="33">
        <f t="shared" si="21"/>
        <v>129104.09598396441</v>
      </c>
      <c r="N68" s="33">
        <f t="shared" si="21"/>
        <v>136340.46487568179</v>
      </c>
      <c r="O68" s="33">
        <f t="shared" si="21"/>
        <v>126772.19998903637</v>
      </c>
      <c r="P68" s="33">
        <f t="shared" si="21"/>
        <v>129922.16018476539</v>
      </c>
      <c r="Q68" s="33">
        <f t="shared" si="21"/>
        <v>115588.95808676757</v>
      </c>
      <c r="R68" s="33">
        <f t="shared" si="21"/>
        <v>125956.31595060381</v>
      </c>
      <c r="S68" s="33">
        <f t="shared" si="21"/>
        <v>0</v>
      </c>
      <c r="T68" s="33">
        <f t="shared" si="21"/>
        <v>1543581</v>
      </c>
      <c r="U68" s="33">
        <f t="shared" si="21"/>
        <v>1543620.5631675846</v>
      </c>
    </row>
    <row r="72" spans="1:21" x14ac:dyDescent="0.2">
      <c r="A72" s="629" t="s">
        <v>38</v>
      </c>
      <c r="G72">
        <f>ROUND(1062252/12/1000,1)</f>
        <v>88.5</v>
      </c>
      <c r="H72">
        <f t="shared" ref="H72:R72" si="22">ROUND(1062252/12/1000,1)</f>
        <v>88.5</v>
      </c>
      <c r="I72">
        <f t="shared" si="22"/>
        <v>88.5</v>
      </c>
      <c r="J72">
        <f t="shared" si="22"/>
        <v>88.5</v>
      </c>
      <c r="K72">
        <f t="shared" si="22"/>
        <v>88.5</v>
      </c>
      <c r="L72">
        <f t="shared" si="22"/>
        <v>88.5</v>
      </c>
      <c r="M72">
        <f t="shared" si="22"/>
        <v>88.5</v>
      </c>
      <c r="N72">
        <f t="shared" si="22"/>
        <v>88.5</v>
      </c>
      <c r="O72">
        <f t="shared" si="22"/>
        <v>88.5</v>
      </c>
      <c r="P72">
        <f t="shared" si="22"/>
        <v>88.5</v>
      </c>
      <c r="Q72">
        <f t="shared" si="22"/>
        <v>88.5</v>
      </c>
      <c r="R72">
        <f t="shared" si="22"/>
        <v>88.5</v>
      </c>
      <c r="T72" s="32">
        <f>SUM(G72:S72)</f>
        <v>1062</v>
      </c>
    </row>
    <row r="78" spans="1:21" x14ac:dyDescent="0.2">
      <c r="E78" t="s">
        <v>809</v>
      </c>
      <c r="G78" s="43" t="s">
        <v>57</v>
      </c>
      <c r="H78" s="43" t="s">
        <v>58</v>
      </c>
      <c r="I78" s="43" t="s">
        <v>59</v>
      </c>
      <c r="J78" s="43" t="s">
        <v>60</v>
      </c>
      <c r="K78" s="43" t="s">
        <v>1</v>
      </c>
      <c r="L78" s="43" t="s">
        <v>61</v>
      </c>
      <c r="M78" s="43" t="s">
        <v>62</v>
      </c>
      <c r="N78" s="43" t="s">
        <v>63</v>
      </c>
      <c r="O78" s="43" t="s">
        <v>64</v>
      </c>
      <c r="P78" s="43" t="s">
        <v>65</v>
      </c>
      <c r="Q78" s="43" t="s">
        <v>66</v>
      </c>
      <c r="R78" s="43" t="s">
        <v>67</v>
      </c>
    </row>
    <row r="79" spans="1:21" ht="13.5" thickBot="1" x14ac:dyDescent="0.25">
      <c r="G79" s="35">
        <v>31</v>
      </c>
      <c r="H79" s="35">
        <v>28</v>
      </c>
      <c r="I79" s="35">
        <v>31</v>
      </c>
      <c r="J79" s="35">
        <v>30</v>
      </c>
      <c r="K79" s="35">
        <v>31</v>
      </c>
      <c r="L79" s="35">
        <v>30</v>
      </c>
      <c r="M79" s="35">
        <v>31</v>
      </c>
      <c r="N79" s="35">
        <v>31</v>
      </c>
      <c r="O79" s="35">
        <v>30</v>
      </c>
      <c r="P79" s="35">
        <v>31</v>
      </c>
      <c r="Q79" s="35">
        <v>30</v>
      </c>
      <c r="R79" s="35">
        <v>31</v>
      </c>
    </row>
    <row r="80" spans="1:21" ht="13.5" thickBot="1" x14ac:dyDescent="0.25">
      <c r="A80" s="849" t="s">
        <v>807</v>
      </c>
      <c r="B80" s="847"/>
    </row>
    <row r="82" spans="1:20" x14ac:dyDescent="0.2">
      <c r="A82" s="175" t="s">
        <v>808</v>
      </c>
      <c r="B82" s="506"/>
      <c r="C82" s="152"/>
      <c r="D82" s="152"/>
      <c r="E82" s="1083">
        <v>2.0999999999999999E-3</v>
      </c>
      <c r="F82" s="152"/>
      <c r="G82" s="1082">
        <v>1687.578</v>
      </c>
      <c r="H82" s="1082">
        <v>1723.9009999999998</v>
      </c>
      <c r="I82" s="1082">
        <v>1682.7079999999999</v>
      </c>
      <c r="J82" s="1082">
        <v>1632.328</v>
      </c>
      <c r="K82" s="1082">
        <v>1635.566</v>
      </c>
      <c r="L82" s="1082">
        <v>1843.4929999999999</v>
      </c>
      <c r="M82" s="1082">
        <v>1766.5350000000001</v>
      </c>
      <c r="N82" s="1082">
        <v>1880.336</v>
      </c>
      <c r="O82" s="1082">
        <v>1763.0439999999999</v>
      </c>
      <c r="P82" s="1082">
        <v>1755.9290000000001</v>
      </c>
      <c r="Q82" s="1082">
        <v>1809.5439999999999</v>
      </c>
      <c r="R82" s="1082">
        <v>1908.3989999999999</v>
      </c>
      <c r="T82" s="1089">
        <f>AVERAGE(G82:R82)</f>
        <v>1757.4467500000001</v>
      </c>
    </row>
    <row r="84" spans="1:20" x14ac:dyDescent="0.2">
      <c r="B84" t="s">
        <v>810</v>
      </c>
      <c r="G84" s="1088">
        <f>G82*E82*G79</f>
        <v>109.8613278</v>
      </c>
      <c r="H84" s="1088">
        <f>H82*E82*H79</f>
        <v>101.36537879999997</v>
      </c>
      <c r="I84" s="1088">
        <f>I82*E82*I79</f>
        <v>109.54429079999998</v>
      </c>
      <c r="J84" s="1088">
        <f>J82*E82*J79</f>
        <v>102.836664</v>
      </c>
      <c r="K84" s="1088">
        <f>K82*E82*K79</f>
        <v>106.47534659999999</v>
      </c>
      <c r="L84" s="1088">
        <f>L82*E82*L79</f>
        <v>116.14005899999999</v>
      </c>
      <c r="M84" s="1088">
        <f>M82*E82*M79</f>
        <v>115.0014285</v>
      </c>
      <c r="N84" s="1088">
        <f>N82*E82*N79</f>
        <v>122.4098736</v>
      </c>
      <c r="O84" s="1088">
        <f>O82*E82*O79</f>
        <v>111.07177199999998</v>
      </c>
      <c r="P84" s="1088">
        <f>P82*0.0022*P79</f>
        <v>119.75435780000001</v>
      </c>
      <c r="Q84" s="1088">
        <f>Q82*0.00215*Q79</f>
        <v>116.715588</v>
      </c>
      <c r="R84" s="1088">
        <f>R82*E82*R79</f>
        <v>124.23677489999999</v>
      </c>
      <c r="S84" s="1088"/>
      <c r="T84" s="1090">
        <f>SUM(G84:S84)/1000</f>
        <v>1.3554128617999999</v>
      </c>
    </row>
    <row r="87" spans="1:20" x14ac:dyDescent="0.2">
      <c r="G87" s="1088">
        <v>109</v>
      </c>
      <c r="H87" s="1088">
        <v>109</v>
      </c>
      <c r="I87" s="1088">
        <v>109</v>
      </c>
      <c r="J87" s="1088">
        <v>109</v>
      </c>
      <c r="K87" s="1088">
        <v>109</v>
      </c>
      <c r="L87" s="1088">
        <v>109</v>
      </c>
      <c r="M87" s="1088">
        <v>109</v>
      </c>
      <c r="N87" s="1088">
        <v>109</v>
      </c>
      <c r="O87" s="1088">
        <v>109</v>
      </c>
      <c r="P87" s="1088">
        <v>116</v>
      </c>
      <c r="Q87" s="1088">
        <v>117</v>
      </c>
      <c r="R87" s="1088">
        <v>117</v>
      </c>
      <c r="S87" s="1088"/>
      <c r="T87" s="1090">
        <f>SUM(G87:S87)/1000</f>
        <v>1.331</v>
      </c>
    </row>
  </sheetData>
  <phoneticPr fontId="10" type="noConversion"/>
  <pageMargins left="0.25" right="0.25" top="0.5" bottom="0.25" header="0.25" footer="0.25"/>
  <pageSetup scale="4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A7" zoomScale="75" workbookViewId="0">
      <pane xSplit="6" ySplit="4" topLeftCell="AT11" activePane="bottomRight" state="frozen"/>
      <selection activeCell="A7" sqref="A7"/>
      <selection pane="topRight" activeCell="G7" sqref="G7"/>
      <selection pane="bottomLeft" activeCell="A11" sqref="A11"/>
      <selection pane="bottomRight" activeCell="AY171" sqref="AY171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6.140625" customWidth="1"/>
    <col min="4" max="4" width="13" style="35" customWidth="1"/>
    <col min="5" max="5" width="12.140625" style="35" customWidth="1"/>
    <col min="6" max="6" width="10.7109375" style="824" customWidth="1"/>
    <col min="7" max="7" width="12.5703125" style="748" customWidth="1"/>
    <col min="8" max="8" width="10.85546875" style="748" customWidth="1"/>
    <col min="9" max="9" width="11.7109375" style="748" customWidth="1"/>
    <col min="10" max="10" width="14" style="748" customWidth="1"/>
    <col min="11" max="11" width="11" style="748" customWidth="1"/>
    <col min="12" max="12" width="15" customWidth="1"/>
    <col min="13" max="17" width="11.7109375" customWidth="1"/>
    <col min="18" max="18" width="11.7109375" bestFit="1" customWidth="1"/>
    <col min="19" max="20" width="11.7109375" customWidth="1"/>
    <col min="21" max="21" width="11.7109375" bestFit="1" customWidth="1"/>
    <col min="22" max="23" width="11.7109375" customWidth="1"/>
    <col min="24" max="24" width="11.7109375" bestFit="1" customWidth="1"/>
    <col min="25" max="26" width="11.7109375" customWidth="1"/>
    <col min="27" max="29" width="14.42578125" customWidth="1"/>
    <col min="30" max="32" width="14.5703125" customWidth="1"/>
    <col min="33" max="35" width="14" customWidth="1"/>
    <col min="36" max="38" width="13.85546875" customWidth="1"/>
    <col min="39" max="41" width="13.28515625" customWidth="1"/>
    <col min="42" max="42" width="14.7109375" customWidth="1"/>
    <col min="43" max="44" width="13" customWidth="1"/>
    <col min="45" max="45" width="13.42578125" customWidth="1"/>
    <col min="46" max="46" width="4.5703125" customWidth="1"/>
    <col min="47" max="47" width="13.7109375" customWidth="1"/>
    <col min="48" max="48" width="15.42578125" customWidth="1"/>
    <col min="49" max="49" width="15" customWidth="1"/>
    <col min="50" max="50" width="2.7109375" customWidth="1"/>
    <col min="51" max="51" width="13.42578125" customWidth="1"/>
    <col min="52" max="52" width="13.140625" customWidth="1"/>
  </cols>
  <sheetData>
    <row r="1" spans="1:52" x14ac:dyDescent="0.2">
      <c r="A1" s="741" t="s">
        <v>0</v>
      </c>
    </row>
    <row r="2" spans="1:52" x14ac:dyDescent="0.2">
      <c r="A2" s="741" t="s">
        <v>662</v>
      </c>
      <c r="F2" s="1107">
        <f ca="1">NOW()</f>
        <v>41885.92788761574</v>
      </c>
      <c r="G2" s="1107"/>
    </row>
    <row r="3" spans="1:52" x14ac:dyDescent="0.2">
      <c r="A3" s="741" t="s">
        <v>661</v>
      </c>
    </row>
    <row r="5" spans="1:52" x14ac:dyDescent="0.2">
      <c r="A5" s="741"/>
      <c r="D5" s="805"/>
    </row>
    <row r="7" spans="1:52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2" x14ac:dyDescent="0.2">
      <c r="J8" s="1106" t="s">
        <v>57</v>
      </c>
      <c r="K8" s="1106"/>
      <c r="L8" s="1106"/>
      <c r="M8" s="1106" t="s">
        <v>58</v>
      </c>
      <c r="N8" s="1106"/>
      <c r="O8" s="1106"/>
      <c r="P8" s="1106" t="s">
        <v>59</v>
      </c>
      <c r="Q8" s="1106"/>
      <c r="R8" s="1106"/>
      <c r="S8" s="1106" t="s">
        <v>60</v>
      </c>
      <c r="T8" s="1106"/>
      <c r="U8" s="1106"/>
      <c r="V8" s="1106" t="s">
        <v>1</v>
      </c>
      <c r="W8" s="1106"/>
      <c r="X8" s="1106"/>
      <c r="Y8" s="1106" t="s">
        <v>61</v>
      </c>
      <c r="Z8" s="1106"/>
      <c r="AA8" s="1106"/>
      <c r="AB8" s="1106" t="s">
        <v>62</v>
      </c>
      <c r="AC8" s="1106"/>
      <c r="AD8" s="1106"/>
      <c r="AE8" s="1106" t="s">
        <v>63</v>
      </c>
      <c r="AF8" s="1106"/>
      <c r="AG8" s="1106"/>
      <c r="AH8" s="1106" t="s">
        <v>64</v>
      </c>
      <c r="AI8" s="1106"/>
      <c r="AJ8" s="1106"/>
      <c r="AK8" s="1106" t="s">
        <v>65</v>
      </c>
      <c r="AL8" s="1106"/>
      <c r="AM8" s="1106"/>
      <c r="AN8" s="1106" t="s">
        <v>66</v>
      </c>
      <c r="AO8" s="1106"/>
      <c r="AP8" s="1106"/>
      <c r="AQ8" s="1106" t="s">
        <v>67</v>
      </c>
      <c r="AR8" s="1106"/>
      <c r="AS8" s="1106"/>
    </row>
    <row r="9" spans="1:52" x14ac:dyDescent="0.2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 t="s">
        <v>656</v>
      </c>
      <c r="AV9" s="3" t="s">
        <v>659</v>
      </c>
    </row>
    <row r="10" spans="1:52" ht="13.5" thickBot="1" x14ac:dyDescent="0.25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 t="s">
        <v>657</v>
      </c>
      <c r="AV10" s="803" t="s">
        <v>660</v>
      </c>
      <c r="AY10" s="3" t="s">
        <v>746</v>
      </c>
      <c r="AZ10" s="3" t="s">
        <v>747</v>
      </c>
    </row>
    <row r="11" spans="1:52" x14ac:dyDescent="0.2">
      <c r="A11" s="758" t="s">
        <v>667</v>
      </c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</row>
    <row r="12" spans="1:52" x14ac:dyDescent="0.2">
      <c r="A12" s="743" t="s">
        <v>626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52" x14ac:dyDescent="0.2">
      <c r="A13" s="629">
        <v>24194</v>
      </c>
      <c r="B13" t="s">
        <v>521</v>
      </c>
      <c r="C13" t="s">
        <v>664</v>
      </c>
      <c r="D13" s="745" t="s">
        <v>665</v>
      </c>
      <c r="E13" s="745">
        <v>37164</v>
      </c>
      <c r="F13" s="824">
        <v>-40000</v>
      </c>
      <c r="G13" s="748">
        <v>0.1007</v>
      </c>
      <c r="I13" s="748">
        <f>SUM(G13:H13)</f>
        <v>0.1007</v>
      </c>
      <c r="J13" s="455">
        <f>$F13</f>
        <v>-40000</v>
      </c>
      <c r="K13" s="748">
        <v>0.10150000000000001</v>
      </c>
      <c r="L13" s="32">
        <f>J13*K13*L$7</f>
        <v>-125860.00000000001</v>
      </c>
      <c r="M13" s="455">
        <f>$F13</f>
        <v>-40000</v>
      </c>
      <c r="N13" s="748">
        <v>0.1042</v>
      </c>
      <c r="O13" s="32">
        <f>M13*N13*O$7</f>
        <v>-116704</v>
      </c>
      <c r="P13" s="455">
        <v>-25000</v>
      </c>
      <c r="Q13" s="748">
        <v>0.1047</v>
      </c>
      <c r="R13" s="32">
        <f>P13*Q13*R$7</f>
        <v>-81142.5</v>
      </c>
      <c r="S13" s="455">
        <v>-25000</v>
      </c>
      <c r="T13" s="748">
        <v>0.105</v>
      </c>
      <c r="U13" s="32">
        <f>S13*T13*U$7</f>
        <v>-78750</v>
      </c>
      <c r="V13" s="455">
        <v>-10000</v>
      </c>
      <c r="W13" s="748">
        <v>0.105</v>
      </c>
      <c r="X13" s="32">
        <f>V13*W13*X$7</f>
        <v>-32550</v>
      </c>
      <c r="Y13" s="455">
        <v>-10000</v>
      </c>
      <c r="Z13" s="748">
        <v>0.105</v>
      </c>
      <c r="AA13" s="32">
        <f>Y13*Z13*AA$7</f>
        <v>-31500</v>
      </c>
      <c r="AB13" s="455">
        <v>-10000</v>
      </c>
      <c r="AC13" s="748">
        <v>0.105</v>
      </c>
      <c r="AD13" s="32">
        <f>AB13*AC13*AD$7</f>
        <v>-32550</v>
      </c>
      <c r="AE13" s="455">
        <v>-10000</v>
      </c>
      <c r="AF13" s="748">
        <v>0.105</v>
      </c>
      <c r="AG13" s="32">
        <f>AE13*AF13*AG$7</f>
        <v>-32550</v>
      </c>
      <c r="AH13" s="455">
        <v>-10000</v>
      </c>
      <c r="AI13" s="748">
        <v>0.105</v>
      </c>
      <c r="AJ13" s="32">
        <f>AH13*AI13*AJ$7</f>
        <v>-31500</v>
      </c>
      <c r="AK13" s="455">
        <v>0</v>
      </c>
      <c r="AL13" s="748">
        <f>$G13</f>
        <v>0.1007</v>
      </c>
      <c r="AM13" s="32">
        <f>AK13*AL13*AM$7</f>
        <v>0</v>
      </c>
      <c r="AN13" s="455">
        <v>0</v>
      </c>
      <c r="AO13" s="748">
        <f>$G13</f>
        <v>0.1007</v>
      </c>
      <c r="AP13" s="32">
        <f>AN13*AO13*AP$7</f>
        <v>0</v>
      </c>
      <c r="AQ13" s="455">
        <v>0</v>
      </c>
      <c r="AR13" s="748">
        <f>$G13</f>
        <v>0.1007</v>
      </c>
      <c r="AS13" s="32">
        <f>AQ13*AR13*AS$7</f>
        <v>0</v>
      </c>
      <c r="AT13" s="32"/>
      <c r="AV13" s="33">
        <f t="shared" ref="AV13:AV24" si="0">AS13+AP13+AM13+AJ13+AG13+AD13+AA13+X13+U13+R13+O13+L13</f>
        <v>-563106.5</v>
      </c>
    </row>
    <row r="14" spans="1:52" x14ac:dyDescent="0.2">
      <c r="A14" s="629">
        <v>27606</v>
      </c>
      <c r="B14" t="s">
        <v>521</v>
      </c>
      <c r="C14" t="s">
        <v>664</v>
      </c>
      <c r="D14" s="745">
        <v>37165</v>
      </c>
      <c r="E14" s="745">
        <v>38990</v>
      </c>
      <c r="F14" s="824">
        <v>-80000</v>
      </c>
      <c r="G14" s="748">
        <v>0.08</v>
      </c>
      <c r="I14" s="748">
        <f>SUM(G14:H14)</f>
        <v>0.08</v>
      </c>
      <c r="J14" s="455">
        <v>0</v>
      </c>
      <c r="K14" s="748">
        <f t="shared" ref="K14:K47" si="1">$G14</f>
        <v>0.08</v>
      </c>
      <c r="L14" s="32">
        <f t="shared" ref="L14:L24" si="2">J14*K14*L$7</f>
        <v>0</v>
      </c>
      <c r="M14" s="455">
        <v>0</v>
      </c>
      <c r="N14" s="748">
        <f t="shared" ref="N14:N47" si="3">$G14</f>
        <v>0.08</v>
      </c>
      <c r="O14" s="32">
        <f t="shared" ref="O14:O24" si="4">M14*N14*O$7</f>
        <v>0</v>
      </c>
      <c r="P14" s="455">
        <v>0</v>
      </c>
      <c r="Q14" s="748">
        <f t="shared" ref="Q14:Q47" si="5">$G14</f>
        <v>0.08</v>
      </c>
      <c r="R14" s="32">
        <f t="shared" ref="R14:R24" si="6">P14*Q14*R$7</f>
        <v>0</v>
      </c>
      <c r="S14" s="455">
        <v>0</v>
      </c>
      <c r="T14" s="748">
        <f t="shared" ref="T14:T47" si="7">$G14</f>
        <v>0.08</v>
      </c>
      <c r="U14" s="32">
        <f t="shared" ref="U14:U24" si="8">S14*T14*U$7</f>
        <v>0</v>
      </c>
      <c r="V14" s="455">
        <v>0</v>
      </c>
      <c r="W14" s="748">
        <f t="shared" ref="W14:W47" si="9">$G14</f>
        <v>0.08</v>
      </c>
      <c r="X14" s="32">
        <f t="shared" ref="X14:X24" si="10">V14*W14*X$7</f>
        <v>0</v>
      </c>
      <c r="Y14" s="455">
        <v>0</v>
      </c>
      <c r="Z14" s="748">
        <f t="shared" ref="Z14:Z47" si="11">$G14</f>
        <v>0.08</v>
      </c>
      <c r="AA14" s="32">
        <f t="shared" ref="AA14:AA24" si="12">Y14*Z14*AA$7</f>
        <v>0</v>
      </c>
      <c r="AB14" s="455">
        <v>0</v>
      </c>
      <c r="AC14" s="748">
        <f t="shared" ref="AC14:AC47" si="13">$G14</f>
        <v>0.08</v>
      </c>
      <c r="AD14" s="32">
        <f t="shared" ref="AD14:AD24" si="14">AB14*AC14*AD$7</f>
        <v>0</v>
      </c>
      <c r="AE14" s="455">
        <v>0</v>
      </c>
      <c r="AF14" s="748">
        <f t="shared" ref="AF14:AF47" si="15">$G14</f>
        <v>0.08</v>
      </c>
      <c r="AG14" s="32">
        <f t="shared" ref="AG14:AG24" si="16">AE14*AF14*AG$7</f>
        <v>0</v>
      </c>
      <c r="AH14" s="455">
        <v>0</v>
      </c>
      <c r="AI14" s="748">
        <f t="shared" ref="AI14:AI47" si="17">$G14</f>
        <v>0.08</v>
      </c>
      <c r="AJ14" s="32">
        <f t="shared" ref="AJ14:AJ24" si="18">AH14*AI14*AJ$7</f>
        <v>0</v>
      </c>
      <c r="AK14" s="455">
        <v>-35000</v>
      </c>
      <c r="AL14" s="748">
        <f t="shared" ref="AL14:AL47" si="19">$G14</f>
        <v>0.08</v>
      </c>
      <c r="AM14" s="32">
        <f t="shared" ref="AM14:AM24" si="20">AK14*AL14*AM$7</f>
        <v>-86800</v>
      </c>
      <c r="AN14" s="455">
        <f t="shared" ref="AN14:AN47" si="21">$F14</f>
        <v>-80000</v>
      </c>
      <c r="AO14" s="748">
        <f t="shared" ref="AO14:AO47" si="22">$G14</f>
        <v>0.08</v>
      </c>
      <c r="AP14" s="32">
        <f t="shared" ref="AP14:AP24" si="23">AN14*AO14*AP$7</f>
        <v>-192000</v>
      </c>
      <c r="AQ14" s="455">
        <f t="shared" ref="AQ14:AQ47" si="24">$F14</f>
        <v>-80000</v>
      </c>
      <c r="AR14" s="748">
        <f t="shared" ref="AR14:AR47" si="25">$G14</f>
        <v>0.08</v>
      </c>
      <c r="AS14" s="32">
        <f t="shared" ref="AS14:AS24" si="26">AQ14*AR14*AS$7</f>
        <v>-198400</v>
      </c>
      <c r="AT14" s="32"/>
      <c r="AV14" s="33">
        <f t="shared" si="0"/>
        <v>-477200</v>
      </c>
    </row>
    <row r="15" spans="1:52" x14ac:dyDescent="0.2">
      <c r="A15" s="629">
        <v>27607</v>
      </c>
      <c r="B15" t="s">
        <v>521</v>
      </c>
      <c r="C15" t="s">
        <v>450</v>
      </c>
      <c r="D15" s="745">
        <v>37165</v>
      </c>
      <c r="E15" s="745">
        <v>38990</v>
      </c>
      <c r="F15" s="824">
        <v>80000</v>
      </c>
      <c r="G15" s="748">
        <v>0.08</v>
      </c>
      <c r="I15" s="748">
        <f>SUM(G15:H15)</f>
        <v>0.08</v>
      </c>
      <c r="J15" s="455">
        <f t="shared" ref="J15:J47" si="27">$F15</f>
        <v>80000</v>
      </c>
      <c r="K15" s="748">
        <f t="shared" si="1"/>
        <v>0.08</v>
      </c>
      <c r="L15" s="32">
        <f t="shared" si="2"/>
        <v>198400</v>
      </c>
      <c r="M15" s="455">
        <f t="shared" ref="M15:M47" si="28">$F15</f>
        <v>80000</v>
      </c>
      <c r="N15" s="748">
        <f t="shared" si="3"/>
        <v>0.08</v>
      </c>
      <c r="O15" s="32">
        <f t="shared" si="4"/>
        <v>179200</v>
      </c>
      <c r="P15" s="455">
        <v>35000</v>
      </c>
      <c r="Q15" s="748">
        <f t="shared" si="5"/>
        <v>0.08</v>
      </c>
      <c r="R15" s="32">
        <f t="shared" si="6"/>
        <v>86800</v>
      </c>
      <c r="S15" s="455">
        <v>35000</v>
      </c>
      <c r="T15" s="748">
        <f t="shared" si="7"/>
        <v>0.08</v>
      </c>
      <c r="U15" s="32">
        <f t="shared" si="8"/>
        <v>84000</v>
      </c>
      <c r="V15" s="455">
        <v>20000</v>
      </c>
      <c r="W15" s="748">
        <f t="shared" si="9"/>
        <v>0.08</v>
      </c>
      <c r="X15" s="32">
        <f t="shared" si="10"/>
        <v>49600</v>
      </c>
      <c r="Y15" s="455">
        <v>20000</v>
      </c>
      <c r="Z15" s="748">
        <f t="shared" si="11"/>
        <v>0.08</v>
      </c>
      <c r="AA15" s="32">
        <f t="shared" si="12"/>
        <v>48000</v>
      </c>
      <c r="AB15" s="455">
        <v>20000</v>
      </c>
      <c r="AC15" s="748">
        <f t="shared" si="13"/>
        <v>0.08</v>
      </c>
      <c r="AD15" s="32">
        <f t="shared" si="14"/>
        <v>49600</v>
      </c>
      <c r="AE15" s="455">
        <v>20000</v>
      </c>
      <c r="AF15" s="748">
        <f t="shared" si="15"/>
        <v>0.08</v>
      </c>
      <c r="AG15" s="32">
        <f t="shared" si="16"/>
        <v>49600</v>
      </c>
      <c r="AH15" s="455">
        <v>20000</v>
      </c>
      <c r="AI15" s="748">
        <f t="shared" si="17"/>
        <v>0.08</v>
      </c>
      <c r="AJ15" s="32">
        <f t="shared" si="18"/>
        <v>48000</v>
      </c>
      <c r="AK15" s="455">
        <v>35000</v>
      </c>
      <c r="AL15" s="748">
        <f t="shared" si="19"/>
        <v>0.08</v>
      </c>
      <c r="AM15" s="32">
        <f t="shared" si="20"/>
        <v>86800</v>
      </c>
      <c r="AN15" s="455">
        <f t="shared" si="21"/>
        <v>80000</v>
      </c>
      <c r="AO15" s="748">
        <f t="shared" si="22"/>
        <v>0.08</v>
      </c>
      <c r="AP15" s="32">
        <f t="shared" si="23"/>
        <v>192000</v>
      </c>
      <c r="AQ15" s="455">
        <f t="shared" si="24"/>
        <v>80000</v>
      </c>
      <c r="AR15" s="748">
        <f t="shared" si="25"/>
        <v>0.08</v>
      </c>
      <c r="AS15" s="32">
        <f t="shared" si="26"/>
        <v>198400</v>
      </c>
      <c r="AT15" s="32"/>
      <c r="AV15" s="33">
        <f t="shared" si="0"/>
        <v>1270400</v>
      </c>
    </row>
    <row r="16" spans="1:52" x14ac:dyDescent="0.2">
      <c r="D16" s="745"/>
      <c r="E16" s="745"/>
      <c r="J16" s="455"/>
      <c r="L16" s="32"/>
      <c r="M16" s="455"/>
      <c r="N16" s="748"/>
      <c r="O16" s="32"/>
      <c r="P16" s="455"/>
      <c r="Q16" s="748"/>
      <c r="R16" s="32"/>
      <c r="S16" s="455"/>
      <c r="T16" s="748"/>
      <c r="U16" s="32"/>
      <c r="V16" s="455"/>
      <c r="W16" s="748"/>
      <c r="X16" s="32"/>
      <c r="Y16" s="455"/>
      <c r="Z16" s="748"/>
      <c r="AA16" s="32"/>
      <c r="AB16" s="455"/>
      <c r="AC16" s="748"/>
      <c r="AD16" s="32"/>
      <c r="AE16" s="455"/>
      <c r="AF16" s="748"/>
      <c r="AG16" s="32"/>
      <c r="AH16" s="455"/>
      <c r="AI16" s="748"/>
      <c r="AJ16" s="32"/>
      <c r="AK16" s="455"/>
      <c r="AL16" s="748"/>
      <c r="AM16" s="32"/>
      <c r="AN16" s="455"/>
      <c r="AO16" s="748"/>
      <c r="AP16" s="32"/>
      <c r="AQ16" s="455"/>
      <c r="AR16" s="748"/>
      <c r="AS16" s="32"/>
      <c r="AT16" s="32"/>
      <c r="AV16" s="33"/>
    </row>
    <row r="17" spans="1:48" x14ac:dyDescent="0.2">
      <c r="A17" s="629">
        <v>24198</v>
      </c>
      <c r="B17" t="s">
        <v>311</v>
      </c>
      <c r="C17" t="s">
        <v>664</v>
      </c>
      <c r="D17" s="745">
        <v>34851</v>
      </c>
      <c r="E17" s="745">
        <v>37406</v>
      </c>
      <c r="F17" s="824">
        <v>-35714</v>
      </c>
      <c r="G17" s="748">
        <v>0.105</v>
      </c>
      <c r="I17" s="748">
        <f t="shared" ref="I17:I23" si="29">SUM(G17:H17)</f>
        <v>0.105</v>
      </c>
      <c r="J17" s="455">
        <f t="shared" si="27"/>
        <v>-35714</v>
      </c>
      <c r="K17" s="748">
        <v>9.0700000000000003E-2</v>
      </c>
      <c r="L17" s="32">
        <f t="shared" si="2"/>
        <v>-100417.05380000001</v>
      </c>
      <c r="M17" s="455">
        <f t="shared" si="28"/>
        <v>-35714</v>
      </c>
      <c r="N17" s="748">
        <v>9.0700000000000003E-2</v>
      </c>
      <c r="O17" s="32">
        <f t="shared" si="4"/>
        <v>-90699.274400000009</v>
      </c>
      <c r="P17" s="455">
        <f t="shared" ref="P17:P47" si="30">$F17</f>
        <v>-35714</v>
      </c>
      <c r="Q17" s="748">
        <v>9.0700000000000003E-2</v>
      </c>
      <c r="R17" s="32">
        <f t="shared" si="6"/>
        <v>-100417.05380000001</v>
      </c>
      <c r="S17" s="455">
        <f t="shared" ref="S17:S47" si="31">$F17</f>
        <v>-35714</v>
      </c>
      <c r="T17" s="748">
        <v>9.0700000000000003E-2</v>
      </c>
      <c r="U17" s="32">
        <f t="shared" si="8"/>
        <v>-97177.794000000009</v>
      </c>
      <c r="V17" s="455">
        <f t="shared" ref="V17:V47" si="32">$F17</f>
        <v>-35714</v>
      </c>
      <c r="W17" s="748">
        <v>9.0700000000000003E-2</v>
      </c>
      <c r="X17" s="32">
        <f t="shared" si="10"/>
        <v>-100417.05380000001</v>
      </c>
      <c r="Y17" s="455">
        <f t="shared" ref="Y17:Y47" si="33">$F17</f>
        <v>-35714</v>
      </c>
      <c r="Z17" s="748">
        <f t="shared" si="11"/>
        <v>0.105</v>
      </c>
      <c r="AA17" s="32">
        <f t="shared" si="12"/>
        <v>-112499.09999999999</v>
      </c>
      <c r="AB17" s="455">
        <f t="shared" ref="AB17:AB47" si="34">$F17</f>
        <v>-35714</v>
      </c>
      <c r="AC17" s="748">
        <f t="shared" si="13"/>
        <v>0.105</v>
      </c>
      <c r="AD17" s="32">
        <f t="shared" si="14"/>
        <v>-116249.06999999999</v>
      </c>
      <c r="AE17" s="455">
        <f t="shared" ref="AE17:AE47" si="35">$F17</f>
        <v>-35714</v>
      </c>
      <c r="AF17" s="748">
        <f t="shared" si="15"/>
        <v>0.105</v>
      </c>
      <c r="AG17" s="32">
        <f t="shared" si="16"/>
        <v>-116249.06999999999</v>
      </c>
      <c r="AH17" s="455">
        <f t="shared" ref="AH17:AH47" si="36">$F17</f>
        <v>-35714</v>
      </c>
      <c r="AI17" s="748">
        <f t="shared" si="17"/>
        <v>0.105</v>
      </c>
      <c r="AJ17" s="32">
        <f t="shared" si="18"/>
        <v>-112499.09999999999</v>
      </c>
      <c r="AK17" s="455">
        <f t="shared" ref="AK17:AK47" si="37">$F17</f>
        <v>-35714</v>
      </c>
      <c r="AL17" s="748">
        <f t="shared" si="19"/>
        <v>0.105</v>
      </c>
      <c r="AM17" s="32">
        <f t="shared" si="20"/>
        <v>-116249.06999999999</v>
      </c>
      <c r="AN17" s="455">
        <f t="shared" si="21"/>
        <v>-35714</v>
      </c>
      <c r="AO17" s="748">
        <f t="shared" si="22"/>
        <v>0.105</v>
      </c>
      <c r="AP17" s="32">
        <f t="shared" si="23"/>
        <v>-112499.09999999999</v>
      </c>
      <c r="AQ17" s="455">
        <f t="shared" si="24"/>
        <v>-35714</v>
      </c>
      <c r="AR17" s="748">
        <f t="shared" si="25"/>
        <v>0.105</v>
      </c>
      <c r="AS17" s="32">
        <f t="shared" si="26"/>
        <v>-116249.06999999999</v>
      </c>
      <c r="AT17" s="32"/>
      <c r="AV17" s="33">
        <f t="shared" si="0"/>
        <v>-1291621.8097999999</v>
      </c>
    </row>
    <row r="18" spans="1:48" x14ac:dyDescent="0.2">
      <c r="A18" s="629">
        <v>24198</v>
      </c>
      <c r="B18" t="s">
        <v>311</v>
      </c>
      <c r="C18" t="s">
        <v>450</v>
      </c>
      <c r="D18" s="745">
        <v>34851</v>
      </c>
      <c r="E18" s="745">
        <v>37406</v>
      </c>
      <c r="F18" s="824">
        <v>35714</v>
      </c>
      <c r="G18" s="748">
        <v>0.105</v>
      </c>
      <c r="I18" s="748">
        <f>SUM(G18:H18)</f>
        <v>0.105</v>
      </c>
      <c r="J18" s="455">
        <f t="shared" si="27"/>
        <v>35714</v>
      </c>
      <c r="K18" s="748">
        <f t="shared" si="1"/>
        <v>0.105</v>
      </c>
      <c r="L18" s="32">
        <f t="shared" si="2"/>
        <v>116249.06999999999</v>
      </c>
      <c r="M18" s="455">
        <f t="shared" si="28"/>
        <v>35714</v>
      </c>
      <c r="N18" s="748">
        <f t="shared" si="3"/>
        <v>0.105</v>
      </c>
      <c r="O18" s="32">
        <f t="shared" si="4"/>
        <v>104999.15999999999</v>
      </c>
      <c r="P18" s="455">
        <f t="shared" si="30"/>
        <v>35714</v>
      </c>
      <c r="Q18" s="748">
        <f t="shared" si="5"/>
        <v>0.105</v>
      </c>
      <c r="R18" s="32">
        <f t="shared" si="6"/>
        <v>116249.06999999999</v>
      </c>
      <c r="S18" s="455">
        <f t="shared" si="31"/>
        <v>35714</v>
      </c>
      <c r="T18" s="748">
        <f t="shared" si="7"/>
        <v>0.105</v>
      </c>
      <c r="U18" s="32">
        <f t="shared" si="8"/>
        <v>112499.09999999999</v>
      </c>
      <c r="V18" s="455">
        <f t="shared" si="32"/>
        <v>35714</v>
      </c>
      <c r="W18" s="748">
        <f t="shared" si="9"/>
        <v>0.105</v>
      </c>
      <c r="X18" s="32">
        <f t="shared" si="10"/>
        <v>116249.06999999999</v>
      </c>
      <c r="Y18" s="455">
        <v>0</v>
      </c>
      <c r="Z18" s="748">
        <f t="shared" si="11"/>
        <v>0.105</v>
      </c>
      <c r="AA18" s="32">
        <f t="shared" si="12"/>
        <v>0</v>
      </c>
      <c r="AB18" s="455">
        <v>0</v>
      </c>
      <c r="AC18" s="748">
        <f t="shared" si="13"/>
        <v>0.105</v>
      </c>
      <c r="AD18" s="32">
        <f t="shared" si="14"/>
        <v>0</v>
      </c>
      <c r="AE18" s="455">
        <v>0</v>
      </c>
      <c r="AF18" s="748">
        <f t="shared" si="15"/>
        <v>0.105</v>
      </c>
      <c r="AG18" s="32">
        <f t="shared" si="16"/>
        <v>0</v>
      </c>
      <c r="AH18" s="455">
        <v>0</v>
      </c>
      <c r="AI18" s="748">
        <f t="shared" si="17"/>
        <v>0.105</v>
      </c>
      <c r="AJ18" s="32">
        <f t="shared" si="18"/>
        <v>0</v>
      </c>
      <c r="AK18" s="455">
        <v>0</v>
      </c>
      <c r="AL18" s="748">
        <f t="shared" si="19"/>
        <v>0.105</v>
      </c>
      <c r="AM18" s="32">
        <f t="shared" si="20"/>
        <v>0</v>
      </c>
      <c r="AN18" s="455">
        <v>0</v>
      </c>
      <c r="AO18" s="748">
        <f t="shared" si="22"/>
        <v>0.105</v>
      </c>
      <c r="AP18" s="32">
        <f t="shared" si="23"/>
        <v>0</v>
      </c>
      <c r="AQ18" s="455">
        <v>0</v>
      </c>
      <c r="AR18" s="748">
        <f t="shared" si="25"/>
        <v>0.105</v>
      </c>
      <c r="AS18" s="32">
        <f t="shared" si="26"/>
        <v>0</v>
      </c>
      <c r="AT18" s="32"/>
      <c r="AV18" s="33">
        <f t="shared" si="0"/>
        <v>566245.47</v>
      </c>
    </row>
    <row r="19" spans="1:48" x14ac:dyDescent="0.2">
      <c r="A19" s="629">
        <v>24198</v>
      </c>
      <c r="B19" t="s">
        <v>629</v>
      </c>
      <c r="C19" t="s">
        <v>450</v>
      </c>
      <c r="D19" s="745">
        <v>37408</v>
      </c>
      <c r="E19" s="745">
        <v>37621</v>
      </c>
      <c r="F19" s="824">
        <v>35714</v>
      </c>
      <c r="G19" s="748">
        <v>0.105</v>
      </c>
      <c r="I19" s="748">
        <f>SUM(G19:H19)</f>
        <v>0.105</v>
      </c>
      <c r="J19" s="455">
        <v>0</v>
      </c>
      <c r="K19" s="748">
        <f>IF(J19&gt;0,L19/J19/L$7,0)</f>
        <v>0</v>
      </c>
      <c r="L19" s="32">
        <v>0</v>
      </c>
      <c r="M19" s="455">
        <v>0</v>
      </c>
      <c r="N19" s="748">
        <f>IF(M19&gt;0,O19/M19/O$7,0)</f>
        <v>0</v>
      </c>
      <c r="O19" s="32">
        <v>0</v>
      </c>
      <c r="P19" s="455">
        <v>0</v>
      </c>
      <c r="Q19" s="748">
        <f>IF(P19&gt;0,R19/P19/R$7,0)</f>
        <v>0</v>
      </c>
      <c r="R19" s="32">
        <v>0</v>
      </c>
      <c r="S19" s="455">
        <v>0</v>
      </c>
      <c r="T19" s="748">
        <f>IF(S19&gt;0,U19/S19/U$7,0)</f>
        <v>0</v>
      </c>
      <c r="U19" s="32">
        <v>0</v>
      </c>
      <c r="V19" s="455">
        <v>0</v>
      </c>
      <c r="W19" s="748">
        <f>IF(V19&gt;0,X19/V19/X$7,0)</f>
        <v>0</v>
      </c>
      <c r="X19" s="32">
        <v>0</v>
      </c>
      <c r="Y19" s="455">
        <f t="shared" si="33"/>
        <v>35714</v>
      </c>
      <c r="Z19" s="748">
        <f t="shared" si="11"/>
        <v>0.105</v>
      </c>
      <c r="AA19" s="32">
        <f>Y19*Z19*AA$7</f>
        <v>112499.09999999999</v>
      </c>
      <c r="AB19" s="455">
        <f t="shared" si="34"/>
        <v>35714</v>
      </c>
      <c r="AC19" s="748">
        <f t="shared" si="13"/>
        <v>0.105</v>
      </c>
      <c r="AD19" s="32">
        <f>AB19*AC19*AD$7</f>
        <v>116249.06999999999</v>
      </c>
      <c r="AE19" s="455">
        <f t="shared" si="35"/>
        <v>35714</v>
      </c>
      <c r="AF19" s="748">
        <f t="shared" si="15"/>
        <v>0.105</v>
      </c>
      <c r="AG19" s="32">
        <f>AE19*AF19*AG$7</f>
        <v>116249.06999999999</v>
      </c>
      <c r="AH19" s="455">
        <f t="shared" si="36"/>
        <v>35714</v>
      </c>
      <c r="AI19" s="748">
        <f t="shared" si="17"/>
        <v>0.105</v>
      </c>
      <c r="AJ19" s="32">
        <f>AH19*AI19*AJ$7</f>
        <v>112499.09999999999</v>
      </c>
      <c r="AK19" s="455">
        <f t="shared" si="37"/>
        <v>35714</v>
      </c>
      <c r="AL19" s="748">
        <f t="shared" si="19"/>
        <v>0.105</v>
      </c>
      <c r="AM19" s="32">
        <f>AK19*AL19*AM$7</f>
        <v>116249.06999999999</v>
      </c>
      <c r="AN19" s="455">
        <f t="shared" si="21"/>
        <v>35714</v>
      </c>
      <c r="AO19" s="748">
        <f t="shared" si="22"/>
        <v>0.105</v>
      </c>
      <c r="AP19" s="32">
        <f>AN19*AO19*AP$7</f>
        <v>112499.09999999999</v>
      </c>
      <c r="AQ19" s="455">
        <f t="shared" si="24"/>
        <v>35714</v>
      </c>
      <c r="AR19" s="748">
        <f t="shared" si="25"/>
        <v>0.105</v>
      </c>
      <c r="AS19" s="32">
        <f>AQ19*AR19*AS$7</f>
        <v>116249.06999999999</v>
      </c>
      <c r="AT19" s="32"/>
      <c r="AV19" s="33">
        <f t="shared" si="0"/>
        <v>802493.57999999984</v>
      </c>
    </row>
    <row r="20" spans="1:48" x14ac:dyDescent="0.2">
      <c r="D20" s="745"/>
      <c r="E20" s="745"/>
      <c r="J20" s="455"/>
      <c r="L20" s="32"/>
      <c r="M20" s="455"/>
      <c r="N20" s="748"/>
      <c r="O20" s="32"/>
      <c r="P20" s="455"/>
      <c r="Q20" s="748"/>
      <c r="R20" s="32"/>
      <c r="S20" s="455"/>
      <c r="T20" s="748"/>
      <c r="U20" s="32"/>
      <c r="V20" s="455"/>
      <c r="W20" s="748"/>
      <c r="X20" s="32"/>
      <c r="Y20" s="455"/>
      <c r="Z20" s="748"/>
      <c r="AA20" s="32"/>
      <c r="AB20" s="455"/>
      <c r="AC20" s="748"/>
      <c r="AD20" s="32"/>
      <c r="AE20" s="455"/>
      <c r="AF20" s="748"/>
      <c r="AG20" s="32"/>
      <c r="AH20" s="455"/>
      <c r="AI20" s="748"/>
      <c r="AJ20" s="32"/>
      <c r="AK20" s="455"/>
      <c r="AL20" s="748"/>
      <c r="AM20" s="32"/>
      <c r="AN20" s="455"/>
      <c r="AO20" s="748"/>
      <c r="AP20" s="32"/>
      <c r="AQ20" s="455"/>
      <c r="AR20" s="748"/>
      <c r="AS20" s="32"/>
      <c r="AT20" s="32"/>
      <c r="AV20" s="33"/>
    </row>
    <row r="21" spans="1:48" x14ac:dyDescent="0.2">
      <c r="A21" s="629">
        <v>24690</v>
      </c>
      <c r="B21" t="s">
        <v>312</v>
      </c>
      <c r="C21" t="s">
        <v>664</v>
      </c>
      <c r="D21" s="745"/>
      <c r="E21" s="745">
        <v>36981</v>
      </c>
      <c r="F21" s="824">
        <v>-15000</v>
      </c>
      <c r="G21" s="748">
        <v>7.0000000000000007E-2</v>
      </c>
      <c r="I21" s="748">
        <f t="shared" si="29"/>
        <v>7.0000000000000007E-2</v>
      </c>
      <c r="J21" s="455">
        <f t="shared" si="27"/>
        <v>-15000</v>
      </c>
      <c r="K21" s="748">
        <f t="shared" si="1"/>
        <v>7.0000000000000007E-2</v>
      </c>
      <c r="L21" s="32">
        <f t="shared" si="2"/>
        <v>-32550</v>
      </c>
      <c r="M21" s="455">
        <f t="shared" si="28"/>
        <v>-15000</v>
      </c>
      <c r="N21" s="748">
        <f t="shared" si="3"/>
        <v>7.0000000000000007E-2</v>
      </c>
      <c r="O21" s="32">
        <f t="shared" si="4"/>
        <v>-29400</v>
      </c>
      <c r="P21" s="455">
        <f t="shared" si="30"/>
        <v>-15000</v>
      </c>
      <c r="Q21" s="748">
        <f t="shared" si="5"/>
        <v>7.0000000000000007E-2</v>
      </c>
      <c r="R21" s="32">
        <f t="shared" si="6"/>
        <v>-32550</v>
      </c>
      <c r="S21" s="455">
        <v>0</v>
      </c>
      <c r="T21" s="748">
        <f t="shared" si="7"/>
        <v>7.0000000000000007E-2</v>
      </c>
      <c r="U21" s="32">
        <f t="shared" si="8"/>
        <v>0</v>
      </c>
      <c r="V21" s="455">
        <v>0</v>
      </c>
      <c r="W21" s="748">
        <f t="shared" si="9"/>
        <v>7.0000000000000007E-2</v>
      </c>
      <c r="X21" s="32">
        <f t="shared" si="10"/>
        <v>0</v>
      </c>
      <c r="Y21" s="455">
        <v>0</v>
      </c>
      <c r="Z21" s="748">
        <f t="shared" si="11"/>
        <v>7.0000000000000007E-2</v>
      </c>
      <c r="AA21" s="32">
        <f t="shared" si="12"/>
        <v>0</v>
      </c>
      <c r="AB21" s="455">
        <v>0</v>
      </c>
      <c r="AC21" s="748">
        <f t="shared" si="13"/>
        <v>7.0000000000000007E-2</v>
      </c>
      <c r="AD21" s="32">
        <f t="shared" si="14"/>
        <v>0</v>
      </c>
      <c r="AE21" s="455">
        <v>0</v>
      </c>
      <c r="AF21" s="748">
        <f t="shared" si="15"/>
        <v>7.0000000000000007E-2</v>
      </c>
      <c r="AG21" s="32">
        <f t="shared" si="16"/>
        <v>0</v>
      </c>
      <c r="AH21" s="455">
        <v>0</v>
      </c>
      <c r="AI21" s="748">
        <f t="shared" si="17"/>
        <v>7.0000000000000007E-2</v>
      </c>
      <c r="AJ21" s="32">
        <f t="shared" si="18"/>
        <v>0</v>
      </c>
      <c r="AK21" s="455">
        <v>0</v>
      </c>
      <c r="AL21" s="748">
        <f t="shared" si="19"/>
        <v>7.0000000000000007E-2</v>
      </c>
      <c r="AM21" s="32">
        <f t="shared" si="20"/>
        <v>0</v>
      </c>
      <c r="AN21" s="455">
        <v>0</v>
      </c>
      <c r="AO21" s="748">
        <f t="shared" si="22"/>
        <v>7.0000000000000007E-2</v>
      </c>
      <c r="AP21" s="32">
        <f t="shared" si="23"/>
        <v>0</v>
      </c>
      <c r="AQ21" s="455">
        <v>0</v>
      </c>
      <c r="AR21" s="748">
        <f t="shared" si="25"/>
        <v>7.0000000000000007E-2</v>
      </c>
      <c r="AS21" s="32">
        <f t="shared" si="26"/>
        <v>0</v>
      </c>
      <c r="AT21" s="32"/>
      <c r="AV21" s="33">
        <f t="shared" si="0"/>
        <v>-94500</v>
      </c>
    </row>
    <row r="22" spans="1:48" x14ac:dyDescent="0.2">
      <c r="D22" s="745"/>
      <c r="E22" s="745"/>
      <c r="J22" s="455"/>
      <c r="L22" s="32"/>
      <c r="M22" s="455"/>
      <c r="N22" s="748"/>
      <c r="O22" s="32"/>
      <c r="P22" s="455"/>
      <c r="Q22" s="748"/>
      <c r="R22" s="32"/>
      <c r="S22" s="455"/>
      <c r="T22" s="748"/>
      <c r="U22" s="32"/>
      <c r="V22" s="455"/>
      <c r="W22" s="748"/>
      <c r="X22" s="32"/>
      <c r="Y22" s="455"/>
      <c r="Z22" s="748"/>
      <c r="AA22" s="32"/>
      <c r="AB22" s="455"/>
      <c r="AC22" s="748"/>
      <c r="AD22" s="32"/>
      <c r="AE22" s="455"/>
      <c r="AF22" s="748"/>
      <c r="AG22" s="32"/>
      <c r="AH22" s="455"/>
      <c r="AI22" s="748"/>
      <c r="AJ22" s="32"/>
      <c r="AK22" s="455"/>
      <c r="AL22" s="748"/>
      <c r="AM22" s="32"/>
      <c r="AN22" s="455"/>
      <c r="AO22" s="748"/>
      <c r="AP22" s="32"/>
      <c r="AQ22" s="455"/>
      <c r="AR22" s="748"/>
      <c r="AS22" s="32"/>
      <c r="AT22" s="32"/>
      <c r="AV22" s="33"/>
    </row>
    <row r="23" spans="1:48" x14ac:dyDescent="0.2">
      <c r="A23" s="629">
        <v>26490</v>
      </c>
      <c r="B23" t="s">
        <v>284</v>
      </c>
      <c r="C23" t="s">
        <v>664</v>
      </c>
      <c r="D23" s="745">
        <v>36100</v>
      </c>
      <c r="E23" s="745">
        <v>37195</v>
      </c>
      <c r="F23" s="824">
        <v>-40000</v>
      </c>
      <c r="G23" s="748">
        <v>0.06</v>
      </c>
      <c r="I23" s="748">
        <f t="shared" si="29"/>
        <v>0.06</v>
      </c>
      <c r="J23" s="455">
        <f t="shared" si="27"/>
        <v>-40000</v>
      </c>
      <c r="K23" s="748">
        <f t="shared" si="1"/>
        <v>0.06</v>
      </c>
      <c r="L23" s="32">
        <f t="shared" si="2"/>
        <v>-74400</v>
      </c>
      <c r="M23" s="455">
        <f t="shared" si="28"/>
        <v>-40000</v>
      </c>
      <c r="N23" s="748">
        <f t="shared" si="3"/>
        <v>0.06</v>
      </c>
      <c r="O23" s="32">
        <f t="shared" si="4"/>
        <v>-67200</v>
      </c>
      <c r="P23" s="455">
        <f t="shared" si="30"/>
        <v>-40000</v>
      </c>
      <c r="Q23" s="748">
        <f t="shared" si="5"/>
        <v>0.06</v>
      </c>
      <c r="R23" s="32">
        <f t="shared" si="6"/>
        <v>-74400</v>
      </c>
      <c r="S23" s="455">
        <f t="shared" si="31"/>
        <v>-40000</v>
      </c>
      <c r="T23" s="748">
        <f t="shared" si="7"/>
        <v>0.06</v>
      </c>
      <c r="U23" s="32">
        <f t="shared" si="8"/>
        <v>-72000</v>
      </c>
      <c r="V23" s="455">
        <f t="shared" si="32"/>
        <v>-40000</v>
      </c>
      <c r="W23" s="748">
        <f t="shared" si="9"/>
        <v>0.06</v>
      </c>
      <c r="X23" s="32">
        <f t="shared" si="10"/>
        <v>-74400</v>
      </c>
      <c r="Y23" s="455">
        <f t="shared" si="33"/>
        <v>-40000</v>
      </c>
      <c r="Z23" s="748">
        <f t="shared" si="11"/>
        <v>0.06</v>
      </c>
      <c r="AA23" s="32">
        <f t="shared" si="12"/>
        <v>-72000</v>
      </c>
      <c r="AB23" s="455">
        <f t="shared" si="34"/>
        <v>-40000</v>
      </c>
      <c r="AC23" s="748">
        <f t="shared" si="13"/>
        <v>0.06</v>
      </c>
      <c r="AD23" s="32">
        <f t="shared" si="14"/>
        <v>-74400</v>
      </c>
      <c r="AE23" s="455">
        <f t="shared" si="35"/>
        <v>-40000</v>
      </c>
      <c r="AF23" s="748">
        <f t="shared" si="15"/>
        <v>0.06</v>
      </c>
      <c r="AG23" s="32">
        <f t="shared" si="16"/>
        <v>-74400</v>
      </c>
      <c r="AH23" s="455">
        <f t="shared" si="36"/>
        <v>-40000</v>
      </c>
      <c r="AI23" s="748">
        <f t="shared" si="17"/>
        <v>0.06</v>
      </c>
      <c r="AJ23" s="32">
        <f t="shared" si="18"/>
        <v>-72000</v>
      </c>
      <c r="AK23" s="455">
        <f t="shared" si="37"/>
        <v>-40000</v>
      </c>
      <c r="AL23" s="748">
        <f t="shared" si="19"/>
        <v>0.06</v>
      </c>
      <c r="AM23" s="32">
        <f t="shared" si="20"/>
        <v>-74400</v>
      </c>
      <c r="AN23" s="455">
        <f t="shared" si="21"/>
        <v>-40000</v>
      </c>
      <c r="AO23" s="748">
        <v>6.0699999999999997E-2</v>
      </c>
      <c r="AP23" s="32">
        <f t="shared" si="23"/>
        <v>-72840</v>
      </c>
      <c r="AQ23" s="455">
        <f t="shared" si="24"/>
        <v>-40000</v>
      </c>
      <c r="AR23" s="748">
        <v>6.0699999999999997E-2</v>
      </c>
      <c r="AS23" s="32">
        <f t="shared" si="26"/>
        <v>-75268</v>
      </c>
      <c r="AT23" s="32"/>
      <c r="AV23" s="33">
        <f t="shared" si="0"/>
        <v>-877708</v>
      </c>
    </row>
    <row r="24" spans="1:48" x14ac:dyDescent="0.2">
      <c r="A24" s="629">
        <v>26490</v>
      </c>
      <c r="B24" t="s">
        <v>284</v>
      </c>
      <c r="C24" t="s">
        <v>450</v>
      </c>
      <c r="D24" s="745">
        <v>37196</v>
      </c>
      <c r="E24" s="745">
        <v>37925</v>
      </c>
      <c r="F24" s="824">
        <v>40000</v>
      </c>
      <c r="G24" s="748">
        <v>7.0000000000000007E-2</v>
      </c>
      <c r="I24" s="748">
        <f t="shared" ref="I24:I42" si="38">SUM(G24:H24)</f>
        <v>7.0000000000000007E-2</v>
      </c>
      <c r="J24" s="455">
        <f t="shared" si="27"/>
        <v>40000</v>
      </c>
      <c r="K24" s="748">
        <f t="shared" si="1"/>
        <v>7.0000000000000007E-2</v>
      </c>
      <c r="L24" s="32">
        <f t="shared" si="2"/>
        <v>86800.000000000015</v>
      </c>
      <c r="M24" s="455">
        <f t="shared" si="28"/>
        <v>40000</v>
      </c>
      <c r="N24" s="748">
        <f t="shared" si="3"/>
        <v>7.0000000000000007E-2</v>
      </c>
      <c r="O24" s="32">
        <f t="shared" si="4"/>
        <v>78400.000000000015</v>
      </c>
      <c r="P24" s="455">
        <f t="shared" si="30"/>
        <v>40000</v>
      </c>
      <c r="Q24" s="748">
        <f t="shared" si="5"/>
        <v>7.0000000000000007E-2</v>
      </c>
      <c r="R24" s="32">
        <f t="shared" si="6"/>
        <v>86800.000000000015</v>
      </c>
      <c r="S24" s="455">
        <f t="shared" si="31"/>
        <v>40000</v>
      </c>
      <c r="T24" s="748">
        <f t="shared" si="7"/>
        <v>7.0000000000000007E-2</v>
      </c>
      <c r="U24" s="32">
        <f t="shared" si="8"/>
        <v>84000.000000000015</v>
      </c>
      <c r="V24" s="455">
        <f t="shared" si="32"/>
        <v>40000</v>
      </c>
      <c r="W24" s="748">
        <f t="shared" si="9"/>
        <v>7.0000000000000007E-2</v>
      </c>
      <c r="X24" s="32">
        <f t="shared" si="10"/>
        <v>86800.000000000015</v>
      </c>
      <c r="Y24" s="455">
        <f t="shared" si="33"/>
        <v>40000</v>
      </c>
      <c r="Z24" s="748">
        <f t="shared" si="11"/>
        <v>7.0000000000000007E-2</v>
      </c>
      <c r="AA24" s="32">
        <f t="shared" si="12"/>
        <v>84000.000000000015</v>
      </c>
      <c r="AB24" s="455">
        <f t="shared" si="34"/>
        <v>40000</v>
      </c>
      <c r="AC24" s="748">
        <f t="shared" si="13"/>
        <v>7.0000000000000007E-2</v>
      </c>
      <c r="AD24" s="32">
        <f t="shared" si="14"/>
        <v>86800.000000000015</v>
      </c>
      <c r="AE24" s="455">
        <f t="shared" si="35"/>
        <v>40000</v>
      </c>
      <c r="AF24" s="748">
        <f t="shared" si="15"/>
        <v>7.0000000000000007E-2</v>
      </c>
      <c r="AG24" s="32">
        <f t="shared" si="16"/>
        <v>86800.000000000015</v>
      </c>
      <c r="AH24" s="455">
        <f t="shared" si="36"/>
        <v>40000</v>
      </c>
      <c r="AI24" s="748">
        <f t="shared" si="17"/>
        <v>7.0000000000000007E-2</v>
      </c>
      <c r="AJ24" s="32">
        <f t="shared" si="18"/>
        <v>84000.000000000015</v>
      </c>
      <c r="AK24" s="455">
        <f t="shared" si="37"/>
        <v>40000</v>
      </c>
      <c r="AL24" s="748">
        <f t="shared" si="19"/>
        <v>7.0000000000000007E-2</v>
      </c>
      <c r="AM24" s="32">
        <f t="shared" si="20"/>
        <v>86800.000000000015</v>
      </c>
      <c r="AN24" s="455">
        <f t="shared" si="21"/>
        <v>40000</v>
      </c>
      <c r="AO24" s="748">
        <f t="shared" si="22"/>
        <v>7.0000000000000007E-2</v>
      </c>
      <c r="AP24" s="32">
        <f t="shared" si="23"/>
        <v>84000.000000000015</v>
      </c>
      <c r="AQ24" s="455">
        <f t="shared" si="24"/>
        <v>40000</v>
      </c>
      <c r="AR24" s="748">
        <f t="shared" si="25"/>
        <v>7.0000000000000007E-2</v>
      </c>
      <c r="AS24" s="32">
        <f t="shared" si="26"/>
        <v>86800.000000000015</v>
      </c>
      <c r="AT24" s="32"/>
      <c r="AV24" s="33">
        <f t="shared" si="0"/>
        <v>1022000.0000000001</v>
      </c>
    </row>
    <row r="25" spans="1:48" x14ac:dyDescent="0.2">
      <c r="D25" s="745"/>
      <c r="E25" s="745"/>
      <c r="J25" s="455"/>
      <c r="L25" s="32"/>
      <c r="M25" s="455"/>
      <c r="N25" s="748"/>
      <c r="O25" s="32"/>
      <c r="P25" s="455"/>
      <c r="Q25" s="748"/>
      <c r="R25" s="32"/>
      <c r="S25" s="455"/>
      <c r="T25" s="748"/>
      <c r="U25" s="32"/>
      <c r="V25" s="455"/>
      <c r="W25" s="748"/>
      <c r="X25" s="32"/>
      <c r="Y25" s="455"/>
      <c r="Z25" s="748"/>
      <c r="AA25" s="32"/>
      <c r="AB25" s="455"/>
      <c r="AC25" s="748"/>
      <c r="AD25" s="32"/>
      <c r="AE25" s="455"/>
      <c r="AF25" s="748"/>
      <c r="AG25" s="32"/>
      <c r="AH25" s="455"/>
      <c r="AI25" s="748"/>
      <c r="AJ25" s="32"/>
      <c r="AK25" s="455"/>
      <c r="AL25" s="748"/>
      <c r="AM25" s="32"/>
      <c r="AN25" s="455"/>
      <c r="AO25" s="748"/>
      <c r="AP25" s="32"/>
      <c r="AQ25" s="455"/>
      <c r="AR25" s="748"/>
      <c r="AS25" s="32"/>
      <c r="AT25" s="32"/>
      <c r="AV25" s="33"/>
    </row>
    <row r="26" spans="1:48" x14ac:dyDescent="0.2">
      <c r="A26" s="629">
        <v>26537</v>
      </c>
      <c r="B26" t="s">
        <v>666</v>
      </c>
      <c r="C26" t="s">
        <v>664</v>
      </c>
      <c r="D26" s="745">
        <v>36192</v>
      </c>
      <c r="E26" s="745">
        <v>36922</v>
      </c>
      <c r="F26" s="824">
        <v>-340</v>
      </c>
      <c r="G26" s="748">
        <v>7.0000000000000007E-2</v>
      </c>
      <c r="I26" s="748">
        <f t="shared" si="38"/>
        <v>7.0000000000000007E-2</v>
      </c>
      <c r="J26" s="455">
        <f t="shared" si="27"/>
        <v>-340</v>
      </c>
      <c r="K26" s="748">
        <f t="shared" si="1"/>
        <v>7.0000000000000007E-2</v>
      </c>
      <c r="L26" s="32">
        <f t="shared" ref="L26:L42" si="39">J26*K26*L$7</f>
        <v>-737.80000000000007</v>
      </c>
      <c r="M26" s="455">
        <v>0</v>
      </c>
      <c r="N26" s="748">
        <f t="shared" si="3"/>
        <v>7.0000000000000007E-2</v>
      </c>
      <c r="O26" s="32">
        <f t="shared" ref="O26:O42" si="40">M26*N26*O$7</f>
        <v>0</v>
      </c>
      <c r="P26" s="455">
        <v>0</v>
      </c>
      <c r="Q26" s="748">
        <f t="shared" si="5"/>
        <v>7.0000000000000007E-2</v>
      </c>
      <c r="R26" s="32">
        <f t="shared" ref="R26:R42" si="41">P26*Q26*R$7</f>
        <v>0</v>
      </c>
      <c r="S26" s="455">
        <v>0</v>
      </c>
      <c r="T26" s="748">
        <f t="shared" si="7"/>
        <v>7.0000000000000007E-2</v>
      </c>
      <c r="U26" s="32">
        <f t="shared" ref="U26:U42" si="42">S26*T26*U$7</f>
        <v>0</v>
      </c>
      <c r="V26" s="455">
        <v>0</v>
      </c>
      <c r="W26" s="748">
        <f t="shared" si="9"/>
        <v>7.0000000000000007E-2</v>
      </c>
      <c r="X26" s="32">
        <f t="shared" ref="X26:X42" si="43">V26*W26*X$7</f>
        <v>0</v>
      </c>
      <c r="Y26" s="455">
        <v>0</v>
      </c>
      <c r="Z26" s="748">
        <f t="shared" si="11"/>
        <v>7.0000000000000007E-2</v>
      </c>
      <c r="AA26" s="32">
        <f t="shared" ref="AA26:AA42" si="44">Y26*Z26*AA$7</f>
        <v>0</v>
      </c>
      <c r="AB26" s="455">
        <v>0</v>
      </c>
      <c r="AC26" s="748">
        <f t="shared" si="13"/>
        <v>7.0000000000000007E-2</v>
      </c>
      <c r="AD26" s="32">
        <f t="shared" ref="AD26:AD42" si="45">AB26*AC26*AD$7</f>
        <v>0</v>
      </c>
      <c r="AE26" s="455">
        <v>0</v>
      </c>
      <c r="AF26" s="748">
        <f t="shared" si="15"/>
        <v>7.0000000000000007E-2</v>
      </c>
      <c r="AG26" s="32">
        <f t="shared" ref="AG26:AG42" si="46">AE26*AF26*AG$7</f>
        <v>0</v>
      </c>
      <c r="AH26" s="455">
        <v>0</v>
      </c>
      <c r="AI26" s="748">
        <f t="shared" si="17"/>
        <v>7.0000000000000007E-2</v>
      </c>
      <c r="AJ26" s="32">
        <f t="shared" ref="AJ26:AJ42" si="47">AH26*AI26*AJ$7</f>
        <v>0</v>
      </c>
      <c r="AK26" s="455">
        <v>0</v>
      </c>
      <c r="AL26" s="748">
        <f t="shared" si="19"/>
        <v>7.0000000000000007E-2</v>
      </c>
      <c r="AM26" s="32">
        <f t="shared" ref="AM26:AM42" si="48">AK26*AL26*AM$7</f>
        <v>0</v>
      </c>
      <c r="AN26" s="455">
        <v>0</v>
      </c>
      <c r="AO26" s="748">
        <f t="shared" si="22"/>
        <v>7.0000000000000007E-2</v>
      </c>
      <c r="AP26" s="32">
        <f t="shared" ref="AP26:AP42" si="49">AN26*AO26*AP$7</f>
        <v>0</v>
      </c>
      <c r="AQ26" s="455">
        <v>0</v>
      </c>
      <c r="AR26" s="748">
        <f t="shared" si="25"/>
        <v>7.0000000000000007E-2</v>
      </c>
      <c r="AS26" s="32">
        <f t="shared" ref="AS26:AS42" si="50">AQ26*AR26*AS$7</f>
        <v>0</v>
      </c>
      <c r="AT26" s="32"/>
      <c r="AV26" s="33">
        <f t="shared" ref="AV26:AV43" si="51">AS26+AP26+AM26+AJ26+AG26+AD26+AA26+X26+U26+R26+O26+L26</f>
        <v>-737.80000000000007</v>
      </c>
    </row>
    <row r="27" spans="1:48" x14ac:dyDescent="0.2">
      <c r="D27" s="745"/>
      <c r="E27" s="745"/>
      <c r="J27" s="455"/>
      <c r="L27" s="32"/>
      <c r="M27" s="455"/>
      <c r="N27" s="748"/>
      <c r="O27" s="32"/>
      <c r="P27" s="455"/>
      <c r="Q27" s="748"/>
      <c r="R27" s="32"/>
      <c r="S27" s="455"/>
      <c r="T27" s="748"/>
      <c r="U27" s="32"/>
      <c r="V27" s="455"/>
      <c r="W27" s="748"/>
      <c r="X27" s="32"/>
      <c r="Y27" s="455"/>
      <c r="Z27" s="748"/>
      <c r="AA27" s="32"/>
      <c r="AB27" s="455"/>
      <c r="AC27" s="748"/>
      <c r="AD27" s="32"/>
      <c r="AE27" s="455"/>
      <c r="AF27" s="748"/>
      <c r="AG27" s="32"/>
      <c r="AH27" s="455"/>
      <c r="AI27" s="748"/>
      <c r="AJ27" s="32"/>
      <c r="AK27" s="455"/>
      <c r="AL27" s="748"/>
      <c r="AM27" s="32"/>
      <c r="AN27" s="455"/>
      <c r="AO27" s="748"/>
      <c r="AP27" s="32"/>
      <c r="AQ27" s="455"/>
      <c r="AR27" s="748"/>
      <c r="AS27" s="32"/>
      <c r="AT27" s="32"/>
      <c r="AV27" s="33"/>
    </row>
    <row r="28" spans="1:48" x14ac:dyDescent="0.2">
      <c r="A28" s="629">
        <v>27137</v>
      </c>
      <c r="B28" t="s">
        <v>288</v>
      </c>
      <c r="C28" t="s">
        <v>664</v>
      </c>
      <c r="D28" s="745">
        <v>36586</v>
      </c>
      <c r="E28" s="745">
        <v>36950</v>
      </c>
      <c r="F28" s="824">
        <v>-10000</v>
      </c>
      <c r="G28" s="748">
        <v>0.02</v>
      </c>
      <c r="I28" s="748">
        <f t="shared" si="38"/>
        <v>0.02</v>
      </c>
      <c r="J28" s="455">
        <f t="shared" si="27"/>
        <v>-10000</v>
      </c>
      <c r="K28" s="748">
        <f t="shared" si="1"/>
        <v>0.02</v>
      </c>
      <c r="L28" s="32">
        <f t="shared" si="39"/>
        <v>-6200</v>
      </c>
      <c r="M28" s="455">
        <f t="shared" si="28"/>
        <v>-10000</v>
      </c>
      <c r="N28" s="748">
        <f t="shared" si="3"/>
        <v>0.02</v>
      </c>
      <c r="O28" s="32">
        <f t="shared" si="40"/>
        <v>-5600</v>
      </c>
      <c r="P28" s="455">
        <v>0</v>
      </c>
      <c r="Q28" s="748">
        <f t="shared" si="5"/>
        <v>0.02</v>
      </c>
      <c r="R28" s="32">
        <f t="shared" si="41"/>
        <v>0</v>
      </c>
      <c r="S28" s="455">
        <v>0</v>
      </c>
      <c r="T28" s="748">
        <f t="shared" si="7"/>
        <v>0.02</v>
      </c>
      <c r="U28" s="32">
        <f t="shared" si="42"/>
        <v>0</v>
      </c>
      <c r="V28" s="455">
        <v>0</v>
      </c>
      <c r="W28" s="748">
        <f t="shared" si="9"/>
        <v>0.02</v>
      </c>
      <c r="X28" s="32">
        <f t="shared" si="43"/>
        <v>0</v>
      </c>
      <c r="Y28" s="455">
        <v>0</v>
      </c>
      <c r="Z28" s="748">
        <f t="shared" si="11"/>
        <v>0.02</v>
      </c>
      <c r="AA28" s="32">
        <f t="shared" si="44"/>
        <v>0</v>
      </c>
      <c r="AB28" s="455">
        <v>0</v>
      </c>
      <c r="AC28" s="748">
        <f t="shared" si="13"/>
        <v>0.02</v>
      </c>
      <c r="AD28" s="32">
        <f t="shared" si="45"/>
        <v>0</v>
      </c>
      <c r="AE28" s="455">
        <v>0</v>
      </c>
      <c r="AF28" s="748">
        <f t="shared" si="15"/>
        <v>0.02</v>
      </c>
      <c r="AG28" s="32">
        <f t="shared" si="46"/>
        <v>0</v>
      </c>
      <c r="AH28" s="455">
        <v>0</v>
      </c>
      <c r="AI28" s="748">
        <f t="shared" si="17"/>
        <v>0.02</v>
      </c>
      <c r="AJ28" s="32">
        <f t="shared" si="47"/>
        <v>0</v>
      </c>
      <c r="AK28" s="455">
        <v>0</v>
      </c>
      <c r="AL28" s="748">
        <f t="shared" si="19"/>
        <v>0.02</v>
      </c>
      <c r="AM28" s="32">
        <f t="shared" si="48"/>
        <v>0</v>
      </c>
      <c r="AN28" s="455">
        <v>0</v>
      </c>
      <c r="AO28" s="748">
        <f t="shared" si="22"/>
        <v>0.02</v>
      </c>
      <c r="AP28" s="32">
        <f t="shared" si="49"/>
        <v>0</v>
      </c>
      <c r="AQ28" s="455">
        <v>0</v>
      </c>
      <c r="AR28" s="748">
        <f t="shared" si="25"/>
        <v>0.02</v>
      </c>
      <c r="AS28" s="32">
        <f t="shared" si="50"/>
        <v>0</v>
      </c>
      <c r="AT28" s="32"/>
      <c r="AV28" s="33">
        <f t="shared" si="51"/>
        <v>-11800</v>
      </c>
    </row>
    <row r="29" spans="1:48" x14ac:dyDescent="0.2">
      <c r="D29" s="745"/>
      <c r="E29" s="745"/>
      <c r="J29" s="455"/>
      <c r="L29" s="32"/>
      <c r="M29" s="455"/>
      <c r="N29" s="748"/>
      <c r="O29" s="32"/>
      <c r="P29" s="455"/>
      <c r="Q29" s="748"/>
      <c r="R29" s="32"/>
      <c r="S29" s="455"/>
      <c r="T29" s="748"/>
      <c r="U29" s="32"/>
      <c r="V29" s="455"/>
      <c r="W29" s="748"/>
      <c r="X29" s="32"/>
      <c r="Y29" s="455"/>
      <c r="Z29" s="748"/>
      <c r="AA29" s="32"/>
      <c r="AB29" s="455"/>
      <c r="AC29" s="748"/>
      <c r="AD29" s="32"/>
      <c r="AE29" s="455"/>
      <c r="AF29" s="748"/>
      <c r="AG29" s="32"/>
      <c r="AH29" s="455"/>
      <c r="AI29" s="748"/>
      <c r="AJ29" s="32"/>
      <c r="AK29" s="455"/>
      <c r="AL29" s="748"/>
      <c r="AM29" s="32"/>
      <c r="AN29" s="455"/>
      <c r="AO29" s="748"/>
      <c r="AP29" s="32"/>
      <c r="AQ29" s="455"/>
      <c r="AR29" s="748"/>
      <c r="AS29" s="32"/>
      <c r="AT29" s="32"/>
      <c r="AV29" s="33"/>
    </row>
    <row r="30" spans="1:48" x14ac:dyDescent="0.2">
      <c r="A30" s="629">
        <v>27291</v>
      </c>
      <c r="B30" t="s">
        <v>288</v>
      </c>
      <c r="C30" t="s">
        <v>664</v>
      </c>
      <c r="D30" s="745">
        <v>36739</v>
      </c>
      <c r="E30" s="745">
        <v>37468</v>
      </c>
      <c r="F30" s="824">
        <v>-20000</v>
      </c>
      <c r="G30" s="748">
        <v>0.02</v>
      </c>
      <c r="I30" s="748">
        <f t="shared" si="38"/>
        <v>0.02</v>
      </c>
      <c r="J30" s="455">
        <f t="shared" si="27"/>
        <v>-20000</v>
      </c>
      <c r="K30" s="748">
        <f t="shared" si="1"/>
        <v>0.02</v>
      </c>
      <c r="L30" s="32">
        <f t="shared" si="39"/>
        <v>-12400</v>
      </c>
      <c r="M30" s="455">
        <f t="shared" si="28"/>
        <v>-20000</v>
      </c>
      <c r="N30" s="748">
        <f t="shared" si="3"/>
        <v>0.02</v>
      </c>
      <c r="O30" s="32">
        <f t="shared" si="40"/>
        <v>-11200</v>
      </c>
      <c r="P30" s="455">
        <f t="shared" si="30"/>
        <v>-20000</v>
      </c>
      <c r="Q30" s="748">
        <f t="shared" si="5"/>
        <v>0.02</v>
      </c>
      <c r="R30" s="32">
        <f t="shared" si="41"/>
        <v>-12400</v>
      </c>
      <c r="S30" s="455">
        <f t="shared" si="31"/>
        <v>-20000</v>
      </c>
      <c r="T30" s="748">
        <f t="shared" si="7"/>
        <v>0.02</v>
      </c>
      <c r="U30" s="32">
        <f t="shared" si="42"/>
        <v>-12000</v>
      </c>
      <c r="V30" s="455">
        <f t="shared" si="32"/>
        <v>-20000</v>
      </c>
      <c r="W30" s="748">
        <f t="shared" si="9"/>
        <v>0.02</v>
      </c>
      <c r="X30" s="32">
        <f t="shared" si="43"/>
        <v>-12400</v>
      </c>
      <c r="Y30" s="455">
        <f t="shared" si="33"/>
        <v>-20000</v>
      </c>
      <c r="Z30" s="748">
        <f t="shared" si="11"/>
        <v>0.02</v>
      </c>
      <c r="AA30" s="32">
        <f t="shared" si="44"/>
        <v>-12000</v>
      </c>
      <c r="AB30" s="455">
        <f t="shared" si="34"/>
        <v>-20000</v>
      </c>
      <c r="AC30" s="748">
        <f t="shared" si="13"/>
        <v>0.02</v>
      </c>
      <c r="AD30" s="32">
        <f t="shared" si="45"/>
        <v>-12400</v>
      </c>
      <c r="AE30" s="455">
        <f t="shared" si="35"/>
        <v>-20000</v>
      </c>
      <c r="AF30" s="748">
        <f t="shared" si="15"/>
        <v>0.02</v>
      </c>
      <c r="AG30" s="32">
        <f t="shared" si="46"/>
        <v>-12400</v>
      </c>
      <c r="AH30" s="455">
        <f t="shared" si="36"/>
        <v>-20000</v>
      </c>
      <c r="AI30" s="748">
        <f t="shared" si="17"/>
        <v>0.02</v>
      </c>
      <c r="AJ30" s="32">
        <f t="shared" si="47"/>
        <v>-12000</v>
      </c>
      <c r="AK30" s="455">
        <f t="shared" si="37"/>
        <v>-20000</v>
      </c>
      <c r="AL30" s="748">
        <f t="shared" si="19"/>
        <v>0.02</v>
      </c>
      <c r="AM30" s="32">
        <f t="shared" si="48"/>
        <v>-12400</v>
      </c>
      <c r="AN30" s="455">
        <f t="shared" si="21"/>
        <v>-20000</v>
      </c>
      <c r="AO30" s="748">
        <f t="shared" si="22"/>
        <v>0.02</v>
      </c>
      <c r="AP30" s="32">
        <f t="shared" si="49"/>
        <v>-12000</v>
      </c>
      <c r="AQ30" s="455">
        <f t="shared" si="24"/>
        <v>-20000</v>
      </c>
      <c r="AR30" s="748">
        <f t="shared" si="25"/>
        <v>0.02</v>
      </c>
      <c r="AS30" s="32">
        <f t="shared" si="50"/>
        <v>-12400</v>
      </c>
      <c r="AT30" s="32"/>
      <c r="AV30" s="33">
        <f t="shared" si="51"/>
        <v>-146000</v>
      </c>
    </row>
    <row r="31" spans="1:48" x14ac:dyDescent="0.2">
      <c r="A31" s="629">
        <v>27291</v>
      </c>
      <c r="B31" t="s">
        <v>630</v>
      </c>
      <c r="C31" t="s">
        <v>450</v>
      </c>
      <c r="D31" s="745">
        <v>37469</v>
      </c>
      <c r="E31" s="745">
        <v>37621</v>
      </c>
      <c r="F31" s="824">
        <v>20000</v>
      </c>
      <c r="G31" s="748">
        <v>0.02</v>
      </c>
      <c r="I31" s="748">
        <f t="shared" si="38"/>
        <v>0.02</v>
      </c>
      <c r="J31" s="455">
        <f t="shared" si="27"/>
        <v>20000</v>
      </c>
      <c r="K31" s="748">
        <f t="shared" si="1"/>
        <v>0.02</v>
      </c>
      <c r="L31" s="32">
        <f t="shared" si="39"/>
        <v>12400</v>
      </c>
      <c r="M31" s="455">
        <f t="shared" si="28"/>
        <v>20000</v>
      </c>
      <c r="N31" s="748">
        <f t="shared" si="3"/>
        <v>0.02</v>
      </c>
      <c r="O31" s="32">
        <f t="shared" si="40"/>
        <v>11200</v>
      </c>
      <c r="P31" s="455">
        <f t="shared" si="30"/>
        <v>20000</v>
      </c>
      <c r="Q31" s="748">
        <f t="shared" si="5"/>
        <v>0.02</v>
      </c>
      <c r="R31" s="32">
        <f t="shared" si="41"/>
        <v>12400</v>
      </c>
      <c r="S31" s="455">
        <f t="shared" si="31"/>
        <v>20000</v>
      </c>
      <c r="T31" s="748">
        <f t="shared" si="7"/>
        <v>0.02</v>
      </c>
      <c r="U31" s="32">
        <f t="shared" si="42"/>
        <v>12000</v>
      </c>
      <c r="V31" s="455">
        <f t="shared" si="32"/>
        <v>20000</v>
      </c>
      <c r="W31" s="748">
        <f t="shared" si="9"/>
        <v>0.02</v>
      </c>
      <c r="X31" s="32">
        <f t="shared" si="43"/>
        <v>12400</v>
      </c>
      <c r="Y31" s="455">
        <f t="shared" si="33"/>
        <v>20000</v>
      </c>
      <c r="Z31" s="748">
        <f t="shared" si="11"/>
        <v>0.02</v>
      </c>
      <c r="AA31" s="32">
        <f t="shared" si="44"/>
        <v>12000</v>
      </c>
      <c r="AB31" s="455">
        <f t="shared" si="34"/>
        <v>20000</v>
      </c>
      <c r="AC31" s="748">
        <f t="shared" si="13"/>
        <v>0.02</v>
      </c>
      <c r="AD31" s="32">
        <f t="shared" si="45"/>
        <v>12400</v>
      </c>
      <c r="AE31" s="455">
        <f t="shared" si="35"/>
        <v>20000</v>
      </c>
      <c r="AF31" s="748">
        <f t="shared" si="15"/>
        <v>0.02</v>
      </c>
      <c r="AG31" s="32">
        <f t="shared" si="46"/>
        <v>12400</v>
      </c>
      <c r="AH31" s="455">
        <f t="shared" si="36"/>
        <v>20000</v>
      </c>
      <c r="AI31" s="748">
        <f t="shared" si="17"/>
        <v>0.02</v>
      </c>
      <c r="AJ31" s="32">
        <f t="shared" si="47"/>
        <v>12000</v>
      </c>
      <c r="AK31" s="455">
        <f t="shared" si="37"/>
        <v>20000</v>
      </c>
      <c r="AL31" s="748">
        <f t="shared" si="19"/>
        <v>0.02</v>
      </c>
      <c r="AM31" s="32">
        <f t="shared" si="48"/>
        <v>12400</v>
      </c>
      <c r="AN31" s="455">
        <f t="shared" si="21"/>
        <v>20000</v>
      </c>
      <c r="AO31" s="748">
        <f t="shared" si="22"/>
        <v>0.02</v>
      </c>
      <c r="AP31" s="32">
        <f t="shared" si="49"/>
        <v>12000</v>
      </c>
      <c r="AQ31" s="455">
        <f t="shared" si="24"/>
        <v>20000</v>
      </c>
      <c r="AR31" s="748">
        <f t="shared" si="25"/>
        <v>0.02</v>
      </c>
      <c r="AS31" s="32">
        <f t="shared" si="50"/>
        <v>12400</v>
      </c>
      <c r="AT31" s="32"/>
      <c r="AV31" s="33">
        <f t="shared" si="51"/>
        <v>146000</v>
      </c>
    </row>
    <row r="32" spans="1:48" x14ac:dyDescent="0.2">
      <c r="D32" s="745"/>
      <c r="E32" s="745"/>
      <c r="J32" s="455"/>
      <c r="L32" s="32"/>
      <c r="M32" s="455"/>
      <c r="N32" s="748"/>
      <c r="O32" s="32"/>
      <c r="P32" s="455"/>
      <c r="Q32" s="748"/>
      <c r="R32" s="32"/>
      <c r="S32" s="455"/>
      <c r="T32" s="748"/>
      <c r="U32" s="32"/>
      <c r="V32" s="455"/>
      <c r="W32" s="748"/>
      <c r="X32" s="32"/>
      <c r="Y32" s="455"/>
      <c r="Z32" s="748"/>
      <c r="AA32" s="32"/>
      <c r="AB32" s="455"/>
      <c r="AC32" s="748"/>
      <c r="AD32" s="32"/>
      <c r="AE32" s="455"/>
      <c r="AF32" s="748"/>
      <c r="AG32" s="32"/>
      <c r="AH32" s="455"/>
      <c r="AI32" s="748"/>
      <c r="AJ32" s="32"/>
      <c r="AK32" s="455"/>
      <c r="AL32" s="748"/>
      <c r="AM32" s="32"/>
      <c r="AN32" s="455"/>
      <c r="AO32" s="748"/>
      <c r="AP32" s="32"/>
      <c r="AQ32" s="455"/>
      <c r="AR32" s="748"/>
      <c r="AS32" s="32"/>
      <c r="AT32" s="32"/>
      <c r="AV32" s="33"/>
    </row>
    <row r="33" spans="1:49" x14ac:dyDescent="0.2">
      <c r="A33" s="629">
        <v>27420</v>
      </c>
      <c r="B33" t="s">
        <v>500</v>
      </c>
      <c r="C33" t="s">
        <v>664</v>
      </c>
      <c r="D33" s="745">
        <v>36861</v>
      </c>
      <c r="E33" s="745">
        <v>37225</v>
      </c>
      <c r="F33" s="824">
        <v>-1600</v>
      </c>
      <c r="G33" s="748">
        <v>6.5000000000000002E-2</v>
      </c>
      <c r="I33" s="748">
        <f t="shared" si="38"/>
        <v>6.5000000000000002E-2</v>
      </c>
      <c r="J33" s="455">
        <f t="shared" si="27"/>
        <v>-1600</v>
      </c>
      <c r="K33" s="748">
        <f t="shared" si="1"/>
        <v>6.5000000000000002E-2</v>
      </c>
      <c r="L33" s="32">
        <f t="shared" si="39"/>
        <v>-3224</v>
      </c>
      <c r="M33" s="455">
        <v>-1932</v>
      </c>
      <c r="N33" s="748">
        <f t="shared" si="3"/>
        <v>6.5000000000000002E-2</v>
      </c>
      <c r="O33" s="32">
        <f t="shared" si="40"/>
        <v>-3516.24</v>
      </c>
      <c r="P33" s="455">
        <v>-1932</v>
      </c>
      <c r="Q33" s="748">
        <f t="shared" si="5"/>
        <v>6.5000000000000002E-2</v>
      </c>
      <c r="R33" s="32">
        <f t="shared" si="41"/>
        <v>-3892.98</v>
      </c>
      <c r="S33" s="455">
        <v>-1932</v>
      </c>
      <c r="T33" s="748">
        <f t="shared" si="7"/>
        <v>6.5000000000000002E-2</v>
      </c>
      <c r="U33" s="32">
        <f t="shared" si="42"/>
        <v>-3767.4</v>
      </c>
      <c r="V33" s="455">
        <v>-900</v>
      </c>
      <c r="W33" s="748">
        <f t="shared" si="9"/>
        <v>6.5000000000000002E-2</v>
      </c>
      <c r="X33" s="32">
        <f t="shared" si="43"/>
        <v>-1813.5</v>
      </c>
      <c r="Y33" s="455">
        <v>-1836</v>
      </c>
      <c r="Z33" s="748">
        <f t="shared" si="11"/>
        <v>6.5000000000000002E-2</v>
      </c>
      <c r="AA33" s="32">
        <f t="shared" si="44"/>
        <v>-3580.2000000000003</v>
      </c>
      <c r="AB33" s="455">
        <v>-2500</v>
      </c>
      <c r="AC33" s="748">
        <f t="shared" si="13"/>
        <v>6.5000000000000002E-2</v>
      </c>
      <c r="AD33" s="32">
        <f t="shared" si="45"/>
        <v>-5037.5</v>
      </c>
      <c r="AE33" s="455">
        <v>-2500</v>
      </c>
      <c r="AF33" s="748">
        <f t="shared" si="15"/>
        <v>6.5000000000000002E-2</v>
      </c>
      <c r="AG33" s="32">
        <f t="shared" si="46"/>
        <v>-5037.5</v>
      </c>
      <c r="AH33" s="455">
        <v>-2500</v>
      </c>
      <c r="AI33" s="748">
        <f t="shared" si="17"/>
        <v>6.5000000000000002E-2</v>
      </c>
      <c r="AJ33" s="32">
        <f t="shared" si="47"/>
        <v>-4875</v>
      </c>
      <c r="AK33" s="455">
        <v>-2500</v>
      </c>
      <c r="AL33" s="748">
        <f t="shared" si="19"/>
        <v>6.5000000000000002E-2</v>
      </c>
      <c r="AM33" s="32">
        <f t="shared" si="48"/>
        <v>-5037.5</v>
      </c>
      <c r="AN33" s="455">
        <v>-2500</v>
      </c>
      <c r="AO33" s="748">
        <f t="shared" si="22"/>
        <v>6.5000000000000002E-2</v>
      </c>
      <c r="AP33" s="32">
        <f t="shared" si="49"/>
        <v>-4875</v>
      </c>
      <c r="AQ33" s="455">
        <v>0</v>
      </c>
      <c r="AR33" s="748">
        <f t="shared" si="25"/>
        <v>6.5000000000000002E-2</v>
      </c>
      <c r="AS33" s="32">
        <f t="shared" si="50"/>
        <v>0</v>
      </c>
      <c r="AT33" s="32"/>
      <c r="AV33" s="33">
        <f t="shared" si="51"/>
        <v>-44656.82</v>
      </c>
    </row>
    <row r="34" spans="1:49" x14ac:dyDescent="0.2">
      <c r="D34" s="745"/>
      <c r="E34" s="745"/>
      <c r="J34" s="455"/>
      <c r="L34" s="32"/>
      <c r="M34" s="455"/>
      <c r="N34" s="748"/>
      <c r="O34" s="32"/>
      <c r="P34" s="455"/>
      <c r="Q34" s="748"/>
      <c r="R34" s="32"/>
      <c r="S34" s="455"/>
      <c r="T34" s="748"/>
      <c r="U34" s="32"/>
      <c r="V34" s="455"/>
      <c r="W34" s="748"/>
      <c r="X34" s="32"/>
      <c r="Y34" s="455"/>
      <c r="Z34" s="748"/>
      <c r="AA34" s="32"/>
      <c r="AB34" s="455"/>
      <c r="AC34" s="748"/>
      <c r="AD34" s="32"/>
      <c r="AE34" s="455"/>
      <c r="AF34" s="748"/>
      <c r="AG34" s="32"/>
      <c r="AH34" s="455"/>
      <c r="AI34" s="748"/>
      <c r="AJ34" s="32"/>
      <c r="AK34" s="455"/>
      <c r="AL34" s="748"/>
      <c r="AM34" s="32"/>
      <c r="AN34" s="455"/>
      <c r="AO34" s="748"/>
      <c r="AP34" s="32"/>
      <c r="AQ34" s="455"/>
      <c r="AR34" s="748"/>
      <c r="AS34" s="32"/>
      <c r="AT34" s="32"/>
      <c r="AV34" s="33"/>
    </row>
    <row r="35" spans="1:49" x14ac:dyDescent="0.2">
      <c r="A35" s="629">
        <v>27377</v>
      </c>
      <c r="B35" t="s">
        <v>284</v>
      </c>
      <c r="C35" t="s">
        <v>664</v>
      </c>
      <c r="D35" s="745">
        <v>36951</v>
      </c>
      <c r="E35" s="745">
        <v>37315</v>
      </c>
      <c r="F35" s="824">
        <v>-10000</v>
      </c>
      <c r="G35" s="748">
        <v>0.05</v>
      </c>
      <c r="I35" s="748">
        <f t="shared" si="38"/>
        <v>0.05</v>
      </c>
      <c r="J35" s="455">
        <v>0</v>
      </c>
      <c r="K35" s="748">
        <f t="shared" si="1"/>
        <v>0.05</v>
      </c>
      <c r="L35" s="32">
        <f t="shared" si="39"/>
        <v>0</v>
      </c>
      <c r="M35" s="455">
        <v>0</v>
      </c>
      <c r="N35" s="748">
        <f t="shared" si="3"/>
        <v>0.05</v>
      </c>
      <c r="O35" s="32">
        <f t="shared" si="40"/>
        <v>0</v>
      </c>
      <c r="P35" s="455">
        <f t="shared" si="30"/>
        <v>-10000</v>
      </c>
      <c r="Q35" s="748">
        <f t="shared" si="5"/>
        <v>0.05</v>
      </c>
      <c r="R35" s="32">
        <f t="shared" si="41"/>
        <v>-15500</v>
      </c>
      <c r="S35" s="455">
        <f t="shared" si="31"/>
        <v>-10000</v>
      </c>
      <c r="T35" s="748">
        <f t="shared" si="7"/>
        <v>0.05</v>
      </c>
      <c r="U35" s="32">
        <f t="shared" si="42"/>
        <v>-15000</v>
      </c>
      <c r="V35" s="455">
        <f t="shared" si="32"/>
        <v>-10000</v>
      </c>
      <c r="W35" s="748">
        <f t="shared" si="9"/>
        <v>0.05</v>
      </c>
      <c r="X35" s="32">
        <f t="shared" si="43"/>
        <v>-15500</v>
      </c>
      <c r="Y35" s="455">
        <f t="shared" si="33"/>
        <v>-10000</v>
      </c>
      <c r="Z35" s="748">
        <f t="shared" si="11"/>
        <v>0.05</v>
      </c>
      <c r="AA35" s="32">
        <f t="shared" si="44"/>
        <v>-15000</v>
      </c>
      <c r="AB35" s="455">
        <f t="shared" si="34"/>
        <v>-10000</v>
      </c>
      <c r="AC35" s="748">
        <f t="shared" si="13"/>
        <v>0.05</v>
      </c>
      <c r="AD35" s="32">
        <f t="shared" si="45"/>
        <v>-15500</v>
      </c>
      <c r="AE35" s="455">
        <f t="shared" si="35"/>
        <v>-10000</v>
      </c>
      <c r="AF35" s="748">
        <f t="shared" si="15"/>
        <v>0.05</v>
      </c>
      <c r="AG35" s="32">
        <f t="shared" si="46"/>
        <v>-15500</v>
      </c>
      <c r="AH35" s="455">
        <f t="shared" si="36"/>
        <v>-10000</v>
      </c>
      <c r="AI35" s="748">
        <f t="shared" si="17"/>
        <v>0.05</v>
      </c>
      <c r="AJ35" s="32">
        <f t="shared" si="47"/>
        <v>-15000</v>
      </c>
      <c r="AK35" s="455">
        <f t="shared" si="37"/>
        <v>-10000</v>
      </c>
      <c r="AL35" s="748">
        <f t="shared" si="19"/>
        <v>0.05</v>
      </c>
      <c r="AM35" s="32">
        <f t="shared" si="48"/>
        <v>-15500</v>
      </c>
      <c r="AN35" s="455">
        <f t="shared" si="21"/>
        <v>-10000</v>
      </c>
      <c r="AO35" s="748">
        <f t="shared" si="22"/>
        <v>0.05</v>
      </c>
      <c r="AP35" s="32">
        <f t="shared" si="49"/>
        <v>-15000</v>
      </c>
      <c r="AQ35" s="455">
        <f t="shared" si="24"/>
        <v>-10000</v>
      </c>
      <c r="AR35" s="748">
        <f t="shared" si="25"/>
        <v>0.05</v>
      </c>
      <c r="AS35" s="32">
        <f t="shared" si="50"/>
        <v>-15500</v>
      </c>
      <c r="AT35" s="32"/>
      <c r="AV35" s="33">
        <f t="shared" si="51"/>
        <v>-153000</v>
      </c>
    </row>
    <row r="36" spans="1:49" x14ac:dyDescent="0.2">
      <c r="A36" s="629">
        <v>27377</v>
      </c>
      <c r="B36" t="s">
        <v>284</v>
      </c>
      <c r="C36" t="s">
        <v>450</v>
      </c>
      <c r="D36" s="745"/>
      <c r="E36" s="745"/>
      <c r="F36" s="824">
        <v>10000</v>
      </c>
      <c r="G36" s="748">
        <v>0.05</v>
      </c>
      <c r="I36" s="748">
        <f>SUM(G36:H36)</f>
        <v>0.05</v>
      </c>
      <c r="J36" s="455">
        <f t="shared" si="27"/>
        <v>10000</v>
      </c>
      <c r="K36" s="748">
        <f t="shared" si="1"/>
        <v>0.05</v>
      </c>
      <c r="L36" s="32">
        <f t="shared" si="39"/>
        <v>15500</v>
      </c>
      <c r="M36" s="455">
        <f t="shared" si="28"/>
        <v>10000</v>
      </c>
      <c r="N36" s="748">
        <f t="shared" si="3"/>
        <v>0.05</v>
      </c>
      <c r="O36" s="32">
        <f t="shared" si="40"/>
        <v>14000</v>
      </c>
      <c r="P36" s="455">
        <v>0</v>
      </c>
      <c r="Q36" s="748">
        <f t="shared" si="5"/>
        <v>0.05</v>
      </c>
      <c r="R36" s="32">
        <f t="shared" si="41"/>
        <v>0</v>
      </c>
      <c r="S36" s="455">
        <v>0</v>
      </c>
      <c r="T36" s="748">
        <f t="shared" si="7"/>
        <v>0.05</v>
      </c>
      <c r="U36" s="32">
        <f t="shared" si="42"/>
        <v>0</v>
      </c>
      <c r="V36" s="455">
        <v>0</v>
      </c>
      <c r="W36" s="748">
        <f t="shared" si="9"/>
        <v>0.05</v>
      </c>
      <c r="X36" s="32">
        <f t="shared" si="43"/>
        <v>0</v>
      </c>
      <c r="Y36" s="455">
        <v>0</v>
      </c>
      <c r="Z36" s="748">
        <f t="shared" si="11"/>
        <v>0.05</v>
      </c>
      <c r="AA36" s="32">
        <f t="shared" si="44"/>
        <v>0</v>
      </c>
      <c r="AB36" s="455">
        <v>0</v>
      </c>
      <c r="AC36" s="748">
        <f t="shared" si="13"/>
        <v>0.05</v>
      </c>
      <c r="AD36" s="32">
        <f t="shared" si="45"/>
        <v>0</v>
      </c>
      <c r="AE36" s="455">
        <v>0</v>
      </c>
      <c r="AF36" s="748">
        <f t="shared" si="15"/>
        <v>0.05</v>
      </c>
      <c r="AG36" s="32">
        <f t="shared" si="46"/>
        <v>0</v>
      </c>
      <c r="AH36" s="455">
        <v>0</v>
      </c>
      <c r="AI36" s="748">
        <f t="shared" si="17"/>
        <v>0.05</v>
      </c>
      <c r="AJ36" s="32">
        <f t="shared" si="47"/>
        <v>0</v>
      </c>
      <c r="AK36" s="455">
        <v>0</v>
      </c>
      <c r="AL36" s="748">
        <f t="shared" si="19"/>
        <v>0.05</v>
      </c>
      <c r="AM36" s="32">
        <f t="shared" si="48"/>
        <v>0</v>
      </c>
      <c r="AN36" s="455">
        <v>0</v>
      </c>
      <c r="AO36" s="748">
        <f t="shared" si="22"/>
        <v>0.05</v>
      </c>
      <c r="AP36" s="32">
        <f t="shared" si="49"/>
        <v>0</v>
      </c>
      <c r="AQ36" s="455">
        <v>0</v>
      </c>
      <c r="AR36" s="748">
        <f t="shared" si="25"/>
        <v>0.05</v>
      </c>
      <c r="AS36" s="32">
        <f t="shared" si="50"/>
        <v>0</v>
      </c>
      <c r="AT36" s="32"/>
      <c r="AV36" s="33">
        <f t="shared" si="51"/>
        <v>29500</v>
      </c>
    </row>
    <row r="37" spans="1:49" x14ac:dyDescent="0.2">
      <c r="D37" s="745"/>
      <c r="E37" s="745"/>
      <c r="I37" s="748">
        <f t="shared" si="38"/>
        <v>0</v>
      </c>
      <c r="J37" s="455">
        <f t="shared" si="27"/>
        <v>0</v>
      </c>
      <c r="K37" s="748">
        <f t="shared" si="1"/>
        <v>0</v>
      </c>
      <c r="L37" s="32">
        <f t="shared" si="39"/>
        <v>0</v>
      </c>
      <c r="M37" s="455">
        <f t="shared" si="28"/>
        <v>0</v>
      </c>
      <c r="N37" s="748">
        <f t="shared" si="3"/>
        <v>0</v>
      </c>
      <c r="O37" s="32">
        <f t="shared" si="40"/>
        <v>0</v>
      </c>
      <c r="P37" s="455">
        <f t="shared" si="30"/>
        <v>0</v>
      </c>
      <c r="Q37" s="748">
        <f t="shared" si="5"/>
        <v>0</v>
      </c>
      <c r="R37" s="32">
        <f t="shared" si="41"/>
        <v>0</v>
      </c>
      <c r="S37" s="455">
        <f t="shared" si="31"/>
        <v>0</v>
      </c>
      <c r="T37" s="748">
        <f t="shared" si="7"/>
        <v>0</v>
      </c>
      <c r="U37" s="32">
        <f t="shared" si="42"/>
        <v>0</v>
      </c>
      <c r="V37" s="455">
        <f t="shared" si="32"/>
        <v>0</v>
      </c>
      <c r="W37" s="748">
        <f t="shared" si="9"/>
        <v>0</v>
      </c>
      <c r="X37" s="32">
        <f t="shared" si="43"/>
        <v>0</v>
      </c>
      <c r="Y37" s="455">
        <f t="shared" si="33"/>
        <v>0</v>
      </c>
      <c r="Z37" s="748">
        <f t="shared" si="11"/>
        <v>0</v>
      </c>
      <c r="AA37" s="32">
        <f t="shared" si="44"/>
        <v>0</v>
      </c>
      <c r="AB37" s="455">
        <f t="shared" si="34"/>
        <v>0</v>
      </c>
      <c r="AC37" s="748">
        <f t="shared" si="13"/>
        <v>0</v>
      </c>
      <c r="AD37" s="32">
        <f t="shared" si="45"/>
        <v>0</v>
      </c>
      <c r="AE37" s="455">
        <f t="shared" si="35"/>
        <v>0</v>
      </c>
      <c r="AF37" s="748">
        <f t="shared" si="15"/>
        <v>0</v>
      </c>
      <c r="AG37" s="32">
        <f t="shared" si="46"/>
        <v>0</v>
      </c>
      <c r="AH37" s="455">
        <f t="shared" si="36"/>
        <v>0</v>
      </c>
      <c r="AI37" s="748">
        <f t="shared" si="17"/>
        <v>0</v>
      </c>
      <c r="AJ37" s="32">
        <f t="shared" si="47"/>
        <v>0</v>
      </c>
      <c r="AK37" s="455">
        <f t="shared" si="37"/>
        <v>0</v>
      </c>
      <c r="AL37" s="748">
        <f t="shared" si="19"/>
        <v>0</v>
      </c>
      <c r="AM37" s="32">
        <f t="shared" si="48"/>
        <v>0</v>
      </c>
      <c r="AN37" s="455">
        <f t="shared" si="21"/>
        <v>0</v>
      </c>
      <c r="AO37" s="748">
        <f t="shared" si="22"/>
        <v>0</v>
      </c>
      <c r="AP37" s="32">
        <f t="shared" si="49"/>
        <v>0</v>
      </c>
      <c r="AQ37" s="455">
        <f t="shared" si="24"/>
        <v>0</v>
      </c>
      <c r="AR37" s="748">
        <f t="shared" si="25"/>
        <v>0</v>
      </c>
      <c r="AS37" s="32">
        <f t="shared" si="50"/>
        <v>0</v>
      </c>
      <c r="AT37" s="32"/>
      <c r="AV37" s="33">
        <f t="shared" si="51"/>
        <v>0</v>
      </c>
    </row>
    <row r="38" spans="1:49" x14ac:dyDescent="0.2">
      <c r="A38" s="629">
        <v>27579</v>
      </c>
      <c r="B38" t="s">
        <v>288</v>
      </c>
      <c r="C38" t="s">
        <v>664</v>
      </c>
      <c r="D38" s="745">
        <v>37012</v>
      </c>
      <c r="E38" s="745">
        <v>37407</v>
      </c>
      <c r="F38" s="824">
        <v>-20000</v>
      </c>
      <c r="G38" s="748">
        <v>0.06</v>
      </c>
      <c r="I38" s="748">
        <f t="shared" si="38"/>
        <v>0.06</v>
      </c>
      <c r="J38" s="455">
        <v>0</v>
      </c>
      <c r="K38" s="748">
        <f t="shared" si="1"/>
        <v>0.06</v>
      </c>
      <c r="L38" s="32">
        <f t="shared" si="39"/>
        <v>0</v>
      </c>
      <c r="M38" s="455">
        <v>0</v>
      </c>
      <c r="N38" s="748">
        <f t="shared" si="3"/>
        <v>0.06</v>
      </c>
      <c r="O38" s="32">
        <f t="shared" si="40"/>
        <v>0</v>
      </c>
      <c r="P38" s="455">
        <v>0</v>
      </c>
      <c r="Q38" s="748">
        <f t="shared" si="5"/>
        <v>0.06</v>
      </c>
      <c r="R38" s="32">
        <f t="shared" si="41"/>
        <v>0</v>
      </c>
      <c r="S38" s="455">
        <v>0</v>
      </c>
      <c r="T38" s="748">
        <f t="shared" si="7"/>
        <v>0.06</v>
      </c>
      <c r="U38" s="32">
        <f t="shared" si="42"/>
        <v>0</v>
      </c>
      <c r="V38" s="455">
        <f t="shared" si="32"/>
        <v>-20000</v>
      </c>
      <c r="W38" s="748">
        <f t="shared" si="9"/>
        <v>0.06</v>
      </c>
      <c r="X38" s="32">
        <f t="shared" si="43"/>
        <v>-37200</v>
      </c>
      <c r="Y38" s="455">
        <f t="shared" si="33"/>
        <v>-20000</v>
      </c>
      <c r="Z38" s="748">
        <f t="shared" si="11"/>
        <v>0.06</v>
      </c>
      <c r="AA38" s="32">
        <f t="shared" si="44"/>
        <v>-36000</v>
      </c>
      <c r="AB38" s="455">
        <f t="shared" si="34"/>
        <v>-20000</v>
      </c>
      <c r="AC38" s="748">
        <f t="shared" si="13"/>
        <v>0.06</v>
      </c>
      <c r="AD38" s="32">
        <f t="shared" si="45"/>
        <v>-37200</v>
      </c>
      <c r="AE38" s="455">
        <f t="shared" si="35"/>
        <v>-20000</v>
      </c>
      <c r="AF38" s="748">
        <f t="shared" si="15"/>
        <v>0.06</v>
      </c>
      <c r="AG38" s="32">
        <f t="shared" si="46"/>
        <v>-37200</v>
      </c>
      <c r="AH38" s="455">
        <f t="shared" si="36"/>
        <v>-20000</v>
      </c>
      <c r="AI38" s="748">
        <f t="shared" si="17"/>
        <v>0.06</v>
      </c>
      <c r="AJ38" s="32">
        <f t="shared" si="47"/>
        <v>-36000</v>
      </c>
      <c r="AK38" s="455">
        <f t="shared" si="37"/>
        <v>-20000</v>
      </c>
      <c r="AL38" s="748">
        <f t="shared" si="19"/>
        <v>0.06</v>
      </c>
      <c r="AM38" s="32">
        <f t="shared" si="48"/>
        <v>-37200</v>
      </c>
      <c r="AN38" s="455">
        <f t="shared" si="21"/>
        <v>-20000</v>
      </c>
      <c r="AO38" s="748">
        <f t="shared" si="22"/>
        <v>0.06</v>
      </c>
      <c r="AP38" s="32">
        <f t="shared" si="49"/>
        <v>-36000</v>
      </c>
      <c r="AQ38" s="455">
        <f t="shared" si="24"/>
        <v>-20000</v>
      </c>
      <c r="AR38" s="748">
        <f t="shared" si="25"/>
        <v>0.06</v>
      </c>
      <c r="AS38" s="32">
        <f t="shared" si="50"/>
        <v>-37200</v>
      </c>
      <c r="AT38" s="32"/>
      <c r="AV38" s="33">
        <f t="shared" si="51"/>
        <v>-294000</v>
      </c>
    </row>
    <row r="39" spans="1:49" x14ac:dyDescent="0.2">
      <c r="A39" s="629">
        <v>27579</v>
      </c>
      <c r="B39" t="s">
        <v>288</v>
      </c>
      <c r="C39" t="s">
        <v>450</v>
      </c>
      <c r="D39" s="745">
        <v>37012</v>
      </c>
      <c r="E39" s="745">
        <v>37407</v>
      </c>
      <c r="F39" s="824">
        <v>20000</v>
      </c>
      <c r="G39" s="748">
        <v>0.06</v>
      </c>
      <c r="I39" s="748">
        <f t="shared" si="38"/>
        <v>0.06</v>
      </c>
      <c r="J39" s="455">
        <f t="shared" si="27"/>
        <v>20000</v>
      </c>
      <c r="K39" s="748">
        <f t="shared" si="1"/>
        <v>0.06</v>
      </c>
      <c r="L39" s="32">
        <f t="shared" si="39"/>
        <v>37200</v>
      </c>
      <c r="M39" s="455">
        <f t="shared" si="28"/>
        <v>20000</v>
      </c>
      <c r="N39" s="748">
        <f t="shared" si="3"/>
        <v>0.06</v>
      </c>
      <c r="O39" s="32">
        <f t="shared" si="40"/>
        <v>33600</v>
      </c>
      <c r="P39" s="455">
        <f t="shared" si="30"/>
        <v>20000</v>
      </c>
      <c r="Q39" s="748">
        <f t="shared" si="5"/>
        <v>0.06</v>
      </c>
      <c r="R39" s="32">
        <f t="shared" si="41"/>
        <v>37200</v>
      </c>
      <c r="S39" s="455">
        <f t="shared" si="31"/>
        <v>20000</v>
      </c>
      <c r="T39" s="748">
        <f t="shared" si="7"/>
        <v>0.06</v>
      </c>
      <c r="U39" s="32">
        <f t="shared" si="42"/>
        <v>36000</v>
      </c>
      <c r="V39" s="455">
        <f t="shared" si="32"/>
        <v>20000</v>
      </c>
      <c r="W39" s="748">
        <f t="shared" si="9"/>
        <v>0.06</v>
      </c>
      <c r="X39" s="32">
        <f t="shared" si="43"/>
        <v>37200</v>
      </c>
      <c r="Y39" s="455">
        <v>0</v>
      </c>
      <c r="Z39" s="748">
        <f t="shared" si="11"/>
        <v>0.06</v>
      </c>
      <c r="AA39" s="32">
        <f t="shared" si="44"/>
        <v>0</v>
      </c>
      <c r="AB39" s="455">
        <v>0</v>
      </c>
      <c r="AC39" s="748">
        <f t="shared" si="13"/>
        <v>0.06</v>
      </c>
      <c r="AD39" s="32">
        <f t="shared" si="45"/>
        <v>0</v>
      </c>
      <c r="AE39" s="455">
        <v>0</v>
      </c>
      <c r="AF39" s="748">
        <f t="shared" si="15"/>
        <v>0.06</v>
      </c>
      <c r="AG39" s="32">
        <f t="shared" si="46"/>
        <v>0</v>
      </c>
      <c r="AH39" s="455">
        <v>0</v>
      </c>
      <c r="AI39" s="748">
        <f t="shared" si="17"/>
        <v>0.06</v>
      </c>
      <c r="AJ39" s="32">
        <f t="shared" si="47"/>
        <v>0</v>
      </c>
      <c r="AK39" s="455">
        <v>0</v>
      </c>
      <c r="AL39" s="748">
        <f t="shared" si="19"/>
        <v>0.06</v>
      </c>
      <c r="AM39" s="32">
        <f t="shared" si="48"/>
        <v>0</v>
      </c>
      <c r="AN39" s="455">
        <v>0</v>
      </c>
      <c r="AO39" s="748">
        <f t="shared" si="22"/>
        <v>0.06</v>
      </c>
      <c r="AP39" s="32">
        <f t="shared" si="49"/>
        <v>0</v>
      </c>
      <c r="AQ39" s="455">
        <v>0</v>
      </c>
      <c r="AR39" s="748">
        <f t="shared" si="25"/>
        <v>0.06</v>
      </c>
      <c r="AS39" s="32">
        <f t="shared" si="50"/>
        <v>0</v>
      </c>
      <c r="AT39" s="32"/>
      <c r="AV39" s="33">
        <f t="shared" si="51"/>
        <v>181200</v>
      </c>
    </row>
    <row r="40" spans="1:49" x14ac:dyDescent="0.2">
      <c r="A40" s="629">
        <v>27579</v>
      </c>
      <c r="B40" t="s">
        <v>630</v>
      </c>
      <c r="C40" t="s">
        <v>450</v>
      </c>
      <c r="D40" s="745">
        <v>37408</v>
      </c>
      <c r="E40" s="745">
        <v>37621</v>
      </c>
      <c r="F40" s="824">
        <v>20000</v>
      </c>
      <c r="G40" s="748">
        <v>0.06</v>
      </c>
      <c r="I40" s="748">
        <f t="shared" si="38"/>
        <v>0.06</v>
      </c>
      <c r="J40" s="455">
        <v>0</v>
      </c>
      <c r="K40" s="748">
        <f>IF(J40&gt;0,L40/J40/L$7,0)</f>
        <v>0</v>
      </c>
      <c r="L40" s="32">
        <v>0</v>
      </c>
      <c r="M40" s="455">
        <v>0</v>
      </c>
      <c r="N40" s="748">
        <f>IF(M40&gt;0,O40/M40/O$7,0)</f>
        <v>0</v>
      </c>
      <c r="O40" s="32">
        <v>0</v>
      </c>
      <c r="P40" s="455">
        <v>0</v>
      </c>
      <c r="Q40" s="748">
        <f>IF(P40&gt;0,R40/P40/R$7,0)</f>
        <v>0</v>
      </c>
      <c r="R40" s="32">
        <v>0</v>
      </c>
      <c r="S40" s="455">
        <v>0</v>
      </c>
      <c r="T40" s="748">
        <f>IF(S40&gt;0,U40/S40/U$7,0)</f>
        <v>0</v>
      </c>
      <c r="U40" s="32">
        <v>0</v>
      </c>
      <c r="V40" s="455">
        <v>0</v>
      </c>
      <c r="W40" s="748">
        <v>0</v>
      </c>
      <c r="X40" s="32">
        <v>0</v>
      </c>
      <c r="Y40" s="455">
        <v>20000</v>
      </c>
      <c r="Z40" s="748">
        <f t="shared" si="11"/>
        <v>0.06</v>
      </c>
      <c r="AA40" s="32">
        <f>Y40*Z40*AA$7</f>
        <v>36000</v>
      </c>
      <c r="AB40" s="455">
        <v>20000</v>
      </c>
      <c r="AC40" s="748">
        <f>IF(AB40&gt;0,AD40/AB40/AD$7,0)</f>
        <v>6.0000000000000005E-2</v>
      </c>
      <c r="AD40" s="32">
        <f>ROUND($F40*$G40*AD$7,0)</f>
        <v>37200</v>
      </c>
      <c r="AE40" s="455">
        <v>20000</v>
      </c>
      <c r="AF40" s="748">
        <f>IF(AE40&gt;0,AG40/AE40/AG$7,0)</f>
        <v>6.0000000000000005E-2</v>
      </c>
      <c r="AG40" s="32">
        <f>ROUND($F40*$G40*AG$7,0)</f>
        <v>37200</v>
      </c>
      <c r="AH40" s="455">
        <v>20000</v>
      </c>
      <c r="AI40" s="748">
        <f t="shared" si="17"/>
        <v>0.06</v>
      </c>
      <c r="AJ40" s="32">
        <f>AH40*AI40*AJ$7</f>
        <v>36000</v>
      </c>
      <c r="AK40" s="455">
        <v>20000</v>
      </c>
      <c r="AL40" s="748">
        <f t="shared" si="19"/>
        <v>0.06</v>
      </c>
      <c r="AM40" s="32">
        <f>AK40*AL40*AM$7</f>
        <v>37200</v>
      </c>
      <c r="AN40" s="455">
        <v>20000</v>
      </c>
      <c r="AO40" s="748">
        <f t="shared" si="22"/>
        <v>0.06</v>
      </c>
      <c r="AP40" s="32">
        <f>AN40*AO40*AP$7</f>
        <v>36000</v>
      </c>
      <c r="AQ40" s="455">
        <v>20000</v>
      </c>
      <c r="AR40" s="748">
        <f t="shared" si="25"/>
        <v>0.06</v>
      </c>
      <c r="AS40" s="32">
        <f>AQ40*AR40*AS$7</f>
        <v>37200</v>
      </c>
      <c r="AT40" s="32"/>
      <c r="AV40" s="33">
        <f t="shared" si="51"/>
        <v>256800</v>
      </c>
    </row>
    <row r="41" spans="1:49" x14ac:dyDescent="0.2">
      <c r="D41" s="745"/>
      <c r="E41" s="745"/>
      <c r="I41" s="748">
        <f t="shared" si="38"/>
        <v>0</v>
      </c>
      <c r="J41" s="455">
        <f t="shared" si="27"/>
        <v>0</v>
      </c>
      <c r="K41" s="748">
        <f t="shared" si="1"/>
        <v>0</v>
      </c>
      <c r="L41" s="32">
        <f t="shared" si="39"/>
        <v>0</v>
      </c>
      <c r="M41" s="455">
        <f t="shared" si="28"/>
        <v>0</v>
      </c>
      <c r="N41" s="748">
        <f t="shared" si="3"/>
        <v>0</v>
      </c>
      <c r="O41" s="32">
        <f t="shared" si="40"/>
        <v>0</v>
      </c>
      <c r="P41" s="455">
        <f t="shared" si="30"/>
        <v>0</v>
      </c>
      <c r="Q41" s="748">
        <f t="shared" si="5"/>
        <v>0</v>
      </c>
      <c r="R41" s="32">
        <f t="shared" si="41"/>
        <v>0</v>
      </c>
      <c r="S41" s="455">
        <f t="shared" si="31"/>
        <v>0</v>
      </c>
      <c r="T41" s="748">
        <f t="shared" si="7"/>
        <v>0</v>
      </c>
      <c r="U41" s="32">
        <f t="shared" si="42"/>
        <v>0</v>
      </c>
      <c r="V41" s="455">
        <f t="shared" si="32"/>
        <v>0</v>
      </c>
      <c r="W41" s="748">
        <f t="shared" si="9"/>
        <v>0</v>
      </c>
      <c r="X41" s="32">
        <f t="shared" si="43"/>
        <v>0</v>
      </c>
      <c r="Y41" s="455">
        <f t="shared" si="33"/>
        <v>0</v>
      </c>
      <c r="Z41" s="748">
        <f t="shared" si="11"/>
        <v>0</v>
      </c>
      <c r="AA41" s="32">
        <f>Y41*Z41*AA$7</f>
        <v>0</v>
      </c>
      <c r="AB41" s="455">
        <f t="shared" si="34"/>
        <v>0</v>
      </c>
      <c r="AC41" s="748">
        <f t="shared" si="13"/>
        <v>0</v>
      </c>
      <c r="AD41" s="32">
        <f t="shared" si="45"/>
        <v>0</v>
      </c>
      <c r="AE41" s="455">
        <f t="shared" si="35"/>
        <v>0</v>
      </c>
      <c r="AF41" s="748">
        <f t="shared" si="15"/>
        <v>0</v>
      </c>
      <c r="AG41" s="32">
        <f t="shared" si="46"/>
        <v>0</v>
      </c>
      <c r="AH41" s="455">
        <f t="shared" si="36"/>
        <v>0</v>
      </c>
      <c r="AI41" s="748">
        <f t="shared" si="17"/>
        <v>0</v>
      </c>
      <c r="AJ41" s="32">
        <f>AH41*AI41*AJ$7</f>
        <v>0</v>
      </c>
      <c r="AK41" s="455">
        <f t="shared" si="37"/>
        <v>0</v>
      </c>
      <c r="AL41" s="748">
        <f t="shared" si="19"/>
        <v>0</v>
      </c>
      <c r="AM41" s="32">
        <f>AK41*AL41*AM$7</f>
        <v>0</v>
      </c>
      <c r="AN41" s="455">
        <f t="shared" si="21"/>
        <v>0</v>
      </c>
      <c r="AO41" s="748">
        <f t="shared" si="22"/>
        <v>0</v>
      </c>
      <c r="AP41" s="32">
        <f>AN41*AO41*AP$7</f>
        <v>0</v>
      </c>
      <c r="AQ41" s="455">
        <f t="shared" si="24"/>
        <v>0</v>
      </c>
      <c r="AR41" s="748">
        <f t="shared" si="25"/>
        <v>0</v>
      </c>
      <c r="AS41" s="32">
        <f>AQ41*AR41*AS$7</f>
        <v>0</v>
      </c>
      <c r="AT41" s="32"/>
      <c r="AV41" s="33">
        <f t="shared" si="51"/>
        <v>0</v>
      </c>
    </row>
    <row r="42" spans="1:49" x14ac:dyDescent="0.2">
      <c r="A42" s="629">
        <v>27161</v>
      </c>
      <c r="B42" t="s">
        <v>316</v>
      </c>
      <c r="C42" t="s">
        <v>664</v>
      </c>
      <c r="D42" s="745">
        <v>36617</v>
      </c>
      <c r="E42" s="745">
        <v>37711</v>
      </c>
      <c r="F42" s="824">
        <v>-400000</v>
      </c>
      <c r="G42" s="748">
        <v>7.4999999999999997E-3</v>
      </c>
      <c r="H42" s="748">
        <v>9.2999999999999992E-3</v>
      </c>
      <c r="I42" s="748">
        <f t="shared" si="38"/>
        <v>1.6799999999999999E-2</v>
      </c>
      <c r="J42" s="455">
        <f t="shared" si="27"/>
        <v>-400000</v>
      </c>
      <c r="K42" s="748">
        <f t="shared" si="1"/>
        <v>7.4999999999999997E-3</v>
      </c>
      <c r="L42" s="32">
        <f t="shared" si="39"/>
        <v>-93000</v>
      </c>
      <c r="M42" s="455">
        <f t="shared" si="28"/>
        <v>-400000</v>
      </c>
      <c r="N42" s="748">
        <f t="shared" si="3"/>
        <v>7.4999999999999997E-3</v>
      </c>
      <c r="O42" s="32">
        <f t="shared" si="40"/>
        <v>-84000</v>
      </c>
      <c r="P42" s="455">
        <f t="shared" si="30"/>
        <v>-400000</v>
      </c>
      <c r="Q42" s="748">
        <f t="shared" si="5"/>
        <v>7.4999999999999997E-3</v>
      </c>
      <c r="R42" s="32">
        <f t="shared" si="41"/>
        <v>-93000</v>
      </c>
      <c r="S42" s="455">
        <f t="shared" si="31"/>
        <v>-400000</v>
      </c>
      <c r="T42" s="748">
        <f t="shared" si="7"/>
        <v>7.4999999999999997E-3</v>
      </c>
      <c r="U42" s="32">
        <f t="shared" si="42"/>
        <v>-90000</v>
      </c>
      <c r="V42" s="455">
        <f t="shared" si="32"/>
        <v>-400000</v>
      </c>
      <c r="W42" s="748">
        <f t="shared" si="9"/>
        <v>7.4999999999999997E-3</v>
      </c>
      <c r="X42" s="32">
        <f t="shared" si="43"/>
        <v>-93000</v>
      </c>
      <c r="Y42" s="455">
        <f t="shared" si="33"/>
        <v>-400000</v>
      </c>
      <c r="Z42" s="748">
        <f t="shared" si="11"/>
        <v>7.4999999999999997E-3</v>
      </c>
      <c r="AA42" s="32">
        <f t="shared" si="44"/>
        <v>-90000</v>
      </c>
      <c r="AB42" s="455">
        <f t="shared" si="34"/>
        <v>-400000</v>
      </c>
      <c r="AC42" s="748">
        <f t="shared" si="13"/>
        <v>7.4999999999999997E-3</v>
      </c>
      <c r="AD42" s="32">
        <f t="shared" si="45"/>
        <v>-93000</v>
      </c>
      <c r="AE42" s="455">
        <f t="shared" si="35"/>
        <v>-400000</v>
      </c>
      <c r="AF42" s="748">
        <f t="shared" si="15"/>
        <v>7.4999999999999997E-3</v>
      </c>
      <c r="AG42" s="32">
        <f t="shared" si="46"/>
        <v>-93000</v>
      </c>
      <c r="AH42" s="455">
        <f t="shared" si="36"/>
        <v>-400000</v>
      </c>
      <c r="AI42" s="748">
        <f t="shared" si="17"/>
        <v>7.4999999999999997E-3</v>
      </c>
      <c r="AJ42" s="32">
        <f t="shared" si="47"/>
        <v>-90000</v>
      </c>
      <c r="AK42" s="455">
        <f t="shared" si="37"/>
        <v>-400000</v>
      </c>
      <c r="AL42" s="748">
        <f t="shared" si="19"/>
        <v>7.4999999999999997E-3</v>
      </c>
      <c r="AM42" s="32">
        <f t="shared" si="48"/>
        <v>-93000</v>
      </c>
      <c r="AN42" s="455">
        <f t="shared" si="21"/>
        <v>-400000</v>
      </c>
      <c r="AO42" s="748">
        <f t="shared" si="22"/>
        <v>7.4999999999999997E-3</v>
      </c>
      <c r="AP42" s="32">
        <f t="shared" si="49"/>
        <v>-90000</v>
      </c>
      <c r="AQ42" s="455">
        <f t="shared" si="24"/>
        <v>-400000</v>
      </c>
      <c r="AR42" s="748">
        <f t="shared" si="25"/>
        <v>7.4999999999999997E-3</v>
      </c>
      <c r="AS42" s="32">
        <f t="shared" si="50"/>
        <v>-93000</v>
      </c>
      <c r="AT42" s="32"/>
      <c r="AV42" s="33">
        <f t="shared" si="51"/>
        <v>-1095000</v>
      </c>
    </row>
    <row r="43" spans="1:49" x14ac:dyDescent="0.2">
      <c r="A43" s="629">
        <v>27161</v>
      </c>
      <c r="B43" t="s">
        <v>316</v>
      </c>
      <c r="C43" t="s">
        <v>664</v>
      </c>
      <c r="D43" s="745">
        <v>36617</v>
      </c>
      <c r="E43" s="745">
        <v>37711</v>
      </c>
      <c r="G43" s="748" t="s">
        <v>669</v>
      </c>
      <c r="J43" s="455"/>
      <c r="L43" s="32"/>
      <c r="M43" s="455"/>
      <c r="N43" s="748"/>
      <c r="O43" s="32"/>
      <c r="P43" s="455"/>
      <c r="Q43" s="748"/>
      <c r="R43" s="32"/>
      <c r="S43" s="455"/>
      <c r="T43" s="748"/>
      <c r="U43" s="32"/>
      <c r="V43" s="455"/>
      <c r="W43" s="748"/>
      <c r="X43" s="32">
        <v>-100000</v>
      </c>
      <c r="Y43" s="455"/>
      <c r="Z43" s="748"/>
      <c r="AA43" s="32"/>
      <c r="AB43" s="455"/>
      <c r="AC43" s="748"/>
      <c r="AD43" s="32"/>
      <c r="AE43" s="455"/>
      <c r="AF43" s="748"/>
      <c r="AG43" s="32"/>
      <c r="AH43" s="455"/>
      <c r="AI43" s="748"/>
      <c r="AJ43" s="32"/>
      <c r="AK43" s="455"/>
      <c r="AL43" s="748"/>
      <c r="AM43" s="32"/>
      <c r="AN43" s="455"/>
      <c r="AO43" s="748"/>
      <c r="AP43" s="32"/>
      <c r="AQ43" s="455"/>
      <c r="AR43" s="748"/>
      <c r="AS43" s="32">
        <v>0</v>
      </c>
      <c r="AT43" s="32"/>
      <c r="AV43" s="33">
        <f t="shared" si="51"/>
        <v>-100000</v>
      </c>
    </row>
    <row r="44" spans="1:49" x14ac:dyDescent="0.2">
      <c r="A44" s="629">
        <v>27161</v>
      </c>
      <c r="B44" t="s">
        <v>316</v>
      </c>
      <c r="C44" t="s">
        <v>450</v>
      </c>
      <c r="D44" s="745">
        <v>36617</v>
      </c>
      <c r="E44" s="745">
        <v>37711</v>
      </c>
      <c r="F44" s="824">
        <v>400000</v>
      </c>
      <c r="G44" s="748">
        <v>2.5000000000000001E-2</v>
      </c>
      <c r="H44" s="748">
        <v>9.2999999999999992E-3</v>
      </c>
      <c r="I44" s="748">
        <f>SUM(G44:H44)</f>
        <v>3.4299999999999997E-2</v>
      </c>
      <c r="J44" s="455">
        <f t="shared" si="27"/>
        <v>400000</v>
      </c>
      <c r="K44" s="748">
        <f t="shared" si="1"/>
        <v>2.5000000000000001E-2</v>
      </c>
      <c r="L44" s="32">
        <f>J44*K44*L$7</f>
        <v>310000</v>
      </c>
      <c r="M44" s="455">
        <f t="shared" si="28"/>
        <v>400000</v>
      </c>
      <c r="N44" s="748">
        <f t="shared" si="3"/>
        <v>2.5000000000000001E-2</v>
      </c>
      <c r="O44" s="32">
        <f>M44*N44*O$7</f>
        <v>280000</v>
      </c>
      <c r="P44" s="455">
        <f t="shared" si="30"/>
        <v>400000</v>
      </c>
      <c r="Q44" s="748">
        <f t="shared" si="5"/>
        <v>2.5000000000000001E-2</v>
      </c>
      <c r="R44" s="32">
        <f>P44*Q44*R$7</f>
        <v>310000</v>
      </c>
      <c r="S44" s="455">
        <f t="shared" si="31"/>
        <v>400000</v>
      </c>
      <c r="T44" s="748">
        <f t="shared" si="7"/>
        <v>2.5000000000000001E-2</v>
      </c>
      <c r="U44" s="32">
        <f>S44*T44*U$7</f>
        <v>300000</v>
      </c>
      <c r="V44" s="455">
        <f t="shared" si="32"/>
        <v>400000</v>
      </c>
      <c r="W44" s="748">
        <f t="shared" si="9"/>
        <v>2.5000000000000001E-2</v>
      </c>
      <c r="X44" s="32">
        <f>V44*W44*X$7</f>
        <v>310000</v>
      </c>
      <c r="Y44" s="455">
        <f t="shared" si="33"/>
        <v>400000</v>
      </c>
      <c r="Z44" s="748">
        <f t="shared" si="11"/>
        <v>2.5000000000000001E-2</v>
      </c>
      <c r="AA44" s="32">
        <f>Y44*Z44*AA$7</f>
        <v>300000</v>
      </c>
      <c r="AB44" s="455">
        <f t="shared" si="34"/>
        <v>400000</v>
      </c>
      <c r="AC44" s="748">
        <f t="shared" si="13"/>
        <v>2.5000000000000001E-2</v>
      </c>
      <c r="AD44" s="32">
        <f>AB44*AC44*AD$7</f>
        <v>310000</v>
      </c>
      <c r="AE44" s="455">
        <f t="shared" si="35"/>
        <v>400000</v>
      </c>
      <c r="AF44" s="748">
        <f t="shared" si="15"/>
        <v>2.5000000000000001E-2</v>
      </c>
      <c r="AG44" s="32">
        <f>AE44*AF44*AG$7</f>
        <v>310000</v>
      </c>
      <c r="AH44" s="455">
        <f t="shared" si="36"/>
        <v>400000</v>
      </c>
      <c r="AI44" s="748">
        <f t="shared" si="17"/>
        <v>2.5000000000000001E-2</v>
      </c>
      <c r="AJ44" s="32">
        <f>AH44*AI44*AJ$7</f>
        <v>300000</v>
      </c>
      <c r="AK44" s="455">
        <f t="shared" si="37"/>
        <v>400000</v>
      </c>
      <c r="AL44" s="748">
        <f t="shared" si="19"/>
        <v>2.5000000000000001E-2</v>
      </c>
      <c r="AM44" s="32">
        <f>AK44*AL44*AM$7</f>
        <v>310000</v>
      </c>
      <c r="AN44" s="455">
        <f t="shared" si="21"/>
        <v>400000</v>
      </c>
      <c r="AO44" s="748">
        <f t="shared" si="22"/>
        <v>2.5000000000000001E-2</v>
      </c>
      <c r="AP44" s="32">
        <f>AN44*AO44*AP$7</f>
        <v>300000</v>
      </c>
      <c r="AQ44" s="455">
        <f t="shared" si="24"/>
        <v>400000</v>
      </c>
      <c r="AR44" s="748">
        <f t="shared" si="25"/>
        <v>2.5000000000000001E-2</v>
      </c>
      <c r="AS44" s="32">
        <f>AQ44*AR44*AS$7</f>
        <v>310000</v>
      </c>
      <c r="AT44" s="32"/>
      <c r="AV44" s="33">
        <f>AS44+AP44+AM44+AJ44+AG44+AD44+AA44+X44+U44+R44+O44+L44</f>
        <v>3650000</v>
      </c>
      <c r="AW44" s="33">
        <f>SUM(AV42:AV44)</f>
        <v>2455000</v>
      </c>
    </row>
    <row r="45" spans="1:49" x14ac:dyDescent="0.2">
      <c r="D45" s="745"/>
      <c r="E45" s="745"/>
      <c r="I45" s="748">
        <f>SUM(G45:H45)</f>
        <v>0</v>
      </c>
      <c r="J45" s="455">
        <f t="shared" si="27"/>
        <v>0</v>
      </c>
      <c r="K45" s="748">
        <f t="shared" si="1"/>
        <v>0</v>
      </c>
      <c r="L45" s="32">
        <f>J45*K45*L$7</f>
        <v>0</v>
      </c>
      <c r="M45" s="455">
        <f t="shared" si="28"/>
        <v>0</v>
      </c>
      <c r="N45" s="748">
        <f t="shared" si="3"/>
        <v>0</v>
      </c>
      <c r="O45" s="32">
        <f>M45*N45*O$7</f>
        <v>0</v>
      </c>
      <c r="P45" s="455">
        <f t="shared" si="30"/>
        <v>0</v>
      </c>
      <c r="Q45" s="748">
        <f t="shared" si="5"/>
        <v>0</v>
      </c>
      <c r="R45" s="32">
        <f>P45*Q45*R$7</f>
        <v>0</v>
      </c>
      <c r="S45" s="455">
        <f t="shared" si="31"/>
        <v>0</v>
      </c>
      <c r="T45" s="748">
        <f t="shared" si="7"/>
        <v>0</v>
      </c>
      <c r="U45" s="32">
        <f>S45*T45*U$7</f>
        <v>0</v>
      </c>
      <c r="V45" s="455">
        <f t="shared" si="32"/>
        <v>0</v>
      </c>
      <c r="W45" s="748">
        <f t="shared" si="9"/>
        <v>0</v>
      </c>
      <c r="X45" s="32">
        <f>V45*W45*X$7</f>
        <v>0</v>
      </c>
      <c r="Y45" s="455">
        <f t="shared" si="33"/>
        <v>0</v>
      </c>
      <c r="Z45" s="748">
        <f t="shared" si="11"/>
        <v>0</v>
      </c>
      <c r="AA45" s="32">
        <f>Y45*Z45*AA$7</f>
        <v>0</v>
      </c>
      <c r="AB45" s="455">
        <f t="shared" si="34"/>
        <v>0</v>
      </c>
      <c r="AC45" s="748">
        <f t="shared" si="13"/>
        <v>0</v>
      </c>
      <c r="AD45" s="32">
        <f>AB45*AC45*AD$7</f>
        <v>0</v>
      </c>
      <c r="AE45" s="455">
        <f t="shared" si="35"/>
        <v>0</v>
      </c>
      <c r="AF45" s="748">
        <f t="shared" si="15"/>
        <v>0</v>
      </c>
      <c r="AG45" s="32">
        <f>AE45*AF45*AG$7</f>
        <v>0</v>
      </c>
      <c r="AH45" s="455">
        <f t="shared" si="36"/>
        <v>0</v>
      </c>
      <c r="AI45" s="748">
        <f t="shared" si="17"/>
        <v>0</v>
      </c>
      <c r="AJ45" s="32">
        <f>AH45*AI45*AJ$7</f>
        <v>0</v>
      </c>
      <c r="AK45" s="455">
        <f t="shared" si="37"/>
        <v>0</v>
      </c>
      <c r="AL45" s="748">
        <f t="shared" si="19"/>
        <v>0</v>
      </c>
      <c r="AM45" s="32">
        <f>AK45*AL45*AM$7</f>
        <v>0</v>
      </c>
      <c r="AN45" s="455">
        <f t="shared" si="21"/>
        <v>0</v>
      </c>
      <c r="AO45" s="748">
        <f t="shared" si="22"/>
        <v>0</v>
      </c>
      <c r="AP45" s="32">
        <f>AN45*AO45*AP$7</f>
        <v>0</v>
      </c>
      <c r="AQ45" s="455">
        <f t="shared" si="24"/>
        <v>0</v>
      </c>
      <c r="AR45" s="748">
        <f t="shared" si="25"/>
        <v>0</v>
      </c>
      <c r="AS45" s="32">
        <f>AQ45*AR45*AS$7</f>
        <v>0</v>
      </c>
      <c r="AT45" s="32"/>
      <c r="AV45" s="33">
        <f>AS45+AP45+AM45+AJ45+AG45+AD45+AA45+X45+U45+R45+O45+L45</f>
        <v>0</v>
      </c>
    </row>
    <row r="46" spans="1:49" x14ac:dyDescent="0.2">
      <c r="D46" s="745"/>
      <c r="E46" s="745"/>
      <c r="I46" s="748">
        <f>SUM(G46:H46)</f>
        <v>0</v>
      </c>
      <c r="J46" s="455">
        <f t="shared" si="27"/>
        <v>0</v>
      </c>
      <c r="K46" s="748">
        <f t="shared" si="1"/>
        <v>0</v>
      </c>
      <c r="L46" s="32">
        <f>J46*K46*L$7</f>
        <v>0</v>
      </c>
      <c r="M46" s="455">
        <f t="shared" si="28"/>
        <v>0</v>
      </c>
      <c r="N46" s="748">
        <f t="shared" si="3"/>
        <v>0</v>
      </c>
      <c r="O46" s="32">
        <f>M46*N46*O$7</f>
        <v>0</v>
      </c>
      <c r="P46" s="455">
        <f t="shared" si="30"/>
        <v>0</v>
      </c>
      <c r="Q46" s="748">
        <f t="shared" si="5"/>
        <v>0</v>
      </c>
      <c r="R46" s="32">
        <f>P46*Q46*R$7</f>
        <v>0</v>
      </c>
      <c r="S46" s="455">
        <f t="shared" si="31"/>
        <v>0</v>
      </c>
      <c r="T46" s="748">
        <f t="shared" si="7"/>
        <v>0</v>
      </c>
      <c r="U46" s="32">
        <f>S46*T46*U$7</f>
        <v>0</v>
      </c>
      <c r="V46" s="455">
        <f t="shared" si="32"/>
        <v>0</v>
      </c>
      <c r="W46" s="748">
        <f t="shared" si="9"/>
        <v>0</v>
      </c>
      <c r="X46" s="32">
        <f>V46*W46*X$7</f>
        <v>0</v>
      </c>
      <c r="Y46" s="455">
        <f t="shared" si="33"/>
        <v>0</v>
      </c>
      <c r="Z46" s="748">
        <f t="shared" si="11"/>
        <v>0</v>
      </c>
      <c r="AA46" s="32">
        <f>Y46*Z46*AA$7</f>
        <v>0</v>
      </c>
      <c r="AB46" s="455">
        <f t="shared" si="34"/>
        <v>0</v>
      </c>
      <c r="AC46" s="748">
        <f t="shared" si="13"/>
        <v>0</v>
      </c>
      <c r="AD46" s="32">
        <f>AB46*AC46*AD$7</f>
        <v>0</v>
      </c>
      <c r="AE46" s="455">
        <f t="shared" si="35"/>
        <v>0</v>
      </c>
      <c r="AF46" s="748">
        <f t="shared" si="15"/>
        <v>0</v>
      </c>
      <c r="AG46" s="32">
        <f>AE46*AF46*AG$7</f>
        <v>0</v>
      </c>
      <c r="AH46" s="455">
        <f t="shared" si="36"/>
        <v>0</v>
      </c>
      <c r="AI46" s="748">
        <f t="shared" si="17"/>
        <v>0</v>
      </c>
      <c r="AJ46" s="32">
        <f>AH46*AI46*AJ$7</f>
        <v>0</v>
      </c>
      <c r="AK46" s="455">
        <f t="shared" si="37"/>
        <v>0</v>
      </c>
      <c r="AL46" s="748">
        <f t="shared" si="19"/>
        <v>0</v>
      </c>
      <c r="AM46" s="32">
        <f>AK46*AL46*AM$7</f>
        <v>0</v>
      </c>
      <c r="AN46" s="455">
        <f t="shared" si="21"/>
        <v>0</v>
      </c>
      <c r="AO46" s="748">
        <f t="shared" si="22"/>
        <v>0</v>
      </c>
      <c r="AP46" s="32">
        <f>AN46*AO46*AP$7</f>
        <v>0</v>
      </c>
      <c r="AQ46" s="455">
        <f t="shared" si="24"/>
        <v>0</v>
      </c>
      <c r="AR46" s="748">
        <f t="shared" si="25"/>
        <v>0</v>
      </c>
      <c r="AS46" s="32">
        <f>AQ46*AR46*AS$7</f>
        <v>0</v>
      </c>
      <c r="AT46" s="32"/>
      <c r="AV46" s="33">
        <f>AS46+AP46+AM46+AJ46+AG46+AD46+AA46+X46+U46+R46+O46+L46</f>
        <v>0</v>
      </c>
    </row>
    <row r="47" spans="1:49" x14ac:dyDescent="0.2">
      <c r="D47" s="745"/>
      <c r="E47" s="745"/>
      <c r="I47" s="748">
        <f>SUM(G47:H47)</f>
        <v>0</v>
      </c>
      <c r="J47" s="455">
        <f t="shared" si="27"/>
        <v>0</v>
      </c>
      <c r="K47" s="748">
        <f t="shared" si="1"/>
        <v>0</v>
      </c>
      <c r="L47" s="32">
        <f>J47*K47*L$7</f>
        <v>0</v>
      </c>
      <c r="M47" s="455">
        <f t="shared" si="28"/>
        <v>0</v>
      </c>
      <c r="N47" s="748">
        <f t="shared" si="3"/>
        <v>0</v>
      </c>
      <c r="O47" s="32">
        <f>M47*N47*O$7</f>
        <v>0</v>
      </c>
      <c r="P47" s="455">
        <f t="shared" si="30"/>
        <v>0</v>
      </c>
      <c r="Q47" s="748">
        <f t="shared" si="5"/>
        <v>0</v>
      </c>
      <c r="R47" s="32">
        <f>P47*Q47*R$7</f>
        <v>0</v>
      </c>
      <c r="S47" s="455">
        <f t="shared" si="31"/>
        <v>0</v>
      </c>
      <c r="T47" s="748">
        <f t="shared" si="7"/>
        <v>0</v>
      </c>
      <c r="U47" s="32">
        <f>S47*T47*U$7</f>
        <v>0</v>
      </c>
      <c r="V47" s="455">
        <f t="shared" si="32"/>
        <v>0</v>
      </c>
      <c r="W47" s="748">
        <f t="shared" si="9"/>
        <v>0</v>
      </c>
      <c r="X47" s="32">
        <f>V47*W47*X$7</f>
        <v>0</v>
      </c>
      <c r="Y47" s="455">
        <f t="shared" si="33"/>
        <v>0</v>
      </c>
      <c r="Z47" s="748">
        <f t="shared" si="11"/>
        <v>0</v>
      </c>
      <c r="AA47" s="32">
        <f>Y47*Z47*AA$7</f>
        <v>0</v>
      </c>
      <c r="AB47" s="455">
        <f t="shared" si="34"/>
        <v>0</v>
      </c>
      <c r="AC47" s="748">
        <f t="shared" si="13"/>
        <v>0</v>
      </c>
      <c r="AD47" s="32">
        <f>AB47*AC47*AD$7</f>
        <v>0</v>
      </c>
      <c r="AE47" s="455">
        <f t="shared" si="35"/>
        <v>0</v>
      </c>
      <c r="AF47" s="748">
        <f t="shared" si="15"/>
        <v>0</v>
      </c>
      <c r="AG47" s="32">
        <f>AE47*AF47*AG$7</f>
        <v>0</v>
      </c>
      <c r="AH47" s="455">
        <f t="shared" si="36"/>
        <v>0</v>
      </c>
      <c r="AI47" s="748">
        <f t="shared" si="17"/>
        <v>0</v>
      </c>
      <c r="AJ47" s="32">
        <f>AH47*AI47*AJ$7</f>
        <v>0</v>
      </c>
      <c r="AK47" s="455">
        <f t="shared" si="37"/>
        <v>0</v>
      </c>
      <c r="AL47" s="748">
        <f t="shared" si="19"/>
        <v>0</v>
      </c>
      <c r="AM47" s="32">
        <f>AK47*AL47*AM$7</f>
        <v>0</v>
      </c>
      <c r="AN47" s="455">
        <f t="shared" si="21"/>
        <v>0</v>
      </c>
      <c r="AO47" s="748">
        <f t="shared" si="22"/>
        <v>0</v>
      </c>
      <c r="AP47" s="32">
        <f>AN47*AO47*AP$7</f>
        <v>0</v>
      </c>
      <c r="AQ47" s="455">
        <f t="shared" si="24"/>
        <v>0</v>
      </c>
      <c r="AR47" s="748">
        <f t="shared" si="25"/>
        <v>0</v>
      </c>
      <c r="AS47" s="32">
        <f>AQ47*AR47*AS$7</f>
        <v>0</v>
      </c>
      <c r="AT47" s="32"/>
      <c r="AV47" s="33">
        <f>AS47+AP47+AM47+AJ47+AG47+AD47+AA47+X47+U47+R47+O47+L47</f>
        <v>0</v>
      </c>
    </row>
    <row r="48" spans="1:49" x14ac:dyDescent="0.2">
      <c r="D48" s="745"/>
      <c r="E48" s="745"/>
      <c r="J48" s="455"/>
      <c r="L48" s="32"/>
      <c r="M48" s="455"/>
      <c r="N48" s="748"/>
      <c r="O48" s="32"/>
      <c r="P48" s="455"/>
      <c r="Q48" s="748"/>
      <c r="R48" s="32"/>
      <c r="S48" s="455"/>
      <c r="T48" s="748"/>
      <c r="U48" s="32"/>
      <c r="V48" s="455"/>
      <c r="W48" s="748"/>
      <c r="X48" s="32"/>
      <c r="Y48" s="455"/>
      <c r="Z48" s="748"/>
      <c r="AA48" s="32"/>
      <c r="AB48" s="455"/>
      <c r="AC48" s="748"/>
      <c r="AD48" s="32"/>
      <c r="AE48" s="455"/>
      <c r="AF48" s="748"/>
      <c r="AG48" s="32"/>
      <c r="AH48" s="455"/>
      <c r="AI48" s="748"/>
      <c r="AJ48" s="32"/>
      <c r="AK48" s="455"/>
      <c r="AL48" s="748"/>
      <c r="AM48" s="32"/>
      <c r="AN48" s="455"/>
      <c r="AO48" s="748"/>
      <c r="AP48" s="32"/>
      <c r="AQ48" s="455"/>
      <c r="AR48" s="748"/>
      <c r="AS48" s="32"/>
      <c r="AT48" s="32"/>
      <c r="AV48" s="33"/>
    </row>
    <row r="49" spans="1:48" x14ac:dyDescent="0.2">
      <c r="E49" s="745"/>
      <c r="F49" s="828"/>
      <c r="J49" s="777">
        <v>0</v>
      </c>
      <c r="K49" s="748">
        <f>IF(J49&gt;0,L49/J49/L$7,0)</f>
        <v>0</v>
      </c>
      <c r="L49" s="39">
        <v>0</v>
      </c>
      <c r="M49" s="777">
        <v>0</v>
      </c>
      <c r="N49" s="748">
        <f>IF(M49&gt;0,O49/M49/O$7,0)</f>
        <v>0</v>
      </c>
      <c r="O49" s="39">
        <v>0</v>
      </c>
      <c r="P49" s="777">
        <v>0</v>
      </c>
      <c r="Q49" s="748">
        <f>IF(P49&gt;0,R49/P49/R$7,0)</f>
        <v>0</v>
      </c>
      <c r="R49" s="39">
        <v>0</v>
      </c>
      <c r="S49" s="777">
        <v>0</v>
      </c>
      <c r="T49" s="748">
        <f>IF(S49&gt;0,U49/S49/U$7,0)</f>
        <v>0</v>
      </c>
      <c r="U49" s="39">
        <v>0</v>
      </c>
      <c r="V49" s="777">
        <v>0</v>
      </c>
      <c r="W49" s="748">
        <f>IF(V49&gt;0,X49/V49/X$7,0)</f>
        <v>0</v>
      </c>
      <c r="X49" s="39">
        <v>0</v>
      </c>
      <c r="Y49" s="777">
        <v>0</v>
      </c>
      <c r="Z49" s="748">
        <f>IF(Y49&gt;0,AA49/Y49/AA$7,0)</f>
        <v>0</v>
      </c>
      <c r="AA49" s="39">
        <v>0</v>
      </c>
      <c r="AB49" s="777">
        <v>0</v>
      </c>
      <c r="AC49" s="748">
        <f>IF(AB49&gt;0,AD49/AB49/AD$7,0)</f>
        <v>0</v>
      </c>
      <c r="AD49" s="39">
        <f>ROUND($F49*$G49*AD$7,0)</f>
        <v>0</v>
      </c>
      <c r="AE49" s="777">
        <v>0</v>
      </c>
      <c r="AF49" s="748">
        <f>IF(AE49&gt;0,AG49/AE49/AG$7,0)</f>
        <v>0</v>
      </c>
      <c r="AG49" s="39">
        <f>ROUND($F49*$G49*AG$7,0)</f>
        <v>0</v>
      </c>
      <c r="AH49" s="777">
        <v>0</v>
      </c>
      <c r="AI49" s="748">
        <f>IF(AH49&gt;0,AJ49/AH49/AJ$7,0)</f>
        <v>0</v>
      </c>
      <c r="AJ49" s="39">
        <f>ROUND($F49*$G49*AJ$7,0)</f>
        <v>0</v>
      </c>
      <c r="AK49" s="777">
        <v>0</v>
      </c>
      <c r="AL49" s="748">
        <f>IF(AK49&gt;0,AM49/AK49/AM$7,0)</f>
        <v>0</v>
      </c>
      <c r="AM49" s="39">
        <f>ROUND($F49*$G49*AM$7,0)</f>
        <v>0</v>
      </c>
      <c r="AN49" s="777">
        <v>0</v>
      </c>
      <c r="AO49" s="748">
        <f>IF(AN49&gt;0,AP49/AN49/AP$7,0)</f>
        <v>0</v>
      </c>
      <c r="AP49" s="39">
        <f>ROUND($F49*$G49*AP$7,0)</f>
        <v>0</v>
      </c>
      <c r="AQ49" s="777">
        <v>0</v>
      </c>
      <c r="AR49" s="748">
        <f>IF(AQ49&gt;0,AS49/AQ49/AS$7,0)</f>
        <v>0</v>
      </c>
      <c r="AS49" s="39">
        <f>ROUND($F49*$G49*AS$7,0)</f>
        <v>0</v>
      </c>
      <c r="AT49" s="32"/>
      <c r="AV49" s="811"/>
    </row>
    <row r="50" spans="1:48" s="42" customFormat="1" x14ac:dyDescent="0.2">
      <c r="A50" s="741" t="s">
        <v>627</v>
      </c>
      <c r="D50" s="3"/>
      <c r="E50" s="3"/>
      <c r="F50" s="829"/>
      <c r="G50" s="754"/>
      <c r="H50" s="754"/>
      <c r="I50" s="754"/>
      <c r="J50" s="774">
        <f>SUM(J7:J49)</f>
        <v>43060</v>
      </c>
      <c r="K50" s="754">
        <f>IF(J50&gt;0,L50/J50/L$7,0)</f>
        <v>0.24553901997213187</v>
      </c>
      <c r="L50" s="31">
        <f>SUM(L13:L49)</f>
        <v>327760.21619999997</v>
      </c>
      <c r="M50" s="774">
        <f>SUM(M7:M49)</f>
        <v>43068</v>
      </c>
      <c r="N50" s="754">
        <f>IF(M50&gt;0,O50/M50/O$7,0)</f>
        <v>0.24303729451100584</v>
      </c>
      <c r="O50" s="31">
        <f>SUM(O13:O49)</f>
        <v>293079.64559999999</v>
      </c>
      <c r="P50" s="774">
        <f>SUM(P7:P49)</f>
        <v>3068</v>
      </c>
      <c r="Q50" s="754">
        <f>IF(P50&gt;0,R50/P50/R$7,0)</f>
        <v>2.4829303129074316</v>
      </c>
      <c r="R50" s="31">
        <f>SUM(R13:R49)</f>
        <v>236146.5362</v>
      </c>
      <c r="S50" s="774">
        <f>SUM(S7:S49)</f>
        <v>18068</v>
      </c>
      <c r="T50" s="754">
        <f>IF(S50&gt;0,U50/S50/U$7,0)</f>
        <v>0.47930762674341376</v>
      </c>
      <c r="U50" s="31">
        <f>SUM(U13:U49)</f>
        <v>259803.90599999999</v>
      </c>
      <c r="V50" s="774">
        <f>SUM(V7:V49)</f>
        <v>-900</v>
      </c>
      <c r="W50" s="754">
        <f>IF(V50&gt;0,X50/V50/X$7,0)</f>
        <v>0</v>
      </c>
      <c r="X50" s="31">
        <f>SUM(X13:X49)</f>
        <v>144968.51620000001</v>
      </c>
      <c r="Y50" s="774">
        <f>SUM(Y7:Y49)</f>
        <v>-1836</v>
      </c>
      <c r="Z50" s="754">
        <f>IF(Y50&gt;0,AA50/Y50/AA$7,0)</f>
        <v>0</v>
      </c>
      <c r="AA50" s="31">
        <f>SUM(AA13:AA49)</f>
        <v>219919.80000000002</v>
      </c>
      <c r="AB50" s="774">
        <f>SUM(AB7:AB49)</f>
        <v>-2500</v>
      </c>
      <c r="AC50" s="754">
        <f>IF(AB50&gt;0,AD50/AB50/AD$7,0)</f>
        <v>0</v>
      </c>
      <c r="AD50" s="31">
        <f>SUM(AD13:AD49)</f>
        <v>225912.5</v>
      </c>
      <c r="AE50" s="774">
        <f>SUM(AE7:AE49)</f>
        <v>-2500</v>
      </c>
      <c r="AF50" s="754">
        <f>IF(AE50&gt;0,AG50/AE50/AG$7,0)</f>
        <v>0</v>
      </c>
      <c r="AG50" s="31">
        <f>SUM(AG6:AG49)</f>
        <v>225943.5</v>
      </c>
      <c r="AH50" s="774">
        <f>SUM(AH7:AH49)</f>
        <v>-2500</v>
      </c>
      <c r="AI50" s="754">
        <f>IF(AH50&gt;0,AJ50/AH50/AJ$7,0)</f>
        <v>0</v>
      </c>
      <c r="AJ50" s="31">
        <f>SUM(AJ6:AJ49)</f>
        <v>218655</v>
      </c>
      <c r="AK50" s="774">
        <f>SUM(AK7:AK49)</f>
        <v>-12500</v>
      </c>
      <c r="AL50" s="754">
        <f>IF(AK50&gt;0,AM50/AK50/AM$7,0)</f>
        <v>0</v>
      </c>
      <c r="AM50" s="31">
        <f>SUM(AM6:AM49)</f>
        <v>208893.5</v>
      </c>
      <c r="AN50" s="774">
        <f>SUM(AN7:AN49)</f>
        <v>-12500</v>
      </c>
      <c r="AO50" s="754">
        <f>IF(AN50&gt;0,AP50/AN50/AP$7,0)</f>
        <v>0</v>
      </c>
      <c r="AP50" s="31">
        <f>SUM(AP6:AP49)</f>
        <v>201315</v>
      </c>
      <c r="AQ50" s="774">
        <f>SUM(AQ7:AQ49)</f>
        <v>-10000</v>
      </c>
      <c r="AR50" s="754">
        <f>IF(AQ50&gt;0,AS50/AQ50/AS$7,0)</f>
        <v>0</v>
      </c>
      <c r="AS50" s="31">
        <f>SUM(AS6:AS49)</f>
        <v>213063</v>
      </c>
      <c r="AT50" s="31"/>
      <c r="AV50" s="802">
        <f>SUM(AV17:AV49)</f>
        <v>2545214.6201999998</v>
      </c>
    </row>
    <row r="51" spans="1:48" x14ac:dyDescent="0.2">
      <c r="A51" s="646"/>
      <c r="B51" s="478"/>
      <c r="C51" s="478"/>
      <c r="D51" s="478"/>
      <c r="E51" s="478"/>
      <c r="F51" s="827"/>
      <c r="G51" s="757"/>
      <c r="H51" s="757"/>
      <c r="I51" s="757"/>
      <c r="J51" s="768"/>
      <c r="K51" s="757"/>
      <c r="L51" s="482"/>
      <c r="M51" s="771"/>
      <c r="N51" s="482"/>
      <c r="O51" s="482"/>
      <c r="P51" s="771"/>
      <c r="Q51" s="482"/>
      <c r="R51" s="482"/>
      <c r="S51" s="771"/>
      <c r="T51" s="482"/>
      <c r="U51" s="482"/>
      <c r="V51" s="771"/>
      <c r="W51" s="482"/>
      <c r="X51" s="482"/>
      <c r="Y51" s="771"/>
      <c r="Z51" s="482"/>
      <c r="AA51" s="482"/>
      <c r="AB51" s="771"/>
      <c r="AC51" s="482"/>
      <c r="AD51" s="482"/>
      <c r="AE51" s="771"/>
      <c r="AF51" s="482"/>
      <c r="AG51" s="482"/>
      <c r="AH51" s="771"/>
      <c r="AI51" s="482"/>
      <c r="AJ51" s="482"/>
      <c r="AK51" s="771"/>
      <c r="AL51" s="482"/>
      <c r="AM51" s="482"/>
      <c r="AN51" s="771"/>
      <c r="AO51" s="482"/>
      <c r="AP51" s="482"/>
      <c r="AQ51" s="771"/>
      <c r="AR51" s="482"/>
      <c r="AS51" s="482"/>
    </row>
    <row r="52" spans="1:48" x14ac:dyDescent="0.2">
      <c r="A52" s="812"/>
      <c r="B52" s="809"/>
      <c r="C52" s="809"/>
      <c r="D52" s="809"/>
      <c r="E52" s="809"/>
      <c r="F52" s="830"/>
      <c r="G52" s="810"/>
      <c r="H52" s="810"/>
      <c r="I52" s="810"/>
      <c r="J52" s="813"/>
      <c r="K52" s="810"/>
      <c r="L52" s="814"/>
      <c r="M52" s="815"/>
      <c r="N52" s="814"/>
      <c r="O52" s="814"/>
      <c r="P52" s="815"/>
      <c r="Q52" s="814"/>
      <c r="R52" s="814"/>
      <c r="S52" s="815"/>
      <c r="T52" s="814"/>
      <c r="U52" s="814"/>
      <c r="V52" s="815"/>
      <c r="W52" s="814"/>
      <c r="X52" s="814"/>
      <c r="Y52" s="815"/>
      <c r="Z52" s="814"/>
      <c r="AA52" s="814"/>
      <c r="AB52" s="815"/>
      <c r="AC52" s="814"/>
      <c r="AD52" s="814"/>
      <c r="AE52" s="815"/>
      <c r="AF52" s="814"/>
      <c r="AG52" s="814"/>
      <c r="AH52" s="815"/>
      <c r="AI52" s="814"/>
      <c r="AJ52" s="814"/>
      <c r="AK52" s="815"/>
      <c r="AL52" s="814"/>
      <c r="AM52" s="814"/>
      <c r="AN52" s="815"/>
      <c r="AO52" s="814"/>
      <c r="AP52" s="814"/>
      <c r="AQ52" s="815"/>
      <c r="AR52" s="814"/>
      <c r="AS52" s="814"/>
      <c r="AT52" s="389"/>
      <c r="AU52" s="389"/>
      <c r="AV52" s="389"/>
    </row>
    <row r="53" spans="1:48" x14ac:dyDescent="0.2">
      <c r="A53" s="758" t="s">
        <v>668</v>
      </c>
      <c r="B53" s="478"/>
      <c r="C53" s="478"/>
      <c r="D53" s="478"/>
      <c r="E53" s="478"/>
      <c r="F53" s="827"/>
      <c r="G53" s="757"/>
      <c r="H53" s="757"/>
      <c r="I53" s="757"/>
      <c r="J53" s="768"/>
      <c r="K53" s="757"/>
      <c r="L53" s="482"/>
      <c r="M53" s="771"/>
      <c r="N53" s="482"/>
      <c r="O53" s="482"/>
      <c r="P53" s="771"/>
      <c r="Q53" s="482"/>
      <c r="R53" s="482"/>
      <c r="S53" s="771"/>
      <c r="T53" s="482"/>
      <c r="U53" s="482"/>
      <c r="V53" s="771"/>
      <c r="W53" s="482"/>
      <c r="X53" s="482"/>
      <c r="Y53" s="771"/>
      <c r="Z53" s="482"/>
      <c r="AA53" s="482"/>
      <c r="AB53" s="771"/>
      <c r="AC53" s="482"/>
      <c r="AD53" s="482"/>
      <c r="AE53" s="771"/>
      <c r="AF53" s="482"/>
      <c r="AG53" s="482"/>
      <c r="AH53" s="771"/>
      <c r="AI53" s="482"/>
      <c r="AJ53" s="482"/>
      <c r="AK53" s="771"/>
      <c r="AL53" s="482"/>
      <c r="AM53" s="482"/>
      <c r="AN53" s="771"/>
      <c r="AO53" s="482"/>
      <c r="AP53" s="482"/>
      <c r="AQ53" s="771"/>
      <c r="AR53" s="482"/>
      <c r="AS53" s="482"/>
      <c r="AU53" s="52"/>
      <c r="AV53" s="52"/>
    </row>
    <row r="54" spans="1:48" x14ac:dyDescent="0.2">
      <c r="A54" s="743" t="s">
        <v>626</v>
      </c>
      <c r="J54" s="455"/>
      <c r="L54" s="32"/>
      <c r="M54" s="455"/>
      <c r="N54" s="748"/>
      <c r="O54" s="32"/>
      <c r="P54" s="455"/>
      <c r="Q54" s="748"/>
      <c r="R54" s="32"/>
      <c r="S54" s="455"/>
      <c r="T54" s="748"/>
      <c r="U54" s="32"/>
      <c r="V54" s="455"/>
      <c r="W54" s="748"/>
      <c r="X54" s="32"/>
      <c r="Y54" s="455"/>
      <c r="Z54" s="748"/>
      <c r="AA54" s="32"/>
      <c r="AB54" s="455"/>
      <c r="AC54" s="748"/>
      <c r="AD54" s="32"/>
      <c r="AE54" s="455"/>
      <c r="AF54" s="748"/>
      <c r="AG54" s="32"/>
      <c r="AH54" s="455"/>
      <c r="AI54" s="748"/>
      <c r="AJ54" s="32"/>
      <c r="AK54" s="455"/>
      <c r="AL54" s="748"/>
      <c r="AM54" s="32"/>
      <c r="AN54" s="455"/>
      <c r="AO54" s="748"/>
      <c r="AP54" s="32"/>
      <c r="AQ54" s="455"/>
      <c r="AR54" s="748"/>
      <c r="AS54" s="32"/>
      <c r="AT54" s="32"/>
    </row>
    <row r="55" spans="1:48" x14ac:dyDescent="0.2">
      <c r="A55" s="172">
        <v>24194</v>
      </c>
      <c r="B55" s="172" t="s">
        <v>309</v>
      </c>
      <c r="C55">
        <v>2001</v>
      </c>
      <c r="D55" s="5"/>
      <c r="E55" s="185">
        <v>37164</v>
      </c>
      <c r="F55" s="831">
        <v>-25000</v>
      </c>
      <c r="G55" s="173">
        <v>0.1007</v>
      </c>
      <c r="H55" s="174">
        <v>9.2999999999999992E-3</v>
      </c>
      <c r="I55" s="748">
        <f t="shared" ref="I55:I74" si="52">SUM(G55:H55)</f>
        <v>0.11</v>
      </c>
      <c r="J55" s="455">
        <v>-40000</v>
      </c>
      <c r="K55" s="748">
        <f t="shared" ref="K55:K74" si="53">$G55</f>
        <v>0.1007</v>
      </c>
      <c r="L55" s="32">
        <f t="shared" ref="L55:L74" si="54">J55*K55*L$7</f>
        <v>-124868</v>
      </c>
      <c r="M55" s="455">
        <v>-40000</v>
      </c>
      <c r="N55" s="748">
        <f t="shared" ref="N55:N74" si="55">$G55</f>
        <v>0.1007</v>
      </c>
      <c r="O55" s="32">
        <f t="shared" ref="O55:O74" si="56">M55*N55*O$7</f>
        <v>-112784</v>
      </c>
      <c r="P55" s="455">
        <f t="shared" ref="P55:P68" si="57">$F55</f>
        <v>-25000</v>
      </c>
      <c r="Q55" s="748">
        <f t="shared" ref="Q55:Q74" si="58">$G55</f>
        <v>0.1007</v>
      </c>
      <c r="R55" s="32">
        <f t="shared" ref="R55:R74" si="59">P55*Q55*R$7</f>
        <v>-78042.5</v>
      </c>
      <c r="S55" s="455">
        <f t="shared" ref="S55:S68" si="60">$F55</f>
        <v>-25000</v>
      </c>
      <c r="T55" s="748">
        <f t="shared" ref="T55:T74" si="61">$G55</f>
        <v>0.1007</v>
      </c>
      <c r="U55" s="32">
        <f t="shared" ref="U55:U74" si="62">S55*T55*U$7</f>
        <v>-75525</v>
      </c>
      <c r="V55" s="455">
        <v>-10000</v>
      </c>
      <c r="W55" s="748">
        <f t="shared" ref="W55:W74" si="63">$G55</f>
        <v>0.1007</v>
      </c>
      <c r="X55" s="32">
        <f t="shared" ref="X55:X74" si="64">V55*W55*X$7</f>
        <v>-31217</v>
      </c>
      <c r="Y55" s="455">
        <v>-10000</v>
      </c>
      <c r="Z55" s="748">
        <f t="shared" ref="Z55:Z74" si="65">$G55</f>
        <v>0.1007</v>
      </c>
      <c r="AA55" s="32">
        <f t="shared" ref="AA55:AA74" si="66">Y55*Z55*AA$7</f>
        <v>-30210</v>
      </c>
      <c r="AB55" s="455">
        <v>-10000</v>
      </c>
      <c r="AC55" s="748">
        <f t="shared" ref="AC55:AC74" si="67">$G55</f>
        <v>0.1007</v>
      </c>
      <c r="AD55" s="32">
        <f t="shared" ref="AD55:AD74" si="68">AB55*AC55*AD$7</f>
        <v>-31217</v>
      </c>
      <c r="AE55" s="455">
        <v>-10000</v>
      </c>
      <c r="AF55" s="748">
        <f t="shared" ref="AF55:AF74" si="69">$G55</f>
        <v>0.1007</v>
      </c>
      <c r="AG55" s="32">
        <f t="shared" ref="AG55:AG74" si="70">AE55*AF55*AG$7</f>
        <v>-31217</v>
      </c>
      <c r="AH55" s="455">
        <v>-10000</v>
      </c>
      <c r="AI55" s="748">
        <f t="shared" ref="AI55:AI74" si="71">$G55</f>
        <v>0.1007</v>
      </c>
      <c r="AJ55" s="32">
        <f t="shared" ref="AJ55:AJ74" si="72">AH55*AI55*AJ$7</f>
        <v>-30210</v>
      </c>
      <c r="AK55" s="455">
        <v>0</v>
      </c>
      <c r="AL55" s="748">
        <f t="shared" ref="AL55:AL74" si="73">$G55</f>
        <v>0.1007</v>
      </c>
      <c r="AM55" s="32">
        <f t="shared" ref="AM55:AM74" si="74">AK55*AL55*AM$7</f>
        <v>0</v>
      </c>
      <c r="AN55" s="455">
        <v>0</v>
      </c>
      <c r="AO55" s="748">
        <f t="shared" ref="AO55:AO74" si="75">$G55</f>
        <v>0.1007</v>
      </c>
      <c r="AP55" s="32">
        <f t="shared" ref="AP55:AP74" si="76">AN55*AO55*AP$7</f>
        <v>0</v>
      </c>
      <c r="AQ55" s="455">
        <v>0</v>
      </c>
      <c r="AR55" s="748">
        <f t="shared" ref="AR55:AR74" si="77">$G55</f>
        <v>0.1007</v>
      </c>
      <c r="AS55" s="32">
        <f t="shared" ref="AS55:AS74" si="78">AQ55*AR55*AS$7</f>
        <v>0</v>
      </c>
      <c r="AT55" s="32"/>
      <c r="AV55" s="33">
        <f t="shared" ref="AV55:AV74" si="79">AS55+AP55+AM55+AJ55+AG55+AD55+AA55+X55+U55+R55+O55+L55</f>
        <v>-545290.5</v>
      </c>
    </row>
    <row r="56" spans="1:48" x14ac:dyDescent="0.2">
      <c r="A56" s="172">
        <v>27291</v>
      </c>
      <c r="B56" s="172" t="s">
        <v>288</v>
      </c>
      <c r="C56">
        <v>2001</v>
      </c>
      <c r="D56" s="816">
        <v>36739</v>
      </c>
      <c r="E56" s="185">
        <v>37468</v>
      </c>
      <c r="F56" s="831">
        <v>-20000</v>
      </c>
      <c r="G56" s="173">
        <v>1.0699999999999999E-2</v>
      </c>
      <c r="H56" s="174">
        <v>9.2999999999999992E-3</v>
      </c>
      <c r="I56" s="748">
        <f t="shared" si="52"/>
        <v>1.9999999999999997E-2</v>
      </c>
      <c r="J56" s="455">
        <f t="shared" ref="J56:J65" si="80">$F56</f>
        <v>-20000</v>
      </c>
      <c r="K56" s="748">
        <f t="shared" si="53"/>
        <v>1.0699999999999999E-2</v>
      </c>
      <c r="L56" s="32">
        <f t="shared" si="54"/>
        <v>-6634</v>
      </c>
      <c r="M56" s="455">
        <f t="shared" ref="M56:M65" si="81">$F56</f>
        <v>-20000</v>
      </c>
      <c r="N56" s="748">
        <f t="shared" si="55"/>
        <v>1.0699999999999999E-2</v>
      </c>
      <c r="O56" s="32">
        <f t="shared" si="56"/>
        <v>-5992</v>
      </c>
      <c r="P56" s="455">
        <f t="shared" si="57"/>
        <v>-20000</v>
      </c>
      <c r="Q56" s="748">
        <f t="shared" si="58"/>
        <v>1.0699999999999999E-2</v>
      </c>
      <c r="R56" s="32">
        <f t="shared" si="59"/>
        <v>-6634</v>
      </c>
      <c r="S56" s="455">
        <f t="shared" si="60"/>
        <v>-20000</v>
      </c>
      <c r="T56" s="748">
        <f t="shared" si="61"/>
        <v>1.0699999999999999E-2</v>
      </c>
      <c r="U56" s="32">
        <f t="shared" si="62"/>
        <v>-6420</v>
      </c>
      <c r="V56" s="455">
        <f t="shared" ref="V56:V68" si="82">$F56</f>
        <v>-20000</v>
      </c>
      <c r="W56" s="748">
        <f t="shared" si="63"/>
        <v>1.0699999999999999E-2</v>
      </c>
      <c r="X56" s="32">
        <f t="shared" si="64"/>
        <v>-6634</v>
      </c>
      <c r="Y56" s="455">
        <f t="shared" ref="Y56:Y68" si="83">$F56</f>
        <v>-20000</v>
      </c>
      <c r="Z56" s="748">
        <f t="shared" si="65"/>
        <v>1.0699999999999999E-2</v>
      </c>
      <c r="AA56" s="32">
        <f t="shared" si="66"/>
        <v>-6420</v>
      </c>
      <c r="AB56" s="455">
        <f t="shared" ref="AB56:AB68" si="84">$F56</f>
        <v>-20000</v>
      </c>
      <c r="AC56" s="748">
        <f t="shared" si="67"/>
        <v>1.0699999999999999E-2</v>
      </c>
      <c r="AD56" s="32">
        <f t="shared" si="68"/>
        <v>-6634</v>
      </c>
      <c r="AE56" s="455">
        <f t="shared" ref="AE56:AE68" si="85">$F56</f>
        <v>-20000</v>
      </c>
      <c r="AF56" s="748">
        <v>1.5699999999999999E-2</v>
      </c>
      <c r="AG56" s="32">
        <f t="shared" si="70"/>
        <v>-9734</v>
      </c>
      <c r="AH56" s="455">
        <f t="shared" ref="AH56:AH68" si="86">$F56</f>
        <v>-20000</v>
      </c>
      <c r="AI56" s="748">
        <v>1.5699999999999999E-2</v>
      </c>
      <c r="AJ56" s="32">
        <f t="shared" si="72"/>
        <v>-9420</v>
      </c>
      <c r="AK56" s="455">
        <f t="shared" ref="AK56:AK68" si="87">$F56</f>
        <v>-20000</v>
      </c>
      <c r="AL56" s="748">
        <v>1.5699999999999999E-2</v>
      </c>
      <c r="AM56" s="32">
        <f t="shared" si="74"/>
        <v>-9734</v>
      </c>
      <c r="AN56" s="455">
        <f t="shared" ref="AN56:AN74" si="88">$F56</f>
        <v>-20000</v>
      </c>
      <c r="AO56" s="748">
        <v>1.5699999999999999E-2</v>
      </c>
      <c r="AP56" s="32">
        <f t="shared" si="76"/>
        <v>-9420</v>
      </c>
      <c r="AQ56" s="455">
        <f t="shared" ref="AQ56:AQ74" si="89">$F56</f>
        <v>-20000</v>
      </c>
      <c r="AR56" s="748">
        <v>1.5699999999999999E-2</v>
      </c>
      <c r="AS56" s="32">
        <f t="shared" si="78"/>
        <v>-9734</v>
      </c>
      <c r="AT56" s="32"/>
      <c r="AV56" s="33">
        <f t="shared" si="79"/>
        <v>-93410</v>
      </c>
    </row>
    <row r="57" spans="1:48" x14ac:dyDescent="0.2">
      <c r="A57" s="172" t="s">
        <v>310</v>
      </c>
      <c r="B57" s="172" t="s">
        <v>311</v>
      </c>
      <c r="C57">
        <v>2001</v>
      </c>
      <c r="D57" s="5"/>
      <c r="E57" s="185">
        <v>37376</v>
      </c>
      <c r="F57" s="831">
        <v>-35700</v>
      </c>
      <c r="G57" s="173">
        <v>9.5699999999999993E-2</v>
      </c>
      <c r="H57" s="174">
        <v>9.2999999999999992E-3</v>
      </c>
      <c r="I57" s="748">
        <f t="shared" si="52"/>
        <v>0.105</v>
      </c>
      <c r="J57" s="455">
        <f t="shared" si="80"/>
        <v>-35700</v>
      </c>
      <c r="K57" s="748">
        <f t="shared" si="53"/>
        <v>9.5699999999999993E-2</v>
      </c>
      <c r="L57" s="32">
        <f t="shared" si="54"/>
        <v>-105911.18999999999</v>
      </c>
      <c r="M57" s="455">
        <f t="shared" si="81"/>
        <v>-35700</v>
      </c>
      <c r="N57" s="748">
        <f t="shared" si="55"/>
        <v>9.5699999999999993E-2</v>
      </c>
      <c r="O57" s="32">
        <f t="shared" si="56"/>
        <v>-95661.72</v>
      </c>
      <c r="P57" s="455">
        <f t="shared" si="57"/>
        <v>-35700</v>
      </c>
      <c r="Q57" s="748">
        <f t="shared" si="58"/>
        <v>9.5699999999999993E-2</v>
      </c>
      <c r="R57" s="32">
        <f t="shared" si="59"/>
        <v>-105911.18999999999</v>
      </c>
      <c r="S57" s="455">
        <f t="shared" si="60"/>
        <v>-35700</v>
      </c>
      <c r="T57" s="748">
        <f t="shared" si="61"/>
        <v>9.5699999999999993E-2</v>
      </c>
      <c r="U57" s="32">
        <f t="shared" si="62"/>
        <v>-102494.7</v>
      </c>
      <c r="V57" s="455">
        <f t="shared" si="82"/>
        <v>-35700</v>
      </c>
      <c r="W57" s="748">
        <f t="shared" si="63"/>
        <v>9.5699999999999993E-2</v>
      </c>
      <c r="X57" s="32">
        <f t="shared" si="64"/>
        <v>-105911.18999999999</v>
      </c>
      <c r="Y57" s="455">
        <f t="shared" si="83"/>
        <v>-35700</v>
      </c>
      <c r="Z57" s="748">
        <f t="shared" si="65"/>
        <v>9.5699999999999993E-2</v>
      </c>
      <c r="AA57" s="32">
        <f t="shared" si="66"/>
        <v>-102494.7</v>
      </c>
      <c r="AB57" s="455">
        <v>0</v>
      </c>
      <c r="AC57" s="748">
        <f t="shared" si="67"/>
        <v>9.5699999999999993E-2</v>
      </c>
      <c r="AD57" s="32">
        <f t="shared" si="68"/>
        <v>0</v>
      </c>
      <c r="AE57" s="455">
        <v>0</v>
      </c>
      <c r="AF57" s="748">
        <f t="shared" si="69"/>
        <v>9.5699999999999993E-2</v>
      </c>
      <c r="AG57" s="32">
        <f t="shared" si="70"/>
        <v>0</v>
      </c>
      <c r="AH57" s="455">
        <v>0</v>
      </c>
      <c r="AI57" s="748">
        <f t="shared" si="71"/>
        <v>9.5699999999999993E-2</v>
      </c>
      <c r="AJ57" s="32">
        <f t="shared" si="72"/>
        <v>0</v>
      </c>
      <c r="AK57" s="455">
        <f t="shared" si="87"/>
        <v>-35700</v>
      </c>
      <c r="AL57" s="748">
        <f t="shared" si="73"/>
        <v>9.5699999999999993E-2</v>
      </c>
      <c r="AM57" s="32">
        <f t="shared" si="74"/>
        <v>-105911.18999999999</v>
      </c>
      <c r="AN57" s="455">
        <f t="shared" si="88"/>
        <v>-35700</v>
      </c>
      <c r="AO57" s="748">
        <f t="shared" si="75"/>
        <v>9.5699999999999993E-2</v>
      </c>
      <c r="AP57" s="32">
        <f t="shared" si="76"/>
        <v>-102494.7</v>
      </c>
      <c r="AQ57" s="455">
        <f t="shared" si="89"/>
        <v>-35700</v>
      </c>
      <c r="AR57" s="748">
        <f t="shared" si="77"/>
        <v>9.5699999999999993E-2</v>
      </c>
      <c r="AS57" s="32">
        <f t="shared" si="78"/>
        <v>-105911.18999999999</v>
      </c>
      <c r="AT57" s="32"/>
      <c r="AV57" s="33">
        <f t="shared" si="79"/>
        <v>-932701.76999999979</v>
      </c>
    </row>
    <row r="58" spans="1:48" x14ac:dyDescent="0.2">
      <c r="A58" s="175">
        <v>24690</v>
      </c>
      <c r="B58" s="175" t="s">
        <v>312</v>
      </c>
      <c r="C58">
        <v>2001</v>
      </c>
      <c r="D58" s="5"/>
      <c r="E58" s="181">
        <v>36981</v>
      </c>
      <c r="F58" s="832">
        <v>-15000</v>
      </c>
      <c r="G58" s="170">
        <v>6.0699999999999997E-2</v>
      </c>
      <c r="H58" s="170">
        <v>9.2999999999999992E-3</v>
      </c>
      <c r="I58" s="748">
        <f t="shared" si="52"/>
        <v>6.9999999999999993E-2</v>
      </c>
      <c r="J58" s="455">
        <f t="shared" si="80"/>
        <v>-15000</v>
      </c>
      <c r="K58" s="748">
        <f t="shared" si="53"/>
        <v>6.0699999999999997E-2</v>
      </c>
      <c r="L58" s="32">
        <f t="shared" si="54"/>
        <v>-28225.5</v>
      </c>
      <c r="M58" s="455">
        <f t="shared" si="81"/>
        <v>-15000</v>
      </c>
      <c r="N58" s="748">
        <f t="shared" si="55"/>
        <v>6.0699999999999997E-2</v>
      </c>
      <c r="O58" s="32">
        <f t="shared" si="56"/>
        <v>-25494</v>
      </c>
      <c r="P58" s="455">
        <f t="shared" si="57"/>
        <v>-15000</v>
      </c>
      <c r="Q58" s="748">
        <f t="shared" si="58"/>
        <v>6.0699999999999997E-2</v>
      </c>
      <c r="R58" s="32">
        <f t="shared" si="59"/>
        <v>-28225.5</v>
      </c>
      <c r="S58" s="455">
        <v>0</v>
      </c>
      <c r="T58" s="748">
        <f t="shared" si="61"/>
        <v>6.0699999999999997E-2</v>
      </c>
      <c r="U58" s="32">
        <f t="shared" si="62"/>
        <v>0</v>
      </c>
      <c r="V58" s="455">
        <v>0</v>
      </c>
      <c r="W58" s="748">
        <f t="shared" si="63"/>
        <v>6.0699999999999997E-2</v>
      </c>
      <c r="X58" s="32">
        <f t="shared" si="64"/>
        <v>0</v>
      </c>
      <c r="Y58" s="455">
        <v>0</v>
      </c>
      <c r="Z58" s="748">
        <f t="shared" si="65"/>
        <v>6.0699999999999997E-2</v>
      </c>
      <c r="AA58" s="32">
        <f t="shared" si="66"/>
        <v>0</v>
      </c>
      <c r="AB58" s="455">
        <v>0</v>
      </c>
      <c r="AC58" s="748">
        <f t="shared" si="67"/>
        <v>6.0699999999999997E-2</v>
      </c>
      <c r="AD58" s="32">
        <f t="shared" si="68"/>
        <v>0</v>
      </c>
      <c r="AE58" s="455">
        <v>0</v>
      </c>
      <c r="AF58" s="748">
        <f t="shared" si="69"/>
        <v>6.0699999999999997E-2</v>
      </c>
      <c r="AG58" s="32">
        <f t="shared" si="70"/>
        <v>0</v>
      </c>
      <c r="AH58" s="455">
        <v>0</v>
      </c>
      <c r="AI58" s="748">
        <f t="shared" si="71"/>
        <v>6.0699999999999997E-2</v>
      </c>
      <c r="AJ58" s="32">
        <f t="shared" si="72"/>
        <v>0</v>
      </c>
      <c r="AK58" s="455">
        <v>0</v>
      </c>
      <c r="AL58" s="748">
        <f t="shared" si="73"/>
        <v>6.0699999999999997E-2</v>
      </c>
      <c r="AM58" s="32">
        <f t="shared" si="74"/>
        <v>0</v>
      </c>
      <c r="AN58" s="455">
        <v>0</v>
      </c>
      <c r="AO58" s="748">
        <f t="shared" si="75"/>
        <v>6.0699999999999997E-2</v>
      </c>
      <c r="AP58" s="32">
        <f t="shared" si="76"/>
        <v>0</v>
      </c>
      <c r="AQ58" s="455">
        <v>0</v>
      </c>
      <c r="AR58" s="748">
        <f t="shared" si="77"/>
        <v>6.0699999999999997E-2</v>
      </c>
      <c r="AS58" s="32">
        <f t="shared" si="78"/>
        <v>0</v>
      </c>
      <c r="AT58" s="32"/>
      <c r="AV58" s="33">
        <f t="shared" si="79"/>
        <v>-81945</v>
      </c>
    </row>
    <row r="59" spans="1:48" x14ac:dyDescent="0.2">
      <c r="A59" s="175">
        <v>26740</v>
      </c>
      <c r="B59" s="175" t="s">
        <v>302</v>
      </c>
      <c r="C59">
        <v>2001</v>
      </c>
      <c r="D59" s="5"/>
      <c r="E59" s="489">
        <v>39113</v>
      </c>
      <c r="F59" s="832">
        <v>-8000</v>
      </c>
      <c r="G59" s="170">
        <v>4.07E-2</v>
      </c>
      <c r="H59" s="170">
        <v>9.2999999999999992E-3</v>
      </c>
      <c r="I59" s="748">
        <f t="shared" si="52"/>
        <v>0.05</v>
      </c>
      <c r="J59" s="455">
        <f t="shared" si="80"/>
        <v>-8000</v>
      </c>
      <c r="K59" s="748">
        <f t="shared" si="53"/>
        <v>4.07E-2</v>
      </c>
      <c r="L59" s="32">
        <f t="shared" si="54"/>
        <v>-10093.6</v>
      </c>
      <c r="M59" s="455">
        <f t="shared" si="81"/>
        <v>-8000</v>
      </c>
      <c r="N59" s="748">
        <f t="shared" si="55"/>
        <v>4.07E-2</v>
      </c>
      <c r="O59" s="32">
        <f t="shared" si="56"/>
        <v>-9116.8000000000011</v>
      </c>
      <c r="P59" s="455">
        <f t="shared" si="57"/>
        <v>-8000</v>
      </c>
      <c r="Q59" s="748">
        <f t="shared" si="58"/>
        <v>4.07E-2</v>
      </c>
      <c r="R59" s="32">
        <f t="shared" si="59"/>
        <v>-10093.6</v>
      </c>
      <c r="S59" s="455">
        <f t="shared" si="60"/>
        <v>-8000</v>
      </c>
      <c r="T59" s="748">
        <f t="shared" si="61"/>
        <v>4.07E-2</v>
      </c>
      <c r="U59" s="32">
        <f t="shared" si="62"/>
        <v>-9768</v>
      </c>
      <c r="V59" s="455">
        <f t="shared" si="82"/>
        <v>-8000</v>
      </c>
      <c r="W59" s="748">
        <f t="shared" si="63"/>
        <v>4.07E-2</v>
      </c>
      <c r="X59" s="32">
        <f t="shared" si="64"/>
        <v>-10093.6</v>
      </c>
      <c r="Y59" s="455">
        <f t="shared" si="83"/>
        <v>-8000</v>
      </c>
      <c r="Z59" s="748">
        <f t="shared" si="65"/>
        <v>4.07E-2</v>
      </c>
      <c r="AA59" s="32">
        <f t="shared" si="66"/>
        <v>-9768</v>
      </c>
      <c r="AB59" s="455">
        <f t="shared" si="84"/>
        <v>-8000</v>
      </c>
      <c r="AC59" s="748">
        <f t="shared" si="67"/>
        <v>4.07E-2</v>
      </c>
      <c r="AD59" s="32">
        <f t="shared" si="68"/>
        <v>-10093.6</v>
      </c>
      <c r="AE59" s="455">
        <f t="shared" si="85"/>
        <v>-8000</v>
      </c>
      <c r="AF59" s="748">
        <f t="shared" si="69"/>
        <v>4.07E-2</v>
      </c>
      <c r="AG59" s="32">
        <f t="shared" si="70"/>
        <v>-10093.6</v>
      </c>
      <c r="AH59" s="455">
        <f t="shared" si="86"/>
        <v>-8000</v>
      </c>
      <c r="AI59" s="748">
        <f t="shared" si="71"/>
        <v>4.07E-2</v>
      </c>
      <c r="AJ59" s="32">
        <f t="shared" si="72"/>
        <v>-9768</v>
      </c>
      <c r="AK59" s="455">
        <f t="shared" si="87"/>
        <v>-8000</v>
      </c>
      <c r="AL59" s="748">
        <f t="shared" si="73"/>
        <v>4.07E-2</v>
      </c>
      <c r="AM59" s="32">
        <f t="shared" si="74"/>
        <v>-10093.6</v>
      </c>
      <c r="AN59" s="455">
        <f t="shared" si="88"/>
        <v>-8000</v>
      </c>
      <c r="AO59" s="748">
        <f t="shared" si="75"/>
        <v>4.07E-2</v>
      </c>
      <c r="AP59" s="32">
        <f t="shared" si="76"/>
        <v>-9768</v>
      </c>
      <c r="AQ59" s="455">
        <f t="shared" si="89"/>
        <v>-8000</v>
      </c>
      <c r="AR59" s="748">
        <f t="shared" si="77"/>
        <v>4.07E-2</v>
      </c>
      <c r="AS59" s="32">
        <f t="shared" si="78"/>
        <v>-10093.6</v>
      </c>
      <c r="AT59" s="32"/>
      <c r="AV59" s="33">
        <f t="shared" si="79"/>
        <v>-118844.00000000001</v>
      </c>
    </row>
    <row r="60" spans="1:48" x14ac:dyDescent="0.2">
      <c r="A60" s="175">
        <v>24754</v>
      </c>
      <c r="B60" s="175" t="s">
        <v>313</v>
      </c>
      <c r="C60">
        <v>2001</v>
      </c>
      <c r="D60" s="5"/>
      <c r="E60" s="562">
        <v>37011</v>
      </c>
      <c r="F60" s="832">
        <v>-1000</v>
      </c>
      <c r="G60" s="170">
        <v>9.0700000000000003E-2</v>
      </c>
      <c r="H60" s="170">
        <v>9.2999999999999992E-3</v>
      </c>
      <c r="I60" s="748">
        <f t="shared" si="52"/>
        <v>0.1</v>
      </c>
      <c r="J60" s="455">
        <f t="shared" si="80"/>
        <v>-1000</v>
      </c>
      <c r="K60" s="748">
        <f t="shared" si="53"/>
        <v>9.0700000000000003E-2</v>
      </c>
      <c r="L60" s="32">
        <f t="shared" si="54"/>
        <v>-2811.7000000000003</v>
      </c>
      <c r="M60" s="455">
        <f t="shared" si="81"/>
        <v>-1000</v>
      </c>
      <c r="N60" s="748">
        <f t="shared" si="55"/>
        <v>9.0700000000000003E-2</v>
      </c>
      <c r="O60" s="32">
        <f t="shared" si="56"/>
        <v>-2539.6</v>
      </c>
      <c r="P60" s="455">
        <f t="shared" si="57"/>
        <v>-1000</v>
      </c>
      <c r="Q60" s="748">
        <f t="shared" si="58"/>
        <v>9.0700000000000003E-2</v>
      </c>
      <c r="R60" s="32">
        <f t="shared" si="59"/>
        <v>-2811.7000000000003</v>
      </c>
      <c r="S60" s="455">
        <f t="shared" si="60"/>
        <v>-1000</v>
      </c>
      <c r="T60" s="748">
        <f t="shared" si="61"/>
        <v>9.0700000000000003E-2</v>
      </c>
      <c r="U60" s="32">
        <f t="shared" si="62"/>
        <v>-2721</v>
      </c>
      <c r="V60" s="455">
        <v>0</v>
      </c>
      <c r="W60" s="748">
        <f t="shared" si="63"/>
        <v>9.0700000000000003E-2</v>
      </c>
      <c r="X60" s="32">
        <f t="shared" si="64"/>
        <v>0</v>
      </c>
      <c r="Y60" s="455">
        <v>0</v>
      </c>
      <c r="Z60" s="748">
        <f t="shared" si="65"/>
        <v>9.0700000000000003E-2</v>
      </c>
      <c r="AA60" s="32">
        <f t="shared" si="66"/>
        <v>0</v>
      </c>
      <c r="AB60" s="455">
        <v>0</v>
      </c>
      <c r="AC60" s="748">
        <f t="shared" si="67"/>
        <v>9.0700000000000003E-2</v>
      </c>
      <c r="AD60" s="32">
        <f t="shared" si="68"/>
        <v>0</v>
      </c>
      <c r="AE60" s="455">
        <v>0</v>
      </c>
      <c r="AF60" s="748">
        <f t="shared" si="69"/>
        <v>9.0700000000000003E-2</v>
      </c>
      <c r="AG60" s="32">
        <f t="shared" si="70"/>
        <v>0</v>
      </c>
      <c r="AH60" s="455">
        <v>0</v>
      </c>
      <c r="AI60" s="748">
        <f t="shared" si="71"/>
        <v>9.0700000000000003E-2</v>
      </c>
      <c r="AJ60" s="32">
        <f t="shared" si="72"/>
        <v>0</v>
      </c>
      <c r="AK60" s="455">
        <v>0</v>
      </c>
      <c r="AL60" s="748">
        <f t="shared" si="73"/>
        <v>9.0700000000000003E-2</v>
      </c>
      <c r="AM60" s="32">
        <f t="shared" si="74"/>
        <v>0</v>
      </c>
      <c r="AN60" s="455">
        <v>0</v>
      </c>
      <c r="AO60" s="748">
        <f t="shared" si="75"/>
        <v>9.0700000000000003E-2</v>
      </c>
      <c r="AP60" s="32">
        <f t="shared" si="76"/>
        <v>0</v>
      </c>
      <c r="AQ60" s="455">
        <v>0</v>
      </c>
      <c r="AR60" s="748">
        <f t="shared" si="77"/>
        <v>9.0700000000000003E-2</v>
      </c>
      <c r="AS60" s="32">
        <f t="shared" si="78"/>
        <v>0</v>
      </c>
      <c r="AT60" s="32"/>
      <c r="AV60" s="33">
        <f t="shared" si="79"/>
        <v>-10884.000000000002</v>
      </c>
    </row>
    <row r="61" spans="1:48" x14ac:dyDescent="0.2">
      <c r="A61" s="175">
        <v>25031</v>
      </c>
      <c r="B61" s="175" t="s">
        <v>314</v>
      </c>
      <c r="C61">
        <v>2001</v>
      </c>
      <c r="D61" s="5"/>
      <c r="E61" s="489">
        <v>39051</v>
      </c>
      <c r="F61" s="832">
        <v>0</v>
      </c>
      <c r="G61" s="29"/>
      <c r="H61" s="29"/>
      <c r="I61" s="748">
        <f t="shared" si="52"/>
        <v>0</v>
      </c>
      <c r="J61" s="455">
        <f t="shared" si="80"/>
        <v>0</v>
      </c>
      <c r="K61" s="748">
        <f t="shared" si="53"/>
        <v>0</v>
      </c>
      <c r="L61" s="32">
        <f t="shared" si="54"/>
        <v>0</v>
      </c>
      <c r="M61" s="455">
        <f t="shared" si="81"/>
        <v>0</v>
      </c>
      <c r="N61" s="748">
        <f t="shared" si="55"/>
        <v>0</v>
      </c>
      <c r="O61" s="32">
        <f t="shared" si="56"/>
        <v>0</v>
      </c>
      <c r="P61" s="455">
        <f t="shared" si="57"/>
        <v>0</v>
      </c>
      <c r="Q61" s="748">
        <f t="shared" si="58"/>
        <v>0</v>
      </c>
      <c r="R61" s="32">
        <f t="shared" si="59"/>
        <v>0</v>
      </c>
      <c r="S61" s="455">
        <f t="shared" si="60"/>
        <v>0</v>
      </c>
      <c r="T61" s="748">
        <f t="shared" si="61"/>
        <v>0</v>
      </c>
      <c r="U61" s="32">
        <f t="shared" si="62"/>
        <v>0</v>
      </c>
      <c r="V61" s="455">
        <f t="shared" si="82"/>
        <v>0</v>
      </c>
      <c r="W61" s="748">
        <f t="shared" si="63"/>
        <v>0</v>
      </c>
      <c r="X61" s="32">
        <f t="shared" si="64"/>
        <v>0</v>
      </c>
      <c r="Y61" s="455">
        <f t="shared" si="83"/>
        <v>0</v>
      </c>
      <c r="Z61" s="748">
        <f t="shared" si="65"/>
        <v>0</v>
      </c>
      <c r="AA61" s="32">
        <f t="shared" si="66"/>
        <v>0</v>
      </c>
      <c r="AB61" s="455">
        <f t="shared" si="84"/>
        <v>0</v>
      </c>
      <c r="AC61" s="748">
        <f t="shared" si="67"/>
        <v>0</v>
      </c>
      <c r="AD61" s="32">
        <f t="shared" si="68"/>
        <v>0</v>
      </c>
      <c r="AE61" s="455">
        <f t="shared" si="85"/>
        <v>0</v>
      </c>
      <c r="AF61" s="748">
        <f t="shared" si="69"/>
        <v>0</v>
      </c>
      <c r="AG61" s="32">
        <f t="shared" si="70"/>
        <v>0</v>
      </c>
      <c r="AH61" s="455">
        <f t="shared" si="86"/>
        <v>0</v>
      </c>
      <c r="AI61" s="748">
        <f t="shared" si="71"/>
        <v>0</v>
      </c>
      <c r="AJ61" s="32">
        <f t="shared" si="72"/>
        <v>0</v>
      </c>
      <c r="AK61" s="455">
        <f t="shared" si="87"/>
        <v>0</v>
      </c>
      <c r="AL61" s="748">
        <f t="shared" si="73"/>
        <v>0</v>
      </c>
      <c r="AM61" s="32">
        <f t="shared" si="74"/>
        <v>0</v>
      </c>
      <c r="AN61" s="455">
        <f t="shared" si="88"/>
        <v>0</v>
      </c>
      <c r="AO61" s="748">
        <f t="shared" si="75"/>
        <v>0</v>
      </c>
      <c r="AP61" s="32">
        <f t="shared" si="76"/>
        <v>0</v>
      </c>
      <c r="AQ61" s="455">
        <f t="shared" si="89"/>
        <v>0</v>
      </c>
      <c r="AR61" s="748">
        <f t="shared" si="77"/>
        <v>0</v>
      </c>
      <c r="AS61" s="32">
        <f t="shared" si="78"/>
        <v>0</v>
      </c>
      <c r="AT61" s="32"/>
      <c r="AV61" s="33">
        <f t="shared" si="79"/>
        <v>0</v>
      </c>
    </row>
    <row r="62" spans="1:48" x14ac:dyDescent="0.2">
      <c r="A62" s="175" t="s">
        <v>315</v>
      </c>
      <c r="B62" s="175" t="s">
        <v>288</v>
      </c>
      <c r="C62">
        <v>2001</v>
      </c>
      <c r="D62" s="5"/>
      <c r="E62" s="181">
        <v>36950</v>
      </c>
      <c r="F62" s="832">
        <v>-10000</v>
      </c>
      <c r="G62" s="170">
        <v>1.0699999999999999E-2</v>
      </c>
      <c r="H62" s="170">
        <v>9.2999999999999992E-3</v>
      </c>
      <c r="I62" s="748">
        <f t="shared" si="52"/>
        <v>1.9999999999999997E-2</v>
      </c>
      <c r="J62" s="455">
        <f t="shared" si="80"/>
        <v>-10000</v>
      </c>
      <c r="K62" s="748">
        <f t="shared" si="53"/>
        <v>1.0699999999999999E-2</v>
      </c>
      <c r="L62" s="32">
        <f t="shared" si="54"/>
        <v>-3317</v>
      </c>
      <c r="M62" s="455">
        <f t="shared" si="81"/>
        <v>-10000</v>
      </c>
      <c r="N62" s="748">
        <f t="shared" si="55"/>
        <v>1.0699999999999999E-2</v>
      </c>
      <c r="O62" s="32">
        <f t="shared" si="56"/>
        <v>-2996</v>
      </c>
      <c r="P62" s="455">
        <v>0</v>
      </c>
      <c r="Q62" s="748">
        <f t="shared" si="58"/>
        <v>1.0699999999999999E-2</v>
      </c>
      <c r="R62" s="32">
        <f t="shared" si="59"/>
        <v>0</v>
      </c>
      <c r="S62" s="455">
        <v>0</v>
      </c>
      <c r="T62" s="748">
        <f t="shared" si="61"/>
        <v>1.0699999999999999E-2</v>
      </c>
      <c r="U62" s="32">
        <f t="shared" si="62"/>
        <v>0</v>
      </c>
      <c r="V62" s="455">
        <v>0</v>
      </c>
      <c r="W62" s="748">
        <f t="shared" si="63"/>
        <v>1.0699999999999999E-2</v>
      </c>
      <c r="X62" s="32">
        <f t="shared" si="64"/>
        <v>0</v>
      </c>
      <c r="Y62" s="455">
        <v>0</v>
      </c>
      <c r="Z62" s="748">
        <f t="shared" si="65"/>
        <v>1.0699999999999999E-2</v>
      </c>
      <c r="AA62" s="32">
        <f t="shared" si="66"/>
        <v>0</v>
      </c>
      <c r="AB62" s="455">
        <v>0</v>
      </c>
      <c r="AC62" s="748">
        <f t="shared" si="67"/>
        <v>1.0699999999999999E-2</v>
      </c>
      <c r="AD62" s="32">
        <f t="shared" si="68"/>
        <v>0</v>
      </c>
      <c r="AE62" s="455">
        <v>0</v>
      </c>
      <c r="AF62" s="748">
        <f t="shared" si="69"/>
        <v>1.0699999999999999E-2</v>
      </c>
      <c r="AG62" s="32">
        <f t="shared" si="70"/>
        <v>0</v>
      </c>
      <c r="AH62" s="455">
        <v>0</v>
      </c>
      <c r="AI62" s="748">
        <f t="shared" si="71"/>
        <v>1.0699999999999999E-2</v>
      </c>
      <c r="AJ62" s="32">
        <f t="shared" si="72"/>
        <v>0</v>
      </c>
      <c r="AK62" s="455">
        <v>0</v>
      </c>
      <c r="AL62" s="748">
        <f t="shared" si="73"/>
        <v>1.0699999999999999E-2</v>
      </c>
      <c r="AM62" s="32">
        <f t="shared" si="74"/>
        <v>0</v>
      </c>
      <c r="AN62" s="455">
        <v>0</v>
      </c>
      <c r="AO62" s="748">
        <f t="shared" si="75"/>
        <v>1.0699999999999999E-2</v>
      </c>
      <c r="AP62" s="32">
        <f t="shared" si="76"/>
        <v>0</v>
      </c>
      <c r="AQ62" s="455">
        <v>0</v>
      </c>
      <c r="AR62" s="748">
        <f t="shared" si="77"/>
        <v>1.0699999999999999E-2</v>
      </c>
      <c r="AS62" s="32">
        <f t="shared" si="78"/>
        <v>0</v>
      </c>
      <c r="AT62" s="32"/>
      <c r="AV62" s="33">
        <f t="shared" si="79"/>
        <v>-6313</v>
      </c>
    </row>
    <row r="63" spans="1:48" x14ac:dyDescent="0.2">
      <c r="A63" s="175">
        <v>27161</v>
      </c>
      <c r="B63" s="175" t="s">
        <v>316</v>
      </c>
      <c r="C63">
        <v>2001</v>
      </c>
      <c r="D63" s="5"/>
      <c r="E63" s="181">
        <v>37195</v>
      </c>
      <c r="F63" s="833">
        <v>-400000</v>
      </c>
      <c r="G63" s="170">
        <v>7.4999999999999997E-3</v>
      </c>
      <c r="H63" s="170">
        <v>9.2999999999999992E-3</v>
      </c>
      <c r="I63" s="748">
        <f t="shared" si="52"/>
        <v>1.6799999999999999E-2</v>
      </c>
      <c r="J63" s="455">
        <f t="shared" si="80"/>
        <v>-400000</v>
      </c>
      <c r="K63" s="748">
        <f t="shared" si="53"/>
        <v>7.4999999999999997E-3</v>
      </c>
      <c r="L63" s="32">
        <f t="shared" si="54"/>
        <v>-93000</v>
      </c>
      <c r="M63" s="455">
        <f t="shared" si="81"/>
        <v>-400000</v>
      </c>
      <c r="N63" s="748">
        <f t="shared" si="55"/>
        <v>7.4999999999999997E-3</v>
      </c>
      <c r="O63" s="32">
        <f t="shared" si="56"/>
        <v>-84000</v>
      </c>
      <c r="P63" s="455">
        <f t="shared" si="57"/>
        <v>-400000</v>
      </c>
      <c r="Q63" s="748">
        <f t="shared" si="58"/>
        <v>7.4999999999999997E-3</v>
      </c>
      <c r="R63" s="32">
        <f t="shared" si="59"/>
        <v>-93000</v>
      </c>
      <c r="S63" s="455">
        <f t="shared" si="60"/>
        <v>-400000</v>
      </c>
      <c r="T63" s="748">
        <f t="shared" si="61"/>
        <v>7.4999999999999997E-3</v>
      </c>
      <c r="U63" s="32">
        <f t="shared" si="62"/>
        <v>-90000</v>
      </c>
      <c r="V63" s="455">
        <f t="shared" si="82"/>
        <v>-400000</v>
      </c>
      <c r="W63" s="748">
        <f t="shared" si="63"/>
        <v>7.4999999999999997E-3</v>
      </c>
      <c r="X63" s="32">
        <f t="shared" si="64"/>
        <v>-93000</v>
      </c>
      <c r="Y63" s="455">
        <f t="shared" si="83"/>
        <v>-400000</v>
      </c>
      <c r="Z63" s="748">
        <f t="shared" si="65"/>
        <v>7.4999999999999997E-3</v>
      </c>
      <c r="AA63" s="32">
        <f t="shared" si="66"/>
        <v>-90000</v>
      </c>
      <c r="AB63" s="455">
        <f t="shared" si="84"/>
        <v>-400000</v>
      </c>
      <c r="AC63" s="748">
        <f t="shared" si="67"/>
        <v>7.4999999999999997E-3</v>
      </c>
      <c r="AD63" s="32">
        <f t="shared" si="68"/>
        <v>-93000</v>
      </c>
      <c r="AE63" s="455">
        <f t="shared" si="85"/>
        <v>-400000</v>
      </c>
      <c r="AF63" s="748">
        <f t="shared" si="69"/>
        <v>7.4999999999999997E-3</v>
      </c>
      <c r="AG63" s="32">
        <f t="shared" si="70"/>
        <v>-93000</v>
      </c>
      <c r="AH63" s="455">
        <f t="shared" si="86"/>
        <v>-400000</v>
      </c>
      <c r="AI63" s="748">
        <f t="shared" si="71"/>
        <v>7.4999999999999997E-3</v>
      </c>
      <c r="AJ63" s="32">
        <f t="shared" si="72"/>
        <v>-90000</v>
      </c>
      <c r="AK63" s="455">
        <f t="shared" si="87"/>
        <v>-400000</v>
      </c>
      <c r="AL63" s="748">
        <f t="shared" si="73"/>
        <v>7.4999999999999997E-3</v>
      </c>
      <c r="AM63" s="32">
        <f t="shared" si="74"/>
        <v>-93000</v>
      </c>
      <c r="AN63" s="455">
        <v>0</v>
      </c>
      <c r="AO63" s="748">
        <f t="shared" si="75"/>
        <v>7.4999999999999997E-3</v>
      </c>
      <c r="AP63" s="32">
        <f t="shared" si="76"/>
        <v>0</v>
      </c>
      <c r="AQ63" s="455">
        <v>0</v>
      </c>
      <c r="AR63" s="748">
        <f t="shared" si="77"/>
        <v>7.4999999999999997E-3</v>
      </c>
      <c r="AS63" s="32">
        <f t="shared" si="78"/>
        <v>0</v>
      </c>
      <c r="AT63" s="32"/>
      <c r="AV63" s="33">
        <f t="shared" si="79"/>
        <v>-912000</v>
      </c>
    </row>
    <row r="64" spans="1:48" x14ac:dyDescent="0.2">
      <c r="A64" s="175" t="s">
        <v>317</v>
      </c>
      <c r="B64" s="175" t="s">
        <v>284</v>
      </c>
      <c r="C64">
        <v>2001</v>
      </c>
      <c r="D64" s="5"/>
      <c r="E64" s="181">
        <v>37195</v>
      </c>
      <c r="F64" s="833">
        <v>-40000</v>
      </c>
      <c r="G64" s="170">
        <v>5.0700000000000002E-2</v>
      </c>
      <c r="H64" s="170">
        <v>9.2999999999999992E-3</v>
      </c>
      <c r="I64" s="748">
        <f t="shared" si="52"/>
        <v>0.06</v>
      </c>
      <c r="J64" s="455">
        <f t="shared" si="80"/>
        <v>-40000</v>
      </c>
      <c r="K64" s="748">
        <f t="shared" si="53"/>
        <v>5.0700000000000002E-2</v>
      </c>
      <c r="L64" s="32">
        <f t="shared" si="54"/>
        <v>-62868</v>
      </c>
      <c r="M64" s="455">
        <f t="shared" si="81"/>
        <v>-40000</v>
      </c>
      <c r="N64" s="748">
        <f t="shared" si="55"/>
        <v>5.0700000000000002E-2</v>
      </c>
      <c r="O64" s="32">
        <f t="shared" si="56"/>
        <v>-56784</v>
      </c>
      <c r="P64" s="455">
        <f t="shared" si="57"/>
        <v>-40000</v>
      </c>
      <c r="Q64" s="748">
        <f t="shared" si="58"/>
        <v>5.0700000000000002E-2</v>
      </c>
      <c r="R64" s="32">
        <f t="shared" si="59"/>
        <v>-62868</v>
      </c>
      <c r="S64" s="455">
        <f t="shared" si="60"/>
        <v>-40000</v>
      </c>
      <c r="T64" s="748">
        <f t="shared" si="61"/>
        <v>5.0700000000000002E-2</v>
      </c>
      <c r="U64" s="32">
        <f t="shared" si="62"/>
        <v>-60840</v>
      </c>
      <c r="V64" s="455">
        <f t="shared" si="82"/>
        <v>-40000</v>
      </c>
      <c r="W64" s="748">
        <f t="shared" si="63"/>
        <v>5.0700000000000002E-2</v>
      </c>
      <c r="X64" s="32">
        <f t="shared" si="64"/>
        <v>-62868</v>
      </c>
      <c r="Y64" s="455">
        <f t="shared" si="83"/>
        <v>-40000</v>
      </c>
      <c r="Z64" s="748">
        <f t="shared" si="65"/>
        <v>5.0700000000000002E-2</v>
      </c>
      <c r="AA64" s="32">
        <f t="shared" si="66"/>
        <v>-60840</v>
      </c>
      <c r="AB64" s="455">
        <f t="shared" si="84"/>
        <v>-40000</v>
      </c>
      <c r="AC64" s="748">
        <f t="shared" si="67"/>
        <v>5.0700000000000002E-2</v>
      </c>
      <c r="AD64" s="32">
        <f t="shared" si="68"/>
        <v>-62868</v>
      </c>
      <c r="AE64" s="455">
        <f t="shared" si="85"/>
        <v>-40000</v>
      </c>
      <c r="AF64" s="748">
        <f t="shared" si="69"/>
        <v>5.0700000000000002E-2</v>
      </c>
      <c r="AG64" s="32">
        <f t="shared" si="70"/>
        <v>-62868</v>
      </c>
      <c r="AH64" s="455">
        <f t="shared" si="86"/>
        <v>-40000</v>
      </c>
      <c r="AI64" s="748">
        <f t="shared" si="71"/>
        <v>5.0700000000000002E-2</v>
      </c>
      <c r="AJ64" s="32">
        <f t="shared" si="72"/>
        <v>-60840</v>
      </c>
      <c r="AK64" s="455">
        <f t="shared" si="87"/>
        <v>-40000</v>
      </c>
      <c r="AL64" s="748">
        <f t="shared" si="73"/>
        <v>5.0700000000000002E-2</v>
      </c>
      <c r="AM64" s="32">
        <f t="shared" si="74"/>
        <v>-62868</v>
      </c>
      <c r="AN64" s="455">
        <v>0</v>
      </c>
      <c r="AO64" s="748">
        <f t="shared" si="75"/>
        <v>5.0700000000000002E-2</v>
      </c>
      <c r="AP64" s="32">
        <f t="shared" si="76"/>
        <v>0</v>
      </c>
      <c r="AQ64" s="455">
        <v>0</v>
      </c>
      <c r="AR64" s="748">
        <f t="shared" si="77"/>
        <v>5.0700000000000002E-2</v>
      </c>
      <c r="AS64" s="32">
        <f t="shared" si="78"/>
        <v>0</v>
      </c>
      <c r="AT64" s="32"/>
      <c r="AV64" s="33">
        <f t="shared" si="79"/>
        <v>-616512</v>
      </c>
    </row>
    <row r="65" spans="1:49" x14ac:dyDescent="0.2">
      <c r="A65" s="175">
        <v>27104</v>
      </c>
      <c r="B65" s="175" t="s">
        <v>318</v>
      </c>
      <c r="C65">
        <v>2001</v>
      </c>
      <c r="D65" s="5"/>
      <c r="E65" s="181">
        <v>37652</v>
      </c>
      <c r="F65" s="833">
        <v>-1613</v>
      </c>
      <c r="G65" s="170">
        <v>4.07E-2</v>
      </c>
      <c r="H65" s="170">
        <v>3.3E-3</v>
      </c>
      <c r="I65" s="748">
        <f t="shared" si="52"/>
        <v>4.3999999999999997E-2</v>
      </c>
      <c r="J65" s="455">
        <f t="shared" si="80"/>
        <v>-1613</v>
      </c>
      <c r="K65" s="748">
        <f t="shared" si="53"/>
        <v>4.07E-2</v>
      </c>
      <c r="L65" s="32">
        <f t="shared" si="54"/>
        <v>-2035.1221</v>
      </c>
      <c r="M65" s="455">
        <f t="shared" si="81"/>
        <v>-1613</v>
      </c>
      <c r="N65" s="748">
        <f t="shared" si="55"/>
        <v>4.07E-2</v>
      </c>
      <c r="O65" s="32">
        <f t="shared" si="56"/>
        <v>-1838.1748000000002</v>
      </c>
      <c r="P65" s="455">
        <f t="shared" si="57"/>
        <v>-1613</v>
      </c>
      <c r="Q65" s="748">
        <f t="shared" si="58"/>
        <v>4.07E-2</v>
      </c>
      <c r="R65" s="32">
        <f t="shared" si="59"/>
        <v>-2035.1221</v>
      </c>
      <c r="S65" s="455">
        <f t="shared" si="60"/>
        <v>-1613</v>
      </c>
      <c r="T65" s="748">
        <f t="shared" si="61"/>
        <v>4.07E-2</v>
      </c>
      <c r="U65" s="32">
        <f t="shared" si="62"/>
        <v>-1969.4730000000002</v>
      </c>
      <c r="V65" s="455">
        <f t="shared" si="82"/>
        <v>-1613</v>
      </c>
      <c r="W65" s="748">
        <f t="shared" si="63"/>
        <v>4.07E-2</v>
      </c>
      <c r="X65" s="32">
        <f t="shared" si="64"/>
        <v>-2035.1221</v>
      </c>
      <c r="Y65" s="455">
        <f t="shared" si="83"/>
        <v>-1613</v>
      </c>
      <c r="Z65" s="748">
        <f t="shared" si="65"/>
        <v>4.07E-2</v>
      </c>
      <c r="AA65" s="32">
        <f t="shared" si="66"/>
        <v>-1969.4730000000002</v>
      </c>
      <c r="AB65" s="455">
        <f t="shared" si="84"/>
        <v>-1613</v>
      </c>
      <c r="AC65" s="748">
        <f t="shared" si="67"/>
        <v>4.07E-2</v>
      </c>
      <c r="AD65" s="32">
        <f t="shared" si="68"/>
        <v>-2035.1221</v>
      </c>
      <c r="AE65" s="455">
        <f t="shared" si="85"/>
        <v>-1613</v>
      </c>
      <c r="AF65" s="748">
        <f t="shared" si="69"/>
        <v>4.07E-2</v>
      </c>
      <c r="AG65" s="32">
        <f t="shared" si="70"/>
        <v>-2035.1221</v>
      </c>
      <c r="AH65" s="455">
        <f t="shared" si="86"/>
        <v>-1613</v>
      </c>
      <c r="AI65" s="748">
        <f t="shared" si="71"/>
        <v>4.07E-2</v>
      </c>
      <c r="AJ65" s="32">
        <f t="shared" si="72"/>
        <v>-1969.4730000000002</v>
      </c>
      <c r="AK65" s="455">
        <f t="shared" si="87"/>
        <v>-1613</v>
      </c>
      <c r="AL65" s="748">
        <f t="shared" si="73"/>
        <v>4.07E-2</v>
      </c>
      <c r="AM65" s="32">
        <f t="shared" si="74"/>
        <v>-2035.1221</v>
      </c>
      <c r="AN65" s="455">
        <f t="shared" si="88"/>
        <v>-1613</v>
      </c>
      <c r="AO65" s="748">
        <f t="shared" si="75"/>
        <v>4.07E-2</v>
      </c>
      <c r="AP65" s="32">
        <f t="shared" si="76"/>
        <v>-1969.4730000000002</v>
      </c>
      <c r="AQ65" s="455">
        <f t="shared" si="89"/>
        <v>-1613</v>
      </c>
      <c r="AR65" s="748">
        <f t="shared" si="77"/>
        <v>4.07E-2</v>
      </c>
      <c r="AS65" s="32">
        <f t="shared" si="78"/>
        <v>-2035.1221</v>
      </c>
      <c r="AT65" s="32"/>
      <c r="AV65" s="33">
        <f t="shared" si="79"/>
        <v>-23961.921500000004</v>
      </c>
    </row>
    <row r="66" spans="1:49" x14ac:dyDescent="0.2">
      <c r="A66" s="176">
        <v>24194</v>
      </c>
      <c r="B66" s="176" t="s">
        <v>319</v>
      </c>
      <c r="C66">
        <v>2001</v>
      </c>
      <c r="D66" s="48" t="s">
        <v>303</v>
      </c>
      <c r="E66" s="177"/>
      <c r="F66" s="834">
        <v>-25000</v>
      </c>
      <c r="G66" s="178">
        <v>0.1007</v>
      </c>
      <c r="H66" s="179">
        <v>9.2999999999999992E-3</v>
      </c>
      <c r="I66" s="748">
        <f t="shared" si="52"/>
        <v>0.11</v>
      </c>
      <c r="J66" s="455">
        <v>0</v>
      </c>
      <c r="K66" s="748">
        <f t="shared" si="53"/>
        <v>0.1007</v>
      </c>
      <c r="L66" s="32">
        <f t="shared" si="54"/>
        <v>0</v>
      </c>
      <c r="M66" s="455">
        <v>0</v>
      </c>
      <c r="N66" s="748">
        <f t="shared" si="55"/>
        <v>0.1007</v>
      </c>
      <c r="O66" s="32">
        <f t="shared" si="56"/>
        <v>0</v>
      </c>
      <c r="P66" s="455">
        <v>0</v>
      </c>
      <c r="Q66" s="748">
        <f t="shared" si="58"/>
        <v>0.1007</v>
      </c>
      <c r="R66" s="32">
        <f t="shared" si="59"/>
        <v>0</v>
      </c>
      <c r="S66" s="455">
        <v>0</v>
      </c>
      <c r="T66" s="748">
        <f t="shared" si="61"/>
        <v>0.1007</v>
      </c>
      <c r="U66" s="32">
        <f t="shared" si="62"/>
        <v>0</v>
      </c>
      <c r="V66" s="455">
        <v>0</v>
      </c>
      <c r="W66" s="748">
        <f t="shared" si="63"/>
        <v>0.1007</v>
      </c>
      <c r="X66" s="32">
        <f t="shared" si="64"/>
        <v>0</v>
      </c>
      <c r="Y66" s="455">
        <v>0</v>
      </c>
      <c r="Z66" s="748">
        <f t="shared" si="65"/>
        <v>0.1007</v>
      </c>
      <c r="AA66" s="32">
        <f t="shared" si="66"/>
        <v>0</v>
      </c>
      <c r="AB66" s="455">
        <v>0</v>
      </c>
      <c r="AC66" s="748">
        <f t="shared" si="67"/>
        <v>0.1007</v>
      </c>
      <c r="AD66" s="32">
        <f t="shared" si="68"/>
        <v>0</v>
      </c>
      <c r="AE66" s="455">
        <v>0</v>
      </c>
      <c r="AF66" s="748">
        <f t="shared" si="69"/>
        <v>0.1007</v>
      </c>
      <c r="AG66" s="32">
        <f t="shared" si="70"/>
        <v>0</v>
      </c>
      <c r="AH66" s="455">
        <v>0</v>
      </c>
      <c r="AI66" s="748">
        <f t="shared" si="71"/>
        <v>0.1007</v>
      </c>
      <c r="AJ66" s="32">
        <f t="shared" si="72"/>
        <v>0</v>
      </c>
      <c r="AK66" s="455">
        <v>-10000</v>
      </c>
      <c r="AL66" s="748">
        <f t="shared" si="73"/>
        <v>0.1007</v>
      </c>
      <c r="AM66" s="32">
        <f t="shared" si="74"/>
        <v>-31217</v>
      </c>
      <c r="AN66" s="455">
        <v>-40000</v>
      </c>
      <c r="AO66" s="748">
        <f t="shared" si="75"/>
        <v>0.1007</v>
      </c>
      <c r="AP66" s="32">
        <f t="shared" si="76"/>
        <v>-120840</v>
      </c>
      <c r="AQ66" s="455">
        <v>-40000</v>
      </c>
      <c r="AR66" s="748">
        <f t="shared" si="77"/>
        <v>0.1007</v>
      </c>
      <c r="AS66" s="32">
        <f t="shared" si="78"/>
        <v>-124868</v>
      </c>
      <c r="AT66" s="32"/>
      <c r="AV66" s="33">
        <f t="shared" si="79"/>
        <v>-276925</v>
      </c>
    </row>
    <row r="67" spans="1:49" x14ac:dyDescent="0.2">
      <c r="A67" s="176">
        <v>24754</v>
      </c>
      <c r="B67" s="176" t="s">
        <v>313</v>
      </c>
      <c r="C67">
        <v>2001</v>
      </c>
      <c r="D67" s="48" t="s">
        <v>303</v>
      </c>
      <c r="E67" s="177"/>
      <c r="F67" s="834">
        <v>-1000</v>
      </c>
      <c r="G67" s="171">
        <v>9.0700000000000003E-2</v>
      </c>
      <c r="H67" s="171">
        <v>9.2999999999999992E-3</v>
      </c>
      <c r="I67" s="748">
        <f t="shared" si="52"/>
        <v>0.1</v>
      </c>
      <c r="J67" s="455">
        <v>0</v>
      </c>
      <c r="K67" s="748">
        <f t="shared" si="53"/>
        <v>9.0700000000000003E-2</v>
      </c>
      <c r="L67" s="32">
        <f t="shared" si="54"/>
        <v>0</v>
      </c>
      <c r="M67" s="455">
        <v>0</v>
      </c>
      <c r="N67" s="748">
        <f t="shared" si="55"/>
        <v>9.0700000000000003E-2</v>
      </c>
      <c r="O67" s="32">
        <f t="shared" si="56"/>
        <v>0</v>
      </c>
      <c r="P67" s="455">
        <v>0</v>
      </c>
      <c r="Q67" s="748">
        <f t="shared" si="58"/>
        <v>9.0700000000000003E-2</v>
      </c>
      <c r="R67" s="32">
        <f t="shared" si="59"/>
        <v>0</v>
      </c>
      <c r="S67" s="455">
        <v>0</v>
      </c>
      <c r="T67" s="748">
        <f t="shared" si="61"/>
        <v>9.0700000000000003E-2</v>
      </c>
      <c r="U67" s="32">
        <f t="shared" si="62"/>
        <v>0</v>
      </c>
      <c r="V67" s="455">
        <f t="shared" si="82"/>
        <v>-1000</v>
      </c>
      <c r="W67" s="748">
        <f t="shared" si="63"/>
        <v>9.0700000000000003E-2</v>
      </c>
      <c r="X67" s="32">
        <f t="shared" si="64"/>
        <v>-2811.7000000000003</v>
      </c>
      <c r="Y67" s="455">
        <f t="shared" si="83"/>
        <v>-1000</v>
      </c>
      <c r="Z67" s="748">
        <f t="shared" si="65"/>
        <v>9.0700000000000003E-2</v>
      </c>
      <c r="AA67" s="32">
        <f t="shared" si="66"/>
        <v>-2721</v>
      </c>
      <c r="AB67" s="455">
        <f t="shared" si="84"/>
        <v>-1000</v>
      </c>
      <c r="AC67" s="748">
        <f t="shared" si="67"/>
        <v>9.0700000000000003E-2</v>
      </c>
      <c r="AD67" s="32">
        <f t="shared" si="68"/>
        <v>-2811.7000000000003</v>
      </c>
      <c r="AE67" s="455">
        <f t="shared" si="85"/>
        <v>-1000</v>
      </c>
      <c r="AF67" s="748">
        <f t="shared" si="69"/>
        <v>9.0700000000000003E-2</v>
      </c>
      <c r="AG67" s="32">
        <f t="shared" si="70"/>
        <v>-2811.7000000000003</v>
      </c>
      <c r="AH67" s="455">
        <f t="shared" si="86"/>
        <v>-1000</v>
      </c>
      <c r="AI67" s="748">
        <f t="shared" si="71"/>
        <v>9.0700000000000003E-2</v>
      </c>
      <c r="AJ67" s="32">
        <f t="shared" si="72"/>
        <v>-2721</v>
      </c>
      <c r="AK67" s="455">
        <f t="shared" si="87"/>
        <v>-1000</v>
      </c>
      <c r="AL67" s="748">
        <f t="shared" si="73"/>
        <v>9.0700000000000003E-2</v>
      </c>
      <c r="AM67" s="32">
        <f t="shared" si="74"/>
        <v>-2811.7000000000003</v>
      </c>
      <c r="AN67" s="455">
        <f t="shared" si="88"/>
        <v>-1000</v>
      </c>
      <c r="AO67" s="748">
        <f t="shared" si="75"/>
        <v>9.0700000000000003E-2</v>
      </c>
      <c r="AP67" s="32">
        <f t="shared" si="76"/>
        <v>-2721</v>
      </c>
      <c r="AQ67" s="455">
        <f t="shared" si="89"/>
        <v>-1000</v>
      </c>
      <c r="AR67" s="748">
        <f t="shared" si="77"/>
        <v>9.0700000000000003E-2</v>
      </c>
      <c r="AS67" s="32">
        <f t="shared" si="78"/>
        <v>-2811.7000000000003</v>
      </c>
      <c r="AT67" s="32"/>
      <c r="AV67" s="33">
        <f t="shared" si="79"/>
        <v>-22221.500000000004</v>
      </c>
    </row>
    <row r="68" spans="1:49" x14ac:dyDescent="0.2">
      <c r="A68" s="176">
        <v>27137</v>
      </c>
      <c r="B68" s="176" t="s">
        <v>288</v>
      </c>
      <c r="C68">
        <v>2001</v>
      </c>
      <c r="D68" s="48" t="s">
        <v>303</v>
      </c>
      <c r="E68" s="177"/>
      <c r="F68" s="834">
        <v>-10000</v>
      </c>
      <c r="G68" s="171">
        <v>1.5699999999999999E-2</v>
      </c>
      <c r="H68" s="171">
        <v>9.2999999999999992E-3</v>
      </c>
      <c r="I68" s="748">
        <f t="shared" si="52"/>
        <v>2.4999999999999998E-2</v>
      </c>
      <c r="J68" s="455">
        <v>0</v>
      </c>
      <c r="K68" s="748">
        <f t="shared" si="53"/>
        <v>1.5699999999999999E-2</v>
      </c>
      <c r="L68" s="32">
        <f t="shared" si="54"/>
        <v>0</v>
      </c>
      <c r="M68" s="455">
        <v>0</v>
      </c>
      <c r="N68" s="748">
        <f t="shared" si="55"/>
        <v>1.5699999999999999E-2</v>
      </c>
      <c r="O68" s="32">
        <f t="shared" si="56"/>
        <v>0</v>
      </c>
      <c r="P68" s="455">
        <f t="shared" si="57"/>
        <v>-10000</v>
      </c>
      <c r="Q68" s="748">
        <f t="shared" si="58"/>
        <v>1.5699999999999999E-2</v>
      </c>
      <c r="R68" s="32">
        <f t="shared" si="59"/>
        <v>-4867</v>
      </c>
      <c r="S68" s="455">
        <f t="shared" si="60"/>
        <v>-10000</v>
      </c>
      <c r="T68" s="748">
        <f t="shared" si="61"/>
        <v>1.5699999999999999E-2</v>
      </c>
      <c r="U68" s="32">
        <f t="shared" si="62"/>
        <v>-4710</v>
      </c>
      <c r="V68" s="455">
        <f t="shared" si="82"/>
        <v>-10000</v>
      </c>
      <c r="W68" s="748">
        <f t="shared" si="63"/>
        <v>1.5699999999999999E-2</v>
      </c>
      <c r="X68" s="32">
        <f t="shared" si="64"/>
        <v>-4867</v>
      </c>
      <c r="Y68" s="455">
        <f t="shared" si="83"/>
        <v>-10000</v>
      </c>
      <c r="Z68" s="748">
        <f t="shared" si="65"/>
        <v>1.5699999999999999E-2</v>
      </c>
      <c r="AA68" s="32">
        <f t="shared" si="66"/>
        <v>-4710</v>
      </c>
      <c r="AB68" s="455">
        <f t="shared" si="84"/>
        <v>-10000</v>
      </c>
      <c r="AC68" s="748">
        <f t="shared" si="67"/>
        <v>1.5699999999999999E-2</v>
      </c>
      <c r="AD68" s="32">
        <f t="shared" si="68"/>
        <v>-4867</v>
      </c>
      <c r="AE68" s="455">
        <f t="shared" si="85"/>
        <v>-10000</v>
      </c>
      <c r="AF68" s="748">
        <f t="shared" si="69"/>
        <v>1.5699999999999999E-2</v>
      </c>
      <c r="AG68" s="32">
        <f t="shared" si="70"/>
        <v>-4867</v>
      </c>
      <c r="AH68" s="455">
        <f t="shared" si="86"/>
        <v>-10000</v>
      </c>
      <c r="AI68" s="748">
        <f t="shared" si="71"/>
        <v>1.5699999999999999E-2</v>
      </c>
      <c r="AJ68" s="32">
        <f t="shared" si="72"/>
        <v>-4710</v>
      </c>
      <c r="AK68" s="455">
        <f t="shared" si="87"/>
        <v>-10000</v>
      </c>
      <c r="AL68" s="748">
        <f t="shared" si="73"/>
        <v>1.5699999999999999E-2</v>
      </c>
      <c r="AM68" s="32">
        <f t="shared" si="74"/>
        <v>-4867</v>
      </c>
      <c r="AN68" s="455">
        <f t="shared" si="88"/>
        <v>-10000</v>
      </c>
      <c r="AO68" s="748">
        <f t="shared" si="75"/>
        <v>1.5699999999999999E-2</v>
      </c>
      <c r="AP68" s="32">
        <f t="shared" si="76"/>
        <v>-4710</v>
      </c>
      <c r="AQ68" s="455">
        <f t="shared" si="89"/>
        <v>-10000</v>
      </c>
      <c r="AR68" s="748">
        <f t="shared" si="77"/>
        <v>1.5699999999999999E-2</v>
      </c>
      <c r="AS68" s="32">
        <f t="shared" si="78"/>
        <v>-4867</v>
      </c>
      <c r="AT68" s="32"/>
      <c r="AV68" s="33">
        <f t="shared" si="79"/>
        <v>-48042</v>
      </c>
    </row>
    <row r="69" spans="1:49" x14ac:dyDescent="0.2">
      <c r="A69" s="169">
        <v>27161</v>
      </c>
      <c r="B69" s="48" t="s">
        <v>316</v>
      </c>
      <c r="C69">
        <v>2001</v>
      </c>
      <c r="D69" s="48" t="s">
        <v>303</v>
      </c>
      <c r="E69" s="167"/>
      <c r="F69" s="835">
        <v>-400000</v>
      </c>
      <c r="G69" s="171">
        <v>7.4999999999999997E-3</v>
      </c>
      <c r="H69" s="171">
        <v>9.2999999999999992E-3</v>
      </c>
      <c r="I69" s="748">
        <f t="shared" si="52"/>
        <v>1.6799999999999999E-2</v>
      </c>
      <c r="J69" s="455">
        <v>0</v>
      </c>
      <c r="K69" s="748">
        <f t="shared" si="53"/>
        <v>7.4999999999999997E-3</v>
      </c>
      <c r="L69" s="32">
        <f t="shared" si="54"/>
        <v>0</v>
      </c>
      <c r="M69" s="455">
        <v>0</v>
      </c>
      <c r="N69" s="748">
        <f t="shared" si="55"/>
        <v>7.4999999999999997E-3</v>
      </c>
      <c r="O69" s="32">
        <f t="shared" si="56"/>
        <v>0</v>
      </c>
      <c r="P69" s="455">
        <v>0</v>
      </c>
      <c r="Q69" s="748">
        <f t="shared" si="58"/>
        <v>7.4999999999999997E-3</v>
      </c>
      <c r="R69" s="32">
        <f t="shared" si="59"/>
        <v>0</v>
      </c>
      <c r="S69" s="455">
        <v>0</v>
      </c>
      <c r="T69" s="748">
        <f t="shared" si="61"/>
        <v>7.4999999999999997E-3</v>
      </c>
      <c r="U69" s="32">
        <f t="shared" si="62"/>
        <v>0</v>
      </c>
      <c r="V69" s="455">
        <v>0</v>
      </c>
      <c r="W69" s="748">
        <f t="shared" si="63"/>
        <v>7.4999999999999997E-3</v>
      </c>
      <c r="X69" s="32">
        <f t="shared" si="64"/>
        <v>0</v>
      </c>
      <c r="Y69" s="455">
        <v>0</v>
      </c>
      <c r="Z69" s="748">
        <f t="shared" si="65"/>
        <v>7.4999999999999997E-3</v>
      </c>
      <c r="AA69" s="32">
        <f t="shared" si="66"/>
        <v>0</v>
      </c>
      <c r="AB69" s="455">
        <v>0</v>
      </c>
      <c r="AC69" s="748">
        <f t="shared" si="67"/>
        <v>7.4999999999999997E-3</v>
      </c>
      <c r="AD69" s="32">
        <f t="shared" si="68"/>
        <v>0</v>
      </c>
      <c r="AE69" s="455">
        <v>0</v>
      </c>
      <c r="AF69" s="748">
        <f t="shared" si="69"/>
        <v>7.4999999999999997E-3</v>
      </c>
      <c r="AG69" s="32">
        <f t="shared" si="70"/>
        <v>0</v>
      </c>
      <c r="AH69" s="455">
        <v>0</v>
      </c>
      <c r="AI69" s="748">
        <f t="shared" si="71"/>
        <v>7.4999999999999997E-3</v>
      </c>
      <c r="AJ69" s="32">
        <f t="shared" si="72"/>
        <v>0</v>
      </c>
      <c r="AK69" s="455">
        <v>0</v>
      </c>
      <c r="AL69" s="748">
        <f t="shared" si="73"/>
        <v>7.4999999999999997E-3</v>
      </c>
      <c r="AM69" s="32">
        <f t="shared" si="74"/>
        <v>0</v>
      </c>
      <c r="AN69" s="455">
        <f t="shared" si="88"/>
        <v>-400000</v>
      </c>
      <c r="AO69" s="748">
        <f t="shared" si="75"/>
        <v>7.4999999999999997E-3</v>
      </c>
      <c r="AP69" s="32">
        <f t="shared" si="76"/>
        <v>-90000</v>
      </c>
      <c r="AQ69" s="455">
        <f t="shared" si="89"/>
        <v>-400000</v>
      </c>
      <c r="AR69" s="748">
        <f t="shared" si="77"/>
        <v>7.4999999999999997E-3</v>
      </c>
      <c r="AS69" s="32">
        <f t="shared" si="78"/>
        <v>-93000</v>
      </c>
      <c r="AT69" s="32"/>
      <c r="AV69" s="33">
        <f t="shared" si="79"/>
        <v>-183000</v>
      </c>
    </row>
    <row r="70" spans="1:49" x14ac:dyDescent="0.2">
      <c r="A70" s="169">
        <v>26490</v>
      </c>
      <c r="B70" s="48" t="s">
        <v>284</v>
      </c>
      <c r="C70">
        <v>2001</v>
      </c>
      <c r="D70" s="48" t="s">
        <v>303</v>
      </c>
      <c r="E70" s="167"/>
      <c r="F70" s="817">
        <v>-40000</v>
      </c>
      <c r="G70" s="171">
        <v>6.0699999999999997E-2</v>
      </c>
      <c r="H70" s="171">
        <v>9.2999999999999992E-3</v>
      </c>
      <c r="I70" s="748">
        <f t="shared" si="52"/>
        <v>6.9999999999999993E-2</v>
      </c>
      <c r="J70" s="455">
        <v>0</v>
      </c>
      <c r="K70" s="748">
        <f t="shared" si="53"/>
        <v>6.0699999999999997E-2</v>
      </c>
      <c r="L70" s="32">
        <f t="shared" si="54"/>
        <v>0</v>
      </c>
      <c r="M70" s="455">
        <v>0</v>
      </c>
      <c r="N70" s="748">
        <f t="shared" si="55"/>
        <v>6.0699999999999997E-2</v>
      </c>
      <c r="O70" s="32">
        <f t="shared" si="56"/>
        <v>0</v>
      </c>
      <c r="P70" s="455">
        <v>0</v>
      </c>
      <c r="Q70" s="748">
        <f t="shared" si="58"/>
        <v>6.0699999999999997E-2</v>
      </c>
      <c r="R70" s="32">
        <f t="shared" si="59"/>
        <v>0</v>
      </c>
      <c r="S70" s="455">
        <v>0</v>
      </c>
      <c r="T70" s="748">
        <f t="shared" si="61"/>
        <v>6.0699999999999997E-2</v>
      </c>
      <c r="U70" s="32">
        <f t="shared" si="62"/>
        <v>0</v>
      </c>
      <c r="V70" s="455">
        <v>0</v>
      </c>
      <c r="W70" s="748">
        <f t="shared" si="63"/>
        <v>6.0699999999999997E-2</v>
      </c>
      <c r="X70" s="32">
        <f t="shared" si="64"/>
        <v>0</v>
      </c>
      <c r="Y70" s="455">
        <v>0</v>
      </c>
      <c r="Z70" s="748">
        <f t="shared" si="65"/>
        <v>6.0699999999999997E-2</v>
      </c>
      <c r="AA70" s="32">
        <f t="shared" si="66"/>
        <v>0</v>
      </c>
      <c r="AB70" s="455">
        <v>0</v>
      </c>
      <c r="AC70" s="748">
        <f t="shared" si="67"/>
        <v>6.0699999999999997E-2</v>
      </c>
      <c r="AD70" s="32">
        <f t="shared" si="68"/>
        <v>0</v>
      </c>
      <c r="AE70" s="455">
        <v>0</v>
      </c>
      <c r="AF70" s="748">
        <f t="shared" si="69"/>
        <v>6.0699999999999997E-2</v>
      </c>
      <c r="AG70" s="32">
        <f t="shared" si="70"/>
        <v>0</v>
      </c>
      <c r="AH70" s="455">
        <v>0</v>
      </c>
      <c r="AI70" s="748">
        <f t="shared" si="71"/>
        <v>6.0699999999999997E-2</v>
      </c>
      <c r="AJ70" s="32">
        <f t="shared" si="72"/>
        <v>0</v>
      </c>
      <c r="AK70" s="455">
        <v>0</v>
      </c>
      <c r="AL70" s="748">
        <f t="shared" si="73"/>
        <v>6.0699999999999997E-2</v>
      </c>
      <c r="AM70" s="32">
        <f t="shared" si="74"/>
        <v>0</v>
      </c>
      <c r="AN70" s="455">
        <f t="shared" si="88"/>
        <v>-40000</v>
      </c>
      <c r="AO70" s="748">
        <f t="shared" si="75"/>
        <v>6.0699999999999997E-2</v>
      </c>
      <c r="AP70" s="32">
        <f t="shared" si="76"/>
        <v>-72840</v>
      </c>
      <c r="AQ70" s="455">
        <f t="shared" si="89"/>
        <v>-40000</v>
      </c>
      <c r="AR70" s="748">
        <f t="shared" si="77"/>
        <v>6.0699999999999997E-2</v>
      </c>
      <c r="AS70" s="32">
        <f t="shared" si="78"/>
        <v>-75268</v>
      </c>
      <c r="AT70" s="32"/>
      <c r="AV70" s="33">
        <f t="shared" si="79"/>
        <v>-148108</v>
      </c>
      <c r="AW70" s="11"/>
    </row>
    <row r="71" spans="1:49" x14ac:dyDescent="0.2">
      <c r="A71" s="172">
        <v>24568</v>
      </c>
      <c r="B71" s="172" t="s">
        <v>323</v>
      </c>
      <c r="D71" s="185" t="s">
        <v>321</v>
      </c>
      <c r="E71" s="185">
        <v>37256</v>
      </c>
      <c r="F71" s="817">
        <v>-32000</v>
      </c>
      <c r="G71" s="171">
        <v>0.20399999999999999</v>
      </c>
      <c r="H71" s="171">
        <v>1.6E-2</v>
      </c>
      <c r="I71" s="748">
        <f t="shared" si="52"/>
        <v>0.21999999999999997</v>
      </c>
      <c r="J71" s="455">
        <f>$F71</f>
        <v>-32000</v>
      </c>
      <c r="K71" s="748">
        <f t="shared" si="53"/>
        <v>0.20399999999999999</v>
      </c>
      <c r="L71" s="32">
        <f t="shared" si="54"/>
        <v>-202368</v>
      </c>
      <c r="M71" s="455">
        <f>$F71</f>
        <v>-32000</v>
      </c>
      <c r="N71" s="748">
        <f t="shared" si="55"/>
        <v>0.20399999999999999</v>
      </c>
      <c r="O71" s="32">
        <f t="shared" si="56"/>
        <v>-182784</v>
      </c>
      <c r="P71" s="455">
        <f>$F71</f>
        <v>-32000</v>
      </c>
      <c r="Q71" s="748">
        <f t="shared" si="58"/>
        <v>0.20399999999999999</v>
      </c>
      <c r="R71" s="32">
        <f t="shared" si="59"/>
        <v>-202368</v>
      </c>
      <c r="S71" s="455">
        <f>$F71</f>
        <v>-32000</v>
      </c>
      <c r="T71" s="748">
        <f t="shared" si="61"/>
        <v>0.20399999999999999</v>
      </c>
      <c r="U71" s="32">
        <f t="shared" si="62"/>
        <v>-195840</v>
      </c>
      <c r="V71" s="455">
        <f>$F71</f>
        <v>-32000</v>
      </c>
      <c r="W71" s="748">
        <f t="shared" si="63"/>
        <v>0.20399999999999999</v>
      </c>
      <c r="X71" s="32">
        <f t="shared" si="64"/>
        <v>-202368</v>
      </c>
      <c r="Y71" s="455">
        <f>$F71</f>
        <v>-32000</v>
      </c>
      <c r="Z71" s="748">
        <f t="shared" si="65"/>
        <v>0.20399999999999999</v>
      </c>
      <c r="AA71" s="32">
        <f t="shared" si="66"/>
        <v>-195840</v>
      </c>
      <c r="AB71" s="455">
        <f>$F71</f>
        <v>-32000</v>
      </c>
      <c r="AC71" s="748">
        <f t="shared" si="67"/>
        <v>0.20399999999999999</v>
      </c>
      <c r="AD71" s="32">
        <f t="shared" si="68"/>
        <v>-202368</v>
      </c>
      <c r="AE71" s="455">
        <f>$F71</f>
        <v>-32000</v>
      </c>
      <c r="AF71" s="748">
        <f t="shared" si="69"/>
        <v>0.20399999999999999</v>
      </c>
      <c r="AG71" s="32">
        <f t="shared" si="70"/>
        <v>-202368</v>
      </c>
      <c r="AH71" s="455">
        <f>$F71</f>
        <v>-32000</v>
      </c>
      <c r="AI71" s="748">
        <f t="shared" si="71"/>
        <v>0.20399999999999999</v>
      </c>
      <c r="AJ71" s="32">
        <f t="shared" si="72"/>
        <v>-195840</v>
      </c>
      <c r="AK71" s="455">
        <f>$F71</f>
        <v>-32000</v>
      </c>
      <c r="AL71" s="748">
        <f t="shared" si="73"/>
        <v>0.20399999999999999</v>
      </c>
      <c r="AM71" s="32">
        <f t="shared" si="74"/>
        <v>-202368</v>
      </c>
      <c r="AN71" s="455">
        <f t="shared" si="88"/>
        <v>-32000</v>
      </c>
      <c r="AO71" s="748">
        <f t="shared" si="75"/>
        <v>0.20399999999999999</v>
      </c>
      <c r="AP71" s="32">
        <f t="shared" si="76"/>
        <v>-195840</v>
      </c>
      <c r="AQ71" s="455">
        <f t="shared" si="89"/>
        <v>-32000</v>
      </c>
      <c r="AR71" s="748">
        <f t="shared" si="77"/>
        <v>0.20399999999999999</v>
      </c>
      <c r="AS71" s="32">
        <f t="shared" si="78"/>
        <v>-202368</v>
      </c>
      <c r="AT71" s="32"/>
      <c r="AV71" s="33">
        <f t="shared" si="79"/>
        <v>-2382720</v>
      </c>
      <c r="AW71" s="11"/>
    </row>
    <row r="72" spans="1:49" x14ac:dyDescent="0.2">
      <c r="A72" s="175">
        <v>24654</v>
      </c>
      <c r="B72" s="175" t="s">
        <v>302</v>
      </c>
      <c r="D72" s="181" t="s">
        <v>321</v>
      </c>
      <c r="E72" s="181">
        <v>37256</v>
      </c>
      <c r="F72" s="817">
        <v>-8000</v>
      </c>
      <c r="G72" s="171">
        <v>0.20399999999999999</v>
      </c>
      <c r="H72" s="171">
        <v>1.35E-2</v>
      </c>
      <c r="I72" s="748">
        <f t="shared" si="52"/>
        <v>0.2175</v>
      </c>
      <c r="J72" s="455">
        <f>$F72</f>
        <v>-8000</v>
      </c>
      <c r="K72" s="748">
        <f t="shared" si="53"/>
        <v>0.20399999999999999</v>
      </c>
      <c r="L72" s="32">
        <f t="shared" si="54"/>
        <v>-50592</v>
      </c>
      <c r="M72" s="455">
        <f>$F72</f>
        <v>-8000</v>
      </c>
      <c r="N72" s="748">
        <f t="shared" si="55"/>
        <v>0.20399999999999999</v>
      </c>
      <c r="O72" s="32">
        <f t="shared" si="56"/>
        <v>-45696</v>
      </c>
      <c r="P72" s="455">
        <f>$F72</f>
        <v>-8000</v>
      </c>
      <c r="Q72" s="748">
        <f t="shared" si="58"/>
        <v>0.20399999999999999</v>
      </c>
      <c r="R72" s="32">
        <f t="shared" si="59"/>
        <v>-50592</v>
      </c>
      <c r="S72" s="455">
        <f>$F72</f>
        <v>-8000</v>
      </c>
      <c r="T72" s="748">
        <f t="shared" si="61"/>
        <v>0.20399999999999999</v>
      </c>
      <c r="U72" s="32">
        <f t="shared" si="62"/>
        <v>-48960</v>
      </c>
      <c r="V72" s="455">
        <f>$F72</f>
        <v>-8000</v>
      </c>
      <c r="W72" s="748">
        <f t="shared" si="63"/>
        <v>0.20399999999999999</v>
      </c>
      <c r="X72" s="32">
        <f t="shared" si="64"/>
        <v>-50592</v>
      </c>
      <c r="Y72" s="455">
        <f>$F72</f>
        <v>-8000</v>
      </c>
      <c r="Z72" s="748">
        <f t="shared" si="65"/>
        <v>0.20399999999999999</v>
      </c>
      <c r="AA72" s="32">
        <f t="shared" si="66"/>
        <v>-48960</v>
      </c>
      <c r="AB72" s="455">
        <f>$F72</f>
        <v>-8000</v>
      </c>
      <c r="AC72" s="748">
        <f t="shared" si="67"/>
        <v>0.20399999999999999</v>
      </c>
      <c r="AD72" s="32">
        <f t="shared" si="68"/>
        <v>-50592</v>
      </c>
      <c r="AE72" s="455">
        <f>$F72</f>
        <v>-8000</v>
      </c>
      <c r="AF72" s="748">
        <f t="shared" si="69"/>
        <v>0.20399999999999999</v>
      </c>
      <c r="AG72" s="32">
        <f t="shared" si="70"/>
        <v>-50592</v>
      </c>
      <c r="AH72" s="455">
        <f>$F72</f>
        <v>-8000</v>
      </c>
      <c r="AI72" s="748">
        <f t="shared" si="71"/>
        <v>0.20399999999999999</v>
      </c>
      <c r="AJ72" s="32">
        <f t="shared" si="72"/>
        <v>-48960</v>
      </c>
      <c r="AK72" s="455">
        <f>$F72</f>
        <v>-8000</v>
      </c>
      <c r="AL72" s="748">
        <f t="shared" si="73"/>
        <v>0.20399999999999999</v>
      </c>
      <c r="AM72" s="32">
        <f t="shared" si="74"/>
        <v>-50592</v>
      </c>
      <c r="AN72" s="455">
        <f t="shared" si="88"/>
        <v>-8000</v>
      </c>
      <c r="AO72" s="748">
        <f t="shared" si="75"/>
        <v>0.20399999999999999</v>
      </c>
      <c r="AP72" s="32">
        <f t="shared" si="76"/>
        <v>-48960</v>
      </c>
      <c r="AQ72" s="455">
        <f t="shared" si="89"/>
        <v>-8000</v>
      </c>
      <c r="AR72" s="748">
        <f t="shared" si="77"/>
        <v>0.20399999999999999</v>
      </c>
      <c r="AS72" s="32">
        <f t="shared" si="78"/>
        <v>-50592</v>
      </c>
      <c r="AT72" s="32"/>
      <c r="AV72" s="33">
        <f t="shared" si="79"/>
        <v>-595680</v>
      </c>
      <c r="AW72" s="11"/>
    </row>
    <row r="73" spans="1:49" x14ac:dyDescent="0.2">
      <c r="A73" s="504">
        <v>24809</v>
      </c>
      <c r="B73" s="504" t="s">
        <v>324</v>
      </c>
      <c r="D73" s="489" t="s">
        <v>325</v>
      </c>
      <c r="E73" s="185">
        <v>37225</v>
      </c>
      <c r="F73" s="817">
        <v>-20000</v>
      </c>
      <c r="G73" s="171">
        <v>0.20700000000000002</v>
      </c>
      <c r="H73" s="171">
        <v>1.9199999999999998E-2</v>
      </c>
      <c r="I73" s="748">
        <f t="shared" si="52"/>
        <v>0.22620000000000001</v>
      </c>
      <c r="J73" s="455">
        <f>$F73</f>
        <v>-20000</v>
      </c>
      <c r="K73" s="748">
        <f t="shared" si="53"/>
        <v>0.20700000000000002</v>
      </c>
      <c r="L73" s="32">
        <f t="shared" si="54"/>
        <v>-128340</v>
      </c>
      <c r="M73" s="455">
        <f>$F73</f>
        <v>-20000</v>
      </c>
      <c r="N73" s="748">
        <f t="shared" si="55"/>
        <v>0.20700000000000002</v>
      </c>
      <c r="O73" s="32">
        <f t="shared" si="56"/>
        <v>-115920</v>
      </c>
      <c r="P73" s="455">
        <f>$F73</f>
        <v>-20000</v>
      </c>
      <c r="Q73" s="748">
        <f t="shared" si="58"/>
        <v>0.20700000000000002</v>
      </c>
      <c r="R73" s="32">
        <f t="shared" si="59"/>
        <v>-128340</v>
      </c>
      <c r="S73" s="455">
        <f>$F73</f>
        <v>-20000</v>
      </c>
      <c r="T73" s="748">
        <f t="shared" si="61"/>
        <v>0.20700000000000002</v>
      </c>
      <c r="U73" s="32">
        <f t="shared" si="62"/>
        <v>-124200</v>
      </c>
      <c r="V73" s="455">
        <f>$F73</f>
        <v>-20000</v>
      </c>
      <c r="W73" s="748">
        <f t="shared" si="63"/>
        <v>0.20700000000000002</v>
      </c>
      <c r="X73" s="32">
        <f t="shared" si="64"/>
        <v>-128340</v>
      </c>
      <c r="Y73" s="455">
        <f>$F73</f>
        <v>-20000</v>
      </c>
      <c r="Z73" s="748">
        <f t="shared" si="65"/>
        <v>0.20700000000000002</v>
      </c>
      <c r="AA73" s="32">
        <f t="shared" si="66"/>
        <v>-124200</v>
      </c>
      <c r="AB73" s="455">
        <f>$F73</f>
        <v>-20000</v>
      </c>
      <c r="AC73" s="748">
        <f t="shared" si="67"/>
        <v>0.20700000000000002</v>
      </c>
      <c r="AD73" s="32">
        <f t="shared" si="68"/>
        <v>-128340</v>
      </c>
      <c r="AE73" s="455">
        <f>$F73</f>
        <v>-20000</v>
      </c>
      <c r="AF73" s="748">
        <f t="shared" si="69"/>
        <v>0.20700000000000002</v>
      </c>
      <c r="AG73" s="32">
        <f t="shared" si="70"/>
        <v>-128340</v>
      </c>
      <c r="AH73" s="455">
        <f>$F73</f>
        <v>-20000</v>
      </c>
      <c r="AI73" s="748">
        <f t="shared" si="71"/>
        <v>0.20700000000000002</v>
      </c>
      <c r="AJ73" s="32">
        <f t="shared" si="72"/>
        <v>-124200</v>
      </c>
      <c r="AK73" s="455">
        <f>$F73</f>
        <v>-20000</v>
      </c>
      <c r="AL73" s="748">
        <f t="shared" si="73"/>
        <v>0.20700000000000002</v>
      </c>
      <c r="AM73" s="32">
        <f t="shared" si="74"/>
        <v>-128340</v>
      </c>
      <c r="AN73" s="455">
        <f t="shared" si="88"/>
        <v>-20000</v>
      </c>
      <c r="AO73" s="748">
        <f t="shared" si="75"/>
        <v>0.20700000000000002</v>
      </c>
      <c r="AP73" s="32">
        <f t="shared" si="76"/>
        <v>-124200</v>
      </c>
      <c r="AQ73" s="455">
        <v>0</v>
      </c>
      <c r="AR73" s="748">
        <f t="shared" si="77"/>
        <v>0.20700000000000002</v>
      </c>
      <c r="AS73" s="32">
        <f t="shared" si="78"/>
        <v>0</v>
      </c>
      <c r="AT73" s="32"/>
      <c r="AV73" s="33">
        <f t="shared" si="79"/>
        <v>-1382760</v>
      </c>
      <c r="AW73" s="11"/>
    </row>
    <row r="74" spans="1:49" x14ac:dyDescent="0.2">
      <c r="A74" s="504">
        <v>25025</v>
      </c>
      <c r="B74" s="504" t="s">
        <v>314</v>
      </c>
      <c r="D74" s="489" t="s">
        <v>327</v>
      </c>
      <c r="E74" s="489">
        <v>39051</v>
      </c>
      <c r="F74" s="817">
        <v>-80000</v>
      </c>
      <c r="G74" s="171">
        <v>0.1346</v>
      </c>
      <c r="H74" s="171">
        <v>1.04E-2</v>
      </c>
      <c r="I74" s="748">
        <f t="shared" si="52"/>
        <v>0.14499999999999999</v>
      </c>
      <c r="J74" s="455">
        <f>$F74</f>
        <v>-80000</v>
      </c>
      <c r="K74" s="748">
        <f t="shared" si="53"/>
        <v>0.1346</v>
      </c>
      <c r="L74" s="791">
        <f t="shared" si="54"/>
        <v>-333808</v>
      </c>
      <c r="M74" s="455">
        <f>$F74</f>
        <v>-80000</v>
      </c>
      <c r="N74" s="748">
        <f t="shared" si="55"/>
        <v>0.1346</v>
      </c>
      <c r="O74" s="32">
        <f t="shared" si="56"/>
        <v>-301504</v>
      </c>
      <c r="P74" s="455">
        <f>$F74</f>
        <v>-80000</v>
      </c>
      <c r="Q74" s="748">
        <f t="shared" si="58"/>
        <v>0.1346</v>
      </c>
      <c r="R74" s="32">
        <f t="shared" si="59"/>
        <v>-333808</v>
      </c>
      <c r="S74" s="455">
        <f>$F74</f>
        <v>-80000</v>
      </c>
      <c r="T74" s="748">
        <f t="shared" si="61"/>
        <v>0.1346</v>
      </c>
      <c r="U74" s="32">
        <f t="shared" si="62"/>
        <v>-323040</v>
      </c>
      <c r="V74" s="455">
        <f>$F74</f>
        <v>-80000</v>
      </c>
      <c r="W74" s="748">
        <f t="shared" si="63"/>
        <v>0.1346</v>
      </c>
      <c r="X74" s="32">
        <f t="shared" si="64"/>
        <v>-333808</v>
      </c>
      <c r="Y74" s="455">
        <f>$F74</f>
        <v>-80000</v>
      </c>
      <c r="Z74" s="748">
        <f t="shared" si="65"/>
        <v>0.1346</v>
      </c>
      <c r="AA74" s="32">
        <f t="shared" si="66"/>
        <v>-323040</v>
      </c>
      <c r="AB74" s="455">
        <f>$F74</f>
        <v>-80000</v>
      </c>
      <c r="AC74" s="748">
        <f t="shared" si="67"/>
        <v>0.1346</v>
      </c>
      <c r="AD74" s="32">
        <f t="shared" si="68"/>
        <v>-333808</v>
      </c>
      <c r="AE74" s="455">
        <f>$F74</f>
        <v>-80000</v>
      </c>
      <c r="AF74" s="748">
        <f t="shared" si="69"/>
        <v>0.1346</v>
      </c>
      <c r="AG74" s="32">
        <f t="shared" si="70"/>
        <v>-333808</v>
      </c>
      <c r="AH74" s="455">
        <f>$F74</f>
        <v>-80000</v>
      </c>
      <c r="AI74" s="748">
        <f t="shared" si="71"/>
        <v>0.1346</v>
      </c>
      <c r="AJ74" s="32">
        <f t="shared" si="72"/>
        <v>-323040</v>
      </c>
      <c r="AK74" s="455">
        <f>$F74</f>
        <v>-80000</v>
      </c>
      <c r="AL74" s="748">
        <f t="shared" si="73"/>
        <v>0.1346</v>
      </c>
      <c r="AM74" s="32">
        <f t="shared" si="74"/>
        <v>-333808</v>
      </c>
      <c r="AN74" s="455">
        <f t="shared" si="88"/>
        <v>-80000</v>
      </c>
      <c r="AO74" s="748">
        <f t="shared" si="75"/>
        <v>0.1346</v>
      </c>
      <c r="AP74" s="32">
        <f t="shared" si="76"/>
        <v>-323040</v>
      </c>
      <c r="AQ74" s="455">
        <f t="shared" si="89"/>
        <v>-80000</v>
      </c>
      <c r="AR74" s="748">
        <f t="shared" si="77"/>
        <v>0.1346</v>
      </c>
      <c r="AS74" s="32">
        <f t="shared" si="78"/>
        <v>-333808</v>
      </c>
      <c r="AT74" s="32"/>
      <c r="AV74" s="33">
        <f t="shared" si="79"/>
        <v>-3930320</v>
      </c>
      <c r="AW74" s="811"/>
    </row>
    <row r="75" spans="1:49" x14ac:dyDescent="0.2">
      <c r="A75" s="743"/>
      <c r="J75" s="455"/>
      <c r="L75" s="32">
        <f>SUM(L55:L74)</f>
        <v>-1154872.1121</v>
      </c>
      <c r="M75" s="455"/>
      <c r="N75" s="748"/>
      <c r="O75" s="32"/>
      <c r="P75" s="455"/>
      <c r="Q75" s="748"/>
      <c r="R75" s="32"/>
      <c r="S75" s="455"/>
      <c r="T75" s="748"/>
      <c r="U75" s="32"/>
      <c r="V75" s="455"/>
      <c r="W75" s="748"/>
      <c r="X75" s="32"/>
      <c r="Y75" s="455"/>
      <c r="Z75" s="748"/>
      <c r="AA75" s="32"/>
      <c r="AB75" s="455"/>
      <c r="AC75" s="748"/>
      <c r="AD75" s="32"/>
      <c r="AE75" s="455"/>
      <c r="AF75" s="748"/>
      <c r="AG75" s="32"/>
      <c r="AH75" s="455"/>
      <c r="AI75" s="748"/>
      <c r="AJ75" s="32"/>
      <c r="AK75" s="455"/>
      <c r="AL75" s="748"/>
      <c r="AM75" s="32"/>
      <c r="AN75" s="455"/>
      <c r="AO75" s="748"/>
      <c r="AP75" s="32"/>
      <c r="AQ75" s="455"/>
      <c r="AR75" s="748"/>
      <c r="AS75" s="32"/>
      <c r="AT75" s="32"/>
      <c r="AW75" s="33">
        <f>SUM(AV55:AV74)</f>
        <v>-12311638.691500001</v>
      </c>
    </row>
    <row r="76" spans="1:49" x14ac:dyDescent="0.2">
      <c r="A76" s="743"/>
      <c r="J76" s="455"/>
      <c r="L76" s="32"/>
      <c r="M76" s="455"/>
      <c r="N76" s="748"/>
      <c r="O76" s="32"/>
      <c r="P76" s="455"/>
      <c r="Q76" s="748"/>
      <c r="R76" s="32"/>
      <c r="S76" s="455"/>
      <c r="T76" s="748"/>
      <c r="U76" s="32"/>
      <c r="V76" s="455"/>
      <c r="W76" s="748"/>
      <c r="X76" s="32"/>
      <c r="Y76" s="455"/>
      <c r="Z76" s="748"/>
      <c r="AA76" s="32"/>
      <c r="AB76" s="455"/>
      <c r="AC76" s="748"/>
      <c r="AD76" s="32"/>
      <c r="AE76" s="455"/>
      <c r="AF76" s="748"/>
      <c r="AG76" s="32"/>
      <c r="AH76" s="455"/>
      <c r="AI76" s="748"/>
      <c r="AJ76" s="32"/>
      <c r="AK76" s="455"/>
      <c r="AL76" s="748"/>
      <c r="AM76" s="32"/>
      <c r="AN76" s="455"/>
      <c r="AO76" s="748"/>
      <c r="AP76" s="32"/>
      <c r="AQ76" s="455"/>
      <c r="AR76" s="748"/>
      <c r="AS76" s="32"/>
      <c r="AT76" s="32"/>
    </row>
    <row r="77" spans="1:49" x14ac:dyDescent="0.2">
      <c r="A77" s="743"/>
      <c r="J77" s="455"/>
      <c r="L77" s="32"/>
      <c r="M77" s="455"/>
      <c r="N77" s="748"/>
      <c r="O77" s="32"/>
      <c r="P77" s="455"/>
      <c r="Q77" s="748"/>
      <c r="R77" s="32"/>
      <c r="S77" s="455"/>
      <c r="T77" s="748"/>
      <c r="U77" s="32"/>
      <c r="V77" s="455"/>
      <c r="W77" s="748"/>
      <c r="X77" s="32"/>
      <c r="Y77" s="455"/>
      <c r="Z77" s="748"/>
      <c r="AA77" s="32"/>
      <c r="AB77" s="455"/>
      <c r="AC77" s="748"/>
      <c r="AD77" s="32"/>
      <c r="AE77" s="455"/>
      <c r="AF77" s="748"/>
      <c r="AG77" s="32"/>
      <c r="AH77" s="455"/>
      <c r="AI77" s="748"/>
      <c r="AJ77" s="32"/>
      <c r="AK77" s="455"/>
      <c r="AL77" s="748"/>
      <c r="AM77" s="32"/>
      <c r="AN77" s="455"/>
      <c r="AO77" s="748"/>
      <c r="AP77" s="32"/>
      <c r="AQ77" s="455"/>
      <c r="AR77" s="748"/>
      <c r="AS77" s="32"/>
      <c r="AT77" s="32"/>
    </row>
    <row r="78" spans="1:49" x14ac:dyDescent="0.2">
      <c r="A78" s="743"/>
      <c r="J78" s="455"/>
      <c r="L78" s="32"/>
      <c r="M78" s="455"/>
      <c r="N78" s="748"/>
      <c r="O78" s="32"/>
      <c r="P78" s="455"/>
      <c r="Q78" s="748"/>
      <c r="R78" s="32"/>
      <c r="S78" s="455"/>
      <c r="T78" s="748"/>
      <c r="U78" s="32"/>
      <c r="V78" s="455"/>
      <c r="W78" s="748"/>
      <c r="X78" s="32"/>
      <c r="Y78" s="455"/>
      <c r="Z78" s="748"/>
      <c r="AA78" s="32"/>
      <c r="AB78" s="455"/>
      <c r="AC78" s="748"/>
      <c r="AD78" s="32"/>
      <c r="AE78" s="455"/>
      <c r="AF78" s="748"/>
      <c r="AG78" s="32"/>
      <c r="AH78" s="455"/>
      <c r="AI78" s="748"/>
      <c r="AJ78" s="32"/>
      <c r="AK78" s="455"/>
      <c r="AL78" s="748"/>
      <c r="AM78" s="32"/>
      <c r="AN78" s="455"/>
      <c r="AO78" s="748"/>
      <c r="AP78" s="32"/>
      <c r="AQ78" s="455"/>
      <c r="AR78" s="748"/>
      <c r="AS78" s="32"/>
      <c r="AT78" s="32"/>
    </row>
    <row r="79" spans="1:49" x14ac:dyDescent="0.2">
      <c r="A79" s="629">
        <v>27606</v>
      </c>
      <c r="B79" t="s">
        <v>521</v>
      </c>
      <c r="C79" t="s">
        <v>450</v>
      </c>
      <c r="D79" s="745">
        <v>37165</v>
      </c>
      <c r="E79" s="745">
        <v>38990</v>
      </c>
      <c r="F79" s="824">
        <v>80000</v>
      </c>
      <c r="G79" s="748">
        <v>7.0699999999999999E-2</v>
      </c>
      <c r="H79" s="170">
        <v>9.2999999999999992E-3</v>
      </c>
      <c r="I79" s="748">
        <f t="shared" ref="I79:I95" si="90">SUM(G79:H79)</f>
        <v>0.08</v>
      </c>
      <c r="J79" s="455">
        <f t="shared" ref="J79:J95" si="91">$F79</f>
        <v>80000</v>
      </c>
      <c r="K79" s="748">
        <f t="shared" ref="K79:K95" si="92">$G79</f>
        <v>7.0699999999999999E-2</v>
      </c>
      <c r="L79" s="32">
        <f>J79*K79*L$7</f>
        <v>175336</v>
      </c>
      <c r="M79" s="455">
        <f t="shared" ref="M79:M95" si="93">$F79</f>
        <v>80000</v>
      </c>
      <c r="N79" s="748">
        <f t="shared" ref="N79:N95" si="94">$G79</f>
        <v>7.0699999999999999E-2</v>
      </c>
      <c r="O79" s="32">
        <f>M79*N79*O$7</f>
        <v>158368</v>
      </c>
      <c r="P79" s="455">
        <v>35000</v>
      </c>
      <c r="Q79" s="748">
        <f t="shared" ref="Q79:Q95" si="95">$G79</f>
        <v>7.0699999999999999E-2</v>
      </c>
      <c r="R79" s="32">
        <f>P79*Q79*R$7</f>
        <v>76709.5</v>
      </c>
      <c r="S79" s="455">
        <v>35000</v>
      </c>
      <c r="T79" s="748">
        <f t="shared" ref="T79:T95" si="96">$G79</f>
        <v>7.0699999999999999E-2</v>
      </c>
      <c r="U79" s="32">
        <f>S79*T79*U$7</f>
        <v>74235</v>
      </c>
      <c r="V79" s="455">
        <v>20000</v>
      </c>
      <c r="W79" s="748">
        <f t="shared" ref="W79:W95" si="97">$G79</f>
        <v>7.0699999999999999E-2</v>
      </c>
      <c r="X79" s="32">
        <f>V79*W79*X$7</f>
        <v>43834</v>
      </c>
      <c r="Y79" s="455">
        <v>20000</v>
      </c>
      <c r="Z79" s="748">
        <f t="shared" ref="Z79:Z95" si="98">$G79</f>
        <v>7.0699999999999999E-2</v>
      </c>
      <c r="AA79" s="32">
        <f>Y79*Z79*AA$7</f>
        <v>42420</v>
      </c>
      <c r="AB79" s="455">
        <v>20000</v>
      </c>
      <c r="AC79" s="748">
        <f t="shared" ref="AC79:AC95" si="99">$G79</f>
        <v>7.0699999999999999E-2</v>
      </c>
      <c r="AD79" s="32">
        <f>AB79*AC79*AD$7</f>
        <v>43834</v>
      </c>
      <c r="AE79" s="455">
        <v>20000</v>
      </c>
      <c r="AF79" s="748">
        <f t="shared" ref="AF79:AF95" si="100">$G79</f>
        <v>7.0699999999999999E-2</v>
      </c>
      <c r="AG79" s="32">
        <f>AE79*AF79*AG$7</f>
        <v>43834</v>
      </c>
      <c r="AH79" s="455">
        <v>20000</v>
      </c>
      <c r="AI79" s="748">
        <f t="shared" ref="AI79:AI95" si="101">$G79</f>
        <v>7.0699999999999999E-2</v>
      </c>
      <c r="AJ79" s="32">
        <f>AH79*AI79*AJ$7</f>
        <v>42420</v>
      </c>
      <c r="AK79" s="455">
        <v>35000</v>
      </c>
      <c r="AL79" s="748">
        <f t="shared" ref="AL79:AL95" si="102">$G79</f>
        <v>7.0699999999999999E-2</v>
      </c>
      <c r="AM79" s="32">
        <f>AK79*AL79*AM$7</f>
        <v>76709.5</v>
      </c>
      <c r="AN79" s="455">
        <f t="shared" ref="AN79:AN94" si="103">$F79</f>
        <v>80000</v>
      </c>
      <c r="AO79" s="748">
        <f t="shared" ref="AO79:AO95" si="104">$G79</f>
        <v>7.0699999999999999E-2</v>
      </c>
      <c r="AP79" s="32">
        <f>AN79*AO79*AP$7</f>
        <v>169680</v>
      </c>
      <c r="AQ79" s="455">
        <f t="shared" ref="AQ79:AQ94" si="105">$F79</f>
        <v>80000</v>
      </c>
      <c r="AR79" s="748">
        <f t="shared" ref="AR79:AR95" si="106">$G79</f>
        <v>7.0699999999999999E-2</v>
      </c>
      <c r="AS79" s="32">
        <f>AQ79*AR79*AS$7</f>
        <v>175336</v>
      </c>
      <c r="AT79" s="32"/>
      <c r="AV79" s="33">
        <f>AS79+AP79+AM79+AJ79+AG79+AD79+AA79+X79+U79+R79+O79+L79</f>
        <v>1122716</v>
      </c>
    </row>
    <row r="80" spans="1:49" x14ac:dyDescent="0.2">
      <c r="A80" s="629">
        <v>26490</v>
      </c>
      <c r="B80" t="s">
        <v>284</v>
      </c>
      <c r="C80" t="s">
        <v>450</v>
      </c>
      <c r="D80" s="745">
        <v>37196</v>
      </c>
      <c r="E80" s="745">
        <v>37925</v>
      </c>
      <c r="F80" s="824">
        <v>40000</v>
      </c>
      <c r="G80" s="748">
        <v>6.0699999999999997E-2</v>
      </c>
      <c r="H80" s="170">
        <v>9.2999999999999992E-3</v>
      </c>
      <c r="I80" s="748">
        <f t="shared" si="90"/>
        <v>6.9999999999999993E-2</v>
      </c>
      <c r="J80" s="455">
        <f t="shared" si="91"/>
        <v>40000</v>
      </c>
      <c r="K80" s="748">
        <f t="shared" si="92"/>
        <v>6.0699999999999997E-2</v>
      </c>
      <c r="L80" s="32">
        <f>J80*K80*L$7</f>
        <v>75268</v>
      </c>
      <c r="M80" s="455">
        <f t="shared" si="93"/>
        <v>40000</v>
      </c>
      <c r="N80" s="748">
        <f t="shared" si="94"/>
        <v>6.0699999999999997E-2</v>
      </c>
      <c r="O80" s="32">
        <f>M80*N80*O$7</f>
        <v>67984</v>
      </c>
      <c r="P80" s="455">
        <f t="shared" ref="P80:P95" si="107">$F80</f>
        <v>40000</v>
      </c>
      <c r="Q80" s="748">
        <f t="shared" si="95"/>
        <v>6.0699999999999997E-2</v>
      </c>
      <c r="R80" s="32">
        <f>P80*Q80*R$7</f>
        <v>75268</v>
      </c>
      <c r="S80" s="455">
        <f t="shared" ref="S80:S95" si="108">$F80</f>
        <v>40000</v>
      </c>
      <c r="T80" s="748">
        <f t="shared" si="96"/>
        <v>6.0699999999999997E-2</v>
      </c>
      <c r="U80" s="32">
        <f>S80*T80*U$7</f>
        <v>72840</v>
      </c>
      <c r="V80" s="455">
        <f t="shared" ref="V80:V95" si="109">$F80</f>
        <v>40000</v>
      </c>
      <c r="W80" s="748">
        <f t="shared" si="97"/>
        <v>6.0699999999999997E-2</v>
      </c>
      <c r="X80" s="32">
        <f>V80*W80*X$7</f>
        <v>75268</v>
      </c>
      <c r="Y80" s="455">
        <f t="shared" ref="Y80:Y94" si="110">$F80</f>
        <v>40000</v>
      </c>
      <c r="Z80" s="748">
        <f t="shared" si="98"/>
        <v>6.0699999999999997E-2</v>
      </c>
      <c r="AA80" s="32">
        <f>Y80*Z80*AA$7</f>
        <v>72840</v>
      </c>
      <c r="AB80" s="455">
        <f t="shared" ref="AB80:AB94" si="111">$F80</f>
        <v>40000</v>
      </c>
      <c r="AC80" s="748">
        <f t="shared" si="99"/>
        <v>6.0699999999999997E-2</v>
      </c>
      <c r="AD80" s="32">
        <f>AB80*AC80*AD$7</f>
        <v>75268</v>
      </c>
      <c r="AE80" s="455">
        <f t="shared" ref="AE80:AE94" si="112">$F80</f>
        <v>40000</v>
      </c>
      <c r="AF80" s="748">
        <f t="shared" si="100"/>
        <v>6.0699999999999997E-2</v>
      </c>
      <c r="AG80" s="32">
        <f>AE80*AF80*AG$7</f>
        <v>75268</v>
      </c>
      <c r="AH80" s="455">
        <f t="shared" ref="AH80:AH94" si="113">$F80</f>
        <v>40000</v>
      </c>
      <c r="AI80" s="748">
        <f t="shared" si="101"/>
        <v>6.0699999999999997E-2</v>
      </c>
      <c r="AJ80" s="32">
        <f>AH80*AI80*AJ$7</f>
        <v>72840</v>
      </c>
      <c r="AK80" s="455">
        <f t="shared" ref="AK80:AK94" si="114">$F80</f>
        <v>40000</v>
      </c>
      <c r="AL80" s="748">
        <f t="shared" si="102"/>
        <v>6.0699999999999997E-2</v>
      </c>
      <c r="AM80" s="32">
        <f>AK80*AL80*AM$7</f>
        <v>75268</v>
      </c>
      <c r="AN80" s="455">
        <f t="shared" si="103"/>
        <v>40000</v>
      </c>
      <c r="AO80" s="748">
        <f t="shared" si="104"/>
        <v>6.0699999999999997E-2</v>
      </c>
      <c r="AP80" s="32">
        <f>AN80*AO80*AP$7</f>
        <v>72840</v>
      </c>
      <c r="AQ80" s="455">
        <f t="shared" si="105"/>
        <v>40000</v>
      </c>
      <c r="AR80" s="748">
        <f t="shared" si="106"/>
        <v>6.0699999999999997E-2</v>
      </c>
      <c r="AS80" s="32">
        <f>AQ80*AR80*AS$7</f>
        <v>75268</v>
      </c>
      <c r="AT80" s="32"/>
      <c r="AV80" s="33">
        <f>AS80+AP80+AM80+AJ80+AG80+AD80+AA80+X80+U80+R80+O80+L80</f>
        <v>886220</v>
      </c>
    </row>
    <row r="81" spans="1:49" x14ac:dyDescent="0.2">
      <c r="A81" s="629">
        <v>27377</v>
      </c>
      <c r="B81" t="s">
        <v>284</v>
      </c>
      <c r="C81" t="s">
        <v>450</v>
      </c>
      <c r="D81" s="745"/>
      <c r="E81" s="745"/>
      <c r="F81" s="824">
        <v>10000</v>
      </c>
      <c r="G81" s="748">
        <v>4.07E-2</v>
      </c>
      <c r="H81" s="170">
        <v>9.2999999999999992E-3</v>
      </c>
      <c r="I81" s="748">
        <f t="shared" si="90"/>
        <v>0.05</v>
      </c>
      <c r="J81" s="455">
        <f t="shared" si="91"/>
        <v>10000</v>
      </c>
      <c r="K81" s="748">
        <f t="shared" si="92"/>
        <v>4.07E-2</v>
      </c>
      <c r="L81" s="32">
        <f>J81*K81*L$7</f>
        <v>12617</v>
      </c>
      <c r="M81" s="455">
        <f t="shared" si="93"/>
        <v>10000</v>
      </c>
      <c r="N81" s="748">
        <f t="shared" si="94"/>
        <v>4.07E-2</v>
      </c>
      <c r="O81" s="32">
        <f>M81*N81*O$7</f>
        <v>11396</v>
      </c>
      <c r="P81" s="455">
        <v>0</v>
      </c>
      <c r="Q81" s="748">
        <f t="shared" si="95"/>
        <v>4.07E-2</v>
      </c>
      <c r="R81" s="32">
        <f>P81*Q81*R$7</f>
        <v>0</v>
      </c>
      <c r="S81" s="455">
        <v>0</v>
      </c>
      <c r="T81" s="748">
        <f t="shared" si="96"/>
        <v>4.07E-2</v>
      </c>
      <c r="U81" s="32">
        <f>S81*T81*U$7</f>
        <v>0</v>
      </c>
      <c r="V81" s="455">
        <v>0</v>
      </c>
      <c r="W81" s="748">
        <f t="shared" si="97"/>
        <v>4.07E-2</v>
      </c>
      <c r="X81" s="32">
        <f>V81*W81*X$7</f>
        <v>0</v>
      </c>
      <c r="Y81" s="455">
        <v>0</v>
      </c>
      <c r="Z81" s="748">
        <f t="shared" si="98"/>
        <v>4.07E-2</v>
      </c>
      <c r="AA81" s="32">
        <f t="shared" ref="AA81:AA95" si="115">Y81*Z81*AA$7</f>
        <v>0</v>
      </c>
      <c r="AB81" s="455">
        <v>0</v>
      </c>
      <c r="AC81" s="748">
        <f t="shared" si="99"/>
        <v>4.07E-2</v>
      </c>
      <c r="AD81" s="32">
        <f>AB81*AC81*AD$7</f>
        <v>0</v>
      </c>
      <c r="AE81" s="455">
        <v>0</v>
      </c>
      <c r="AF81" s="748">
        <f t="shared" si="100"/>
        <v>4.07E-2</v>
      </c>
      <c r="AG81" s="32">
        <f>AE81*AF81*AG$7</f>
        <v>0</v>
      </c>
      <c r="AH81" s="455">
        <v>0</v>
      </c>
      <c r="AI81" s="748">
        <f t="shared" si="101"/>
        <v>4.07E-2</v>
      </c>
      <c r="AJ81" s="32">
        <f t="shared" ref="AJ81:AJ95" si="116">AH81*AI81*AJ$7</f>
        <v>0</v>
      </c>
      <c r="AK81" s="455">
        <v>0</v>
      </c>
      <c r="AL81" s="748">
        <f t="shared" si="102"/>
        <v>4.07E-2</v>
      </c>
      <c r="AM81" s="32">
        <f t="shared" ref="AM81:AM95" si="117">AK81*AL81*AM$7</f>
        <v>0</v>
      </c>
      <c r="AN81" s="455">
        <v>0</v>
      </c>
      <c r="AO81" s="748">
        <f t="shared" si="104"/>
        <v>4.07E-2</v>
      </c>
      <c r="AP81" s="32">
        <f t="shared" ref="AP81:AP95" si="118">AN81*AO81*AP$7</f>
        <v>0</v>
      </c>
      <c r="AQ81" s="455">
        <v>0</v>
      </c>
      <c r="AR81" s="748">
        <f t="shared" si="106"/>
        <v>4.07E-2</v>
      </c>
      <c r="AS81" s="32">
        <f t="shared" ref="AS81:AS95" si="119">AQ81*AR81*AS$7</f>
        <v>0</v>
      </c>
      <c r="AT81" s="32"/>
      <c r="AV81" s="33">
        <f t="shared" ref="AV81:AV95" si="120">AS81+AP81+AM81+AJ81+AG81+AD81+AA81+X81+U81+R81+O81+L81</f>
        <v>24013</v>
      </c>
    </row>
    <row r="82" spans="1:49" x14ac:dyDescent="0.2">
      <c r="A82" s="504">
        <v>25025</v>
      </c>
      <c r="B82" s="504" t="s">
        <v>314</v>
      </c>
      <c r="D82" s="489" t="s">
        <v>327</v>
      </c>
      <c r="E82" s="489">
        <v>39051</v>
      </c>
      <c r="F82" s="836">
        <v>80000</v>
      </c>
      <c r="G82" s="748">
        <v>0.1346</v>
      </c>
      <c r="H82" s="170">
        <v>1.04E-2</v>
      </c>
      <c r="I82" s="748">
        <f t="shared" si="90"/>
        <v>0.14499999999999999</v>
      </c>
      <c r="J82" s="455">
        <f>$F82</f>
        <v>80000</v>
      </c>
      <c r="K82" s="748">
        <f>$G82</f>
        <v>0.1346</v>
      </c>
      <c r="L82" s="32">
        <f>J82*K82*L$7</f>
        <v>333808</v>
      </c>
      <c r="M82" s="455">
        <f>$F82</f>
        <v>80000</v>
      </c>
      <c r="N82" s="748">
        <f>$G82</f>
        <v>0.1346</v>
      </c>
      <c r="O82" s="32">
        <f>M82*N82*O$7</f>
        <v>301504</v>
      </c>
      <c r="P82" s="455">
        <f>$F82</f>
        <v>80000</v>
      </c>
      <c r="Q82" s="748">
        <f>$G82</f>
        <v>0.1346</v>
      </c>
      <c r="R82" s="32">
        <f>P82*Q82*R$7</f>
        <v>333808</v>
      </c>
      <c r="S82" s="455">
        <f>$F82</f>
        <v>80000</v>
      </c>
      <c r="T82" s="748">
        <f>$G82</f>
        <v>0.1346</v>
      </c>
      <c r="U82" s="32">
        <f>S82*T82*U$7</f>
        <v>323040</v>
      </c>
      <c r="V82" s="455">
        <f>$F82</f>
        <v>80000</v>
      </c>
      <c r="W82" s="748">
        <f>$G82</f>
        <v>0.1346</v>
      </c>
      <c r="X82" s="32">
        <f>V82*W82*X$7</f>
        <v>333808</v>
      </c>
      <c r="Y82" s="455">
        <f>$F82</f>
        <v>80000</v>
      </c>
      <c r="Z82" s="748">
        <f t="shared" si="98"/>
        <v>0.1346</v>
      </c>
      <c r="AA82" s="32">
        <f t="shared" si="115"/>
        <v>323040</v>
      </c>
      <c r="AB82" s="455">
        <f>$F82</f>
        <v>80000</v>
      </c>
      <c r="AC82" s="748">
        <f>$G82</f>
        <v>0.1346</v>
      </c>
      <c r="AD82" s="32">
        <f>AB82*AC82*AD$7</f>
        <v>333808</v>
      </c>
      <c r="AE82" s="455">
        <f>$F82</f>
        <v>80000</v>
      </c>
      <c r="AF82" s="748">
        <f>$G82</f>
        <v>0.1346</v>
      </c>
      <c r="AG82" s="32">
        <f>AE82*AF82*AG$7</f>
        <v>333808</v>
      </c>
      <c r="AH82" s="455">
        <f>$F82</f>
        <v>80000</v>
      </c>
      <c r="AI82" s="748">
        <f t="shared" si="101"/>
        <v>0.1346</v>
      </c>
      <c r="AJ82" s="32">
        <f t="shared" si="116"/>
        <v>323040</v>
      </c>
      <c r="AK82" s="455">
        <f>$F82</f>
        <v>80000</v>
      </c>
      <c r="AL82" s="748">
        <f t="shared" si="102"/>
        <v>0.1346</v>
      </c>
      <c r="AM82" s="32">
        <f t="shared" si="117"/>
        <v>333808</v>
      </c>
      <c r="AN82" s="455">
        <f>$F82</f>
        <v>80000</v>
      </c>
      <c r="AO82" s="748">
        <f t="shared" si="104"/>
        <v>0.1346</v>
      </c>
      <c r="AP82" s="32">
        <f t="shared" si="118"/>
        <v>323040</v>
      </c>
      <c r="AQ82" s="455">
        <f>$F82</f>
        <v>80000</v>
      </c>
      <c r="AR82" s="748">
        <f t="shared" si="106"/>
        <v>0.1346</v>
      </c>
      <c r="AS82" s="32">
        <f t="shared" si="119"/>
        <v>333808</v>
      </c>
      <c r="AT82" s="32"/>
      <c r="AV82" s="33">
        <f t="shared" si="120"/>
        <v>3930320</v>
      </c>
    </row>
    <row r="83" spans="1:49" x14ac:dyDescent="0.2">
      <c r="A83" s="172" t="s">
        <v>310</v>
      </c>
      <c r="B83" s="172" t="s">
        <v>311</v>
      </c>
      <c r="D83" s="185">
        <v>34851</v>
      </c>
      <c r="E83" s="185">
        <v>37407</v>
      </c>
      <c r="F83" s="836">
        <v>35714</v>
      </c>
      <c r="G83" s="748">
        <v>9.5699999999999993E-2</v>
      </c>
      <c r="H83" s="170">
        <v>9.2999999999999992E-3</v>
      </c>
      <c r="I83" s="748">
        <f t="shared" si="90"/>
        <v>0.105</v>
      </c>
      <c r="J83" s="455">
        <f t="shared" si="91"/>
        <v>35714</v>
      </c>
      <c r="K83" s="748">
        <f t="shared" si="92"/>
        <v>9.5699999999999993E-2</v>
      </c>
      <c r="L83" s="32">
        <f t="shared" ref="L83:L90" si="121">J83*K83*L$7</f>
        <v>105952.72379999999</v>
      </c>
      <c r="M83" s="455">
        <f t="shared" si="93"/>
        <v>35714</v>
      </c>
      <c r="N83" s="748">
        <f t="shared" si="94"/>
        <v>9.5699999999999993E-2</v>
      </c>
      <c r="O83" s="32">
        <f t="shared" ref="O83:O90" si="122">M83*N83*O$7</f>
        <v>95699.234400000001</v>
      </c>
      <c r="P83" s="455">
        <f t="shared" si="107"/>
        <v>35714</v>
      </c>
      <c r="Q83" s="748">
        <f t="shared" si="95"/>
        <v>9.5699999999999993E-2</v>
      </c>
      <c r="R83" s="32">
        <f t="shared" ref="R83:R90" si="123">P83*Q83*R$7</f>
        <v>105952.72379999999</v>
      </c>
      <c r="S83" s="455">
        <f t="shared" si="108"/>
        <v>35714</v>
      </c>
      <c r="T83" s="748">
        <f t="shared" si="96"/>
        <v>9.5699999999999993E-2</v>
      </c>
      <c r="U83" s="32">
        <f t="shared" ref="U83:U90" si="124">S83*T83*U$7</f>
        <v>102534.894</v>
      </c>
      <c r="V83" s="455">
        <f t="shared" si="109"/>
        <v>35714</v>
      </c>
      <c r="W83" s="748">
        <f t="shared" si="97"/>
        <v>9.5699999999999993E-2</v>
      </c>
      <c r="X83" s="32">
        <f t="shared" ref="X83:X90" si="125">V83*W83*X$7</f>
        <v>105952.72379999999</v>
      </c>
      <c r="Y83" s="455">
        <f t="shared" si="110"/>
        <v>35714</v>
      </c>
      <c r="Z83" s="748">
        <f t="shared" si="98"/>
        <v>9.5699999999999993E-2</v>
      </c>
      <c r="AA83" s="32">
        <f t="shared" ref="AA83:AA90" si="126">Y83*Z83*AA$7</f>
        <v>102534.894</v>
      </c>
      <c r="AB83" s="455">
        <f t="shared" si="111"/>
        <v>35714</v>
      </c>
      <c r="AC83" s="748">
        <f t="shared" si="99"/>
        <v>9.5699999999999993E-2</v>
      </c>
      <c r="AD83" s="32">
        <f t="shared" ref="AD83:AD90" si="127">AB83*AC83*AD$7</f>
        <v>105952.72379999999</v>
      </c>
      <c r="AE83" s="455">
        <f t="shared" si="112"/>
        <v>35714</v>
      </c>
      <c r="AF83" s="748">
        <f t="shared" si="100"/>
        <v>9.5699999999999993E-2</v>
      </c>
      <c r="AG83" s="32">
        <f t="shared" ref="AG83:AG90" si="128">AE83*AF83*AG$7</f>
        <v>105952.72379999999</v>
      </c>
      <c r="AH83" s="455">
        <f t="shared" si="113"/>
        <v>35714</v>
      </c>
      <c r="AI83" s="748">
        <f t="shared" si="101"/>
        <v>9.5699999999999993E-2</v>
      </c>
      <c r="AJ83" s="32">
        <f t="shared" ref="AJ83:AJ90" si="129">AH83*AI83*AJ$7</f>
        <v>102534.894</v>
      </c>
      <c r="AK83" s="455">
        <f t="shared" si="114"/>
        <v>35714</v>
      </c>
      <c r="AL83" s="748">
        <f t="shared" si="102"/>
        <v>9.5699999999999993E-2</v>
      </c>
      <c r="AM83" s="32">
        <f t="shared" ref="AM83:AM90" si="130">AK83*AL83*AM$7</f>
        <v>105952.72379999999</v>
      </c>
      <c r="AN83" s="455">
        <f t="shared" si="103"/>
        <v>35714</v>
      </c>
      <c r="AO83" s="748">
        <f t="shared" si="104"/>
        <v>9.5699999999999993E-2</v>
      </c>
      <c r="AP83" s="32">
        <f t="shared" ref="AP83:AP90" si="131">AN83*AO83*AP$7</f>
        <v>102534.894</v>
      </c>
      <c r="AQ83" s="455">
        <f t="shared" si="105"/>
        <v>35714</v>
      </c>
      <c r="AR83" s="748">
        <f t="shared" si="106"/>
        <v>9.5699999999999993E-2</v>
      </c>
      <c r="AS83" s="32">
        <f t="shared" ref="AS83:AS90" si="132">AQ83*AR83*AS$7</f>
        <v>105952.72379999999</v>
      </c>
      <c r="AT83" s="32"/>
      <c r="AV83" s="33">
        <f t="shared" ref="AV83:AV90" si="133">AS83+AP83+AM83+AJ83+AG83+AD83+AA83+X83+U83+R83+O83+L83</f>
        <v>1247507.8770000001</v>
      </c>
    </row>
    <row r="84" spans="1:49" x14ac:dyDescent="0.2">
      <c r="A84" s="504">
        <v>24754</v>
      </c>
      <c r="B84" s="504" t="s">
        <v>313</v>
      </c>
      <c r="D84" s="489" t="s">
        <v>481</v>
      </c>
      <c r="E84" s="185">
        <v>38472</v>
      </c>
      <c r="F84" s="837">
        <v>1000</v>
      </c>
      <c r="G84" s="748">
        <v>9.0700000000000003E-2</v>
      </c>
      <c r="H84" s="170">
        <v>9.2999999999999992E-3</v>
      </c>
      <c r="I84" s="748">
        <f t="shared" si="90"/>
        <v>0.1</v>
      </c>
      <c r="J84" s="455">
        <f t="shared" si="91"/>
        <v>1000</v>
      </c>
      <c r="K84" s="748">
        <f t="shared" si="92"/>
        <v>9.0700000000000003E-2</v>
      </c>
      <c r="L84" s="32">
        <f t="shared" si="121"/>
        <v>2811.7000000000003</v>
      </c>
      <c r="M84" s="455">
        <f t="shared" si="93"/>
        <v>1000</v>
      </c>
      <c r="N84" s="748">
        <f t="shared" si="94"/>
        <v>9.0700000000000003E-2</v>
      </c>
      <c r="O84" s="32">
        <f t="shared" si="122"/>
        <v>2539.6</v>
      </c>
      <c r="P84" s="455">
        <f t="shared" si="107"/>
        <v>1000</v>
      </c>
      <c r="Q84" s="748">
        <f t="shared" si="95"/>
        <v>9.0700000000000003E-2</v>
      </c>
      <c r="R84" s="32">
        <f t="shared" si="123"/>
        <v>2811.7000000000003</v>
      </c>
      <c r="S84" s="455">
        <f t="shared" si="108"/>
        <v>1000</v>
      </c>
      <c r="T84" s="748">
        <f t="shared" si="96"/>
        <v>9.0700000000000003E-2</v>
      </c>
      <c r="U84" s="32">
        <f t="shared" si="124"/>
        <v>2721</v>
      </c>
      <c r="V84" s="455">
        <f t="shared" si="109"/>
        <v>1000</v>
      </c>
      <c r="W84" s="748">
        <f t="shared" si="97"/>
        <v>9.0700000000000003E-2</v>
      </c>
      <c r="X84" s="32">
        <f t="shared" si="125"/>
        <v>2811.7000000000003</v>
      </c>
      <c r="Y84" s="455">
        <f t="shared" si="110"/>
        <v>1000</v>
      </c>
      <c r="Z84" s="748">
        <f t="shared" si="98"/>
        <v>9.0700000000000003E-2</v>
      </c>
      <c r="AA84" s="32">
        <f t="shared" si="126"/>
        <v>2721</v>
      </c>
      <c r="AB84" s="455">
        <f t="shared" si="111"/>
        <v>1000</v>
      </c>
      <c r="AC84" s="748">
        <f t="shared" si="99"/>
        <v>9.0700000000000003E-2</v>
      </c>
      <c r="AD84" s="32">
        <f t="shared" si="127"/>
        <v>2811.7000000000003</v>
      </c>
      <c r="AE84" s="455">
        <f t="shared" si="112"/>
        <v>1000</v>
      </c>
      <c r="AF84" s="748">
        <f t="shared" si="100"/>
        <v>9.0700000000000003E-2</v>
      </c>
      <c r="AG84" s="32">
        <f t="shared" si="128"/>
        <v>2811.7000000000003</v>
      </c>
      <c r="AH84" s="455">
        <f t="shared" si="113"/>
        <v>1000</v>
      </c>
      <c r="AI84" s="748">
        <f t="shared" si="101"/>
        <v>9.0700000000000003E-2</v>
      </c>
      <c r="AJ84" s="32">
        <f t="shared" si="129"/>
        <v>2721</v>
      </c>
      <c r="AK84" s="455">
        <f t="shared" si="114"/>
        <v>1000</v>
      </c>
      <c r="AL84" s="748">
        <f t="shared" si="102"/>
        <v>9.0700000000000003E-2</v>
      </c>
      <c r="AM84" s="32">
        <f t="shared" si="130"/>
        <v>2811.7000000000003</v>
      </c>
      <c r="AN84" s="455">
        <f t="shared" si="103"/>
        <v>1000</v>
      </c>
      <c r="AO84" s="748">
        <f t="shared" si="104"/>
        <v>9.0700000000000003E-2</v>
      </c>
      <c r="AP84" s="32">
        <f t="shared" si="131"/>
        <v>2721</v>
      </c>
      <c r="AQ84" s="455">
        <f t="shared" si="105"/>
        <v>1000</v>
      </c>
      <c r="AR84" s="748">
        <f t="shared" si="106"/>
        <v>9.0700000000000003E-2</v>
      </c>
      <c r="AS84" s="32">
        <f t="shared" si="132"/>
        <v>2811.7000000000003</v>
      </c>
      <c r="AT84" s="32"/>
      <c r="AV84" s="33">
        <f t="shared" si="133"/>
        <v>33105.5</v>
      </c>
    </row>
    <row r="85" spans="1:49" x14ac:dyDescent="0.2">
      <c r="A85" s="504">
        <v>25031</v>
      </c>
      <c r="B85" s="504" t="s">
        <v>314</v>
      </c>
      <c r="D85" s="489">
        <v>35400</v>
      </c>
      <c r="E85" s="489">
        <v>39051</v>
      </c>
      <c r="F85" s="837">
        <v>0</v>
      </c>
      <c r="G85" s="748">
        <v>0</v>
      </c>
      <c r="H85" s="170">
        <v>0</v>
      </c>
      <c r="I85" s="748">
        <f t="shared" si="90"/>
        <v>0</v>
      </c>
      <c r="J85" s="455">
        <f t="shared" si="91"/>
        <v>0</v>
      </c>
      <c r="K85" s="748">
        <f t="shared" si="92"/>
        <v>0</v>
      </c>
      <c r="L85" s="32">
        <f t="shared" si="121"/>
        <v>0</v>
      </c>
      <c r="M85" s="455">
        <f t="shared" si="93"/>
        <v>0</v>
      </c>
      <c r="N85" s="748">
        <f t="shared" si="94"/>
        <v>0</v>
      </c>
      <c r="O85" s="32">
        <f t="shared" si="122"/>
        <v>0</v>
      </c>
      <c r="P85" s="455">
        <f t="shared" si="107"/>
        <v>0</v>
      </c>
      <c r="Q85" s="748">
        <f t="shared" si="95"/>
        <v>0</v>
      </c>
      <c r="R85" s="32">
        <f t="shared" si="123"/>
        <v>0</v>
      </c>
      <c r="S85" s="455">
        <f t="shared" si="108"/>
        <v>0</v>
      </c>
      <c r="T85" s="748">
        <f t="shared" si="96"/>
        <v>0</v>
      </c>
      <c r="U85" s="32">
        <f t="shared" si="124"/>
        <v>0</v>
      </c>
      <c r="V85" s="455">
        <f t="shared" si="109"/>
        <v>0</v>
      </c>
      <c r="W85" s="748">
        <f t="shared" si="97"/>
        <v>0</v>
      </c>
      <c r="X85" s="32">
        <f t="shared" si="125"/>
        <v>0</v>
      </c>
      <c r="Y85" s="455">
        <f t="shared" si="110"/>
        <v>0</v>
      </c>
      <c r="Z85" s="748">
        <f t="shared" si="98"/>
        <v>0</v>
      </c>
      <c r="AA85" s="32">
        <f t="shared" si="126"/>
        <v>0</v>
      </c>
      <c r="AB85" s="455">
        <f t="shared" si="111"/>
        <v>0</v>
      </c>
      <c r="AC85" s="748">
        <f t="shared" si="99"/>
        <v>0</v>
      </c>
      <c r="AD85" s="32">
        <f t="shared" si="127"/>
        <v>0</v>
      </c>
      <c r="AE85" s="455">
        <f t="shared" si="112"/>
        <v>0</v>
      </c>
      <c r="AF85" s="748">
        <f t="shared" si="100"/>
        <v>0</v>
      </c>
      <c r="AG85" s="32">
        <f t="shared" si="128"/>
        <v>0</v>
      </c>
      <c r="AH85" s="455">
        <f t="shared" si="113"/>
        <v>0</v>
      </c>
      <c r="AI85" s="748">
        <f t="shared" si="101"/>
        <v>0</v>
      </c>
      <c r="AJ85" s="32">
        <f t="shared" si="129"/>
        <v>0</v>
      </c>
      <c r="AK85" s="455">
        <f t="shared" si="114"/>
        <v>0</v>
      </c>
      <c r="AL85" s="748">
        <f t="shared" si="102"/>
        <v>0</v>
      </c>
      <c r="AM85" s="32">
        <f t="shared" si="130"/>
        <v>0</v>
      </c>
      <c r="AN85" s="455">
        <f t="shared" si="103"/>
        <v>0</v>
      </c>
      <c r="AO85" s="748">
        <f t="shared" si="104"/>
        <v>0</v>
      </c>
      <c r="AP85" s="32">
        <f t="shared" si="131"/>
        <v>0</v>
      </c>
      <c r="AQ85" s="455">
        <f t="shared" si="105"/>
        <v>0</v>
      </c>
      <c r="AR85" s="748">
        <f t="shared" si="106"/>
        <v>0</v>
      </c>
      <c r="AS85" s="32">
        <f t="shared" si="132"/>
        <v>0</v>
      </c>
      <c r="AT85" s="32"/>
      <c r="AV85" s="33">
        <f t="shared" si="133"/>
        <v>0</v>
      </c>
    </row>
    <row r="86" spans="1:49" x14ac:dyDescent="0.2">
      <c r="A86" s="176">
        <v>25374</v>
      </c>
      <c r="B86" s="176" t="s">
        <v>485</v>
      </c>
      <c r="D86" s="507">
        <v>35947</v>
      </c>
      <c r="E86" s="507">
        <v>37225</v>
      </c>
      <c r="F86" s="838">
        <v>23000</v>
      </c>
      <c r="G86" s="748">
        <v>4.07E-2</v>
      </c>
      <c r="H86" s="170">
        <v>9.2999999999999992E-3</v>
      </c>
      <c r="I86" s="748">
        <f t="shared" si="90"/>
        <v>0.05</v>
      </c>
      <c r="J86" s="455">
        <f t="shared" si="91"/>
        <v>23000</v>
      </c>
      <c r="K86" s="748">
        <f t="shared" si="92"/>
        <v>4.07E-2</v>
      </c>
      <c r="L86" s="32">
        <f t="shared" si="121"/>
        <v>29019.100000000002</v>
      </c>
      <c r="M86" s="455">
        <f t="shared" si="93"/>
        <v>23000</v>
      </c>
      <c r="N86" s="748">
        <f t="shared" si="94"/>
        <v>4.07E-2</v>
      </c>
      <c r="O86" s="32">
        <f t="shared" si="122"/>
        <v>26210.799999999999</v>
      </c>
      <c r="P86" s="455">
        <f t="shared" si="107"/>
        <v>23000</v>
      </c>
      <c r="Q86" s="748">
        <f t="shared" si="95"/>
        <v>4.07E-2</v>
      </c>
      <c r="R86" s="32">
        <f t="shared" si="123"/>
        <v>29019.100000000002</v>
      </c>
      <c r="S86" s="455">
        <f t="shared" si="108"/>
        <v>23000</v>
      </c>
      <c r="T86" s="748">
        <f t="shared" si="96"/>
        <v>4.07E-2</v>
      </c>
      <c r="U86" s="32">
        <f t="shared" si="124"/>
        <v>28083</v>
      </c>
      <c r="V86" s="455">
        <f t="shared" si="109"/>
        <v>23000</v>
      </c>
      <c r="W86" s="748">
        <f t="shared" si="97"/>
        <v>4.07E-2</v>
      </c>
      <c r="X86" s="32">
        <f t="shared" si="125"/>
        <v>29019.100000000002</v>
      </c>
      <c r="Y86" s="455">
        <f t="shared" si="110"/>
        <v>23000</v>
      </c>
      <c r="Z86" s="748">
        <f t="shared" si="98"/>
        <v>4.07E-2</v>
      </c>
      <c r="AA86" s="32">
        <f t="shared" si="126"/>
        <v>28083</v>
      </c>
      <c r="AB86" s="455">
        <f t="shared" si="111"/>
        <v>23000</v>
      </c>
      <c r="AC86" s="748">
        <f t="shared" si="99"/>
        <v>4.07E-2</v>
      </c>
      <c r="AD86" s="32">
        <f t="shared" si="127"/>
        <v>29019.100000000002</v>
      </c>
      <c r="AE86" s="455">
        <f t="shared" si="112"/>
        <v>23000</v>
      </c>
      <c r="AF86" s="748">
        <f t="shared" si="100"/>
        <v>4.07E-2</v>
      </c>
      <c r="AG86" s="32">
        <f t="shared" si="128"/>
        <v>29019.100000000002</v>
      </c>
      <c r="AH86" s="455">
        <f t="shared" si="113"/>
        <v>23000</v>
      </c>
      <c r="AI86" s="748">
        <f t="shared" si="101"/>
        <v>4.07E-2</v>
      </c>
      <c r="AJ86" s="32">
        <f t="shared" si="129"/>
        <v>28083</v>
      </c>
      <c r="AK86" s="455">
        <f t="shared" si="114"/>
        <v>23000</v>
      </c>
      <c r="AL86" s="748">
        <f t="shared" si="102"/>
        <v>4.07E-2</v>
      </c>
      <c r="AM86" s="32">
        <f t="shared" si="130"/>
        <v>29019.100000000002</v>
      </c>
      <c r="AN86" s="455">
        <f t="shared" si="103"/>
        <v>23000</v>
      </c>
      <c r="AO86" s="748">
        <f t="shared" si="104"/>
        <v>4.07E-2</v>
      </c>
      <c r="AP86" s="32">
        <f t="shared" si="131"/>
        <v>28083</v>
      </c>
      <c r="AQ86" s="455">
        <f t="shared" si="105"/>
        <v>23000</v>
      </c>
      <c r="AR86" s="748">
        <f t="shared" si="106"/>
        <v>4.07E-2</v>
      </c>
      <c r="AS86" s="32">
        <f t="shared" si="132"/>
        <v>29019.100000000002</v>
      </c>
      <c r="AT86" s="32"/>
      <c r="AV86" s="33">
        <f t="shared" si="133"/>
        <v>341676.5</v>
      </c>
    </row>
    <row r="87" spans="1:49" x14ac:dyDescent="0.2">
      <c r="A87" s="175">
        <v>25394</v>
      </c>
      <c r="B87" s="175" t="s">
        <v>621</v>
      </c>
      <c r="D87" s="181"/>
      <c r="E87" s="181"/>
      <c r="F87" s="839">
        <v>5000</v>
      </c>
      <c r="G87" s="748">
        <v>0</v>
      </c>
      <c r="H87" s="170">
        <v>0</v>
      </c>
      <c r="I87" s="748">
        <f t="shared" si="90"/>
        <v>0</v>
      </c>
      <c r="J87" s="455">
        <f t="shared" si="91"/>
        <v>5000</v>
      </c>
      <c r="K87" s="748">
        <f t="shared" si="92"/>
        <v>0</v>
      </c>
      <c r="L87" s="32">
        <f t="shared" si="121"/>
        <v>0</v>
      </c>
      <c r="M87" s="455">
        <f t="shared" si="93"/>
        <v>5000</v>
      </c>
      <c r="N87" s="748">
        <f t="shared" si="94"/>
        <v>0</v>
      </c>
      <c r="O87" s="32">
        <f t="shared" si="122"/>
        <v>0</v>
      </c>
      <c r="P87" s="455">
        <f t="shared" si="107"/>
        <v>5000</v>
      </c>
      <c r="Q87" s="748">
        <f t="shared" si="95"/>
        <v>0</v>
      </c>
      <c r="R87" s="32">
        <f t="shared" si="123"/>
        <v>0</v>
      </c>
      <c r="S87" s="455">
        <f t="shared" si="108"/>
        <v>5000</v>
      </c>
      <c r="T87" s="748">
        <f t="shared" si="96"/>
        <v>0</v>
      </c>
      <c r="U87" s="32">
        <f t="shared" si="124"/>
        <v>0</v>
      </c>
      <c r="V87" s="455">
        <f t="shared" si="109"/>
        <v>5000</v>
      </c>
      <c r="W87" s="748">
        <f t="shared" si="97"/>
        <v>0</v>
      </c>
      <c r="X87" s="32">
        <f t="shared" si="125"/>
        <v>0</v>
      </c>
      <c r="Y87" s="455">
        <f t="shared" si="110"/>
        <v>5000</v>
      </c>
      <c r="Z87" s="748">
        <f t="shared" si="98"/>
        <v>0</v>
      </c>
      <c r="AA87" s="32">
        <f t="shared" si="126"/>
        <v>0</v>
      </c>
      <c r="AB87" s="455">
        <f t="shared" si="111"/>
        <v>5000</v>
      </c>
      <c r="AC87" s="748">
        <f t="shared" si="99"/>
        <v>0</v>
      </c>
      <c r="AD87" s="32">
        <f t="shared" si="127"/>
        <v>0</v>
      </c>
      <c r="AE87" s="455">
        <f t="shared" si="112"/>
        <v>5000</v>
      </c>
      <c r="AF87" s="748">
        <f t="shared" si="100"/>
        <v>0</v>
      </c>
      <c r="AG87" s="32">
        <f t="shared" si="128"/>
        <v>0</v>
      </c>
      <c r="AH87" s="455">
        <f t="shared" si="113"/>
        <v>5000</v>
      </c>
      <c r="AI87" s="748">
        <f t="shared" si="101"/>
        <v>0</v>
      </c>
      <c r="AJ87" s="32">
        <f t="shared" si="129"/>
        <v>0</v>
      </c>
      <c r="AK87" s="455">
        <f t="shared" si="114"/>
        <v>5000</v>
      </c>
      <c r="AL87" s="748">
        <f t="shared" si="102"/>
        <v>0</v>
      </c>
      <c r="AM87" s="32">
        <f t="shared" si="130"/>
        <v>0</v>
      </c>
      <c r="AN87" s="455">
        <f t="shared" si="103"/>
        <v>5000</v>
      </c>
      <c r="AO87" s="748">
        <f t="shared" si="104"/>
        <v>0</v>
      </c>
      <c r="AP87" s="32">
        <f t="shared" si="131"/>
        <v>0</v>
      </c>
      <c r="AQ87" s="455">
        <f t="shared" si="105"/>
        <v>5000</v>
      </c>
      <c r="AR87" s="748">
        <f t="shared" si="106"/>
        <v>0</v>
      </c>
      <c r="AS87" s="32">
        <f t="shared" si="132"/>
        <v>0</v>
      </c>
      <c r="AT87" s="32"/>
      <c r="AV87" s="33">
        <f t="shared" si="133"/>
        <v>0</v>
      </c>
    </row>
    <row r="88" spans="1:49" x14ac:dyDescent="0.2">
      <c r="A88" s="504">
        <v>26740</v>
      </c>
      <c r="B88" s="504" t="s">
        <v>302</v>
      </c>
      <c r="D88" s="489">
        <v>36312</v>
      </c>
      <c r="E88" s="489">
        <v>39113</v>
      </c>
      <c r="F88" s="837">
        <v>8000</v>
      </c>
      <c r="G88" s="748">
        <v>4.07E-2</v>
      </c>
      <c r="H88" s="170">
        <v>9.2999999999999992E-3</v>
      </c>
      <c r="I88" s="748">
        <f t="shared" si="90"/>
        <v>0.05</v>
      </c>
      <c r="J88" s="455">
        <f t="shared" si="91"/>
        <v>8000</v>
      </c>
      <c r="K88" s="748">
        <f t="shared" si="92"/>
        <v>4.07E-2</v>
      </c>
      <c r="L88" s="32">
        <f t="shared" si="121"/>
        <v>10093.6</v>
      </c>
      <c r="M88" s="455">
        <f t="shared" si="93"/>
        <v>8000</v>
      </c>
      <c r="N88" s="748">
        <f t="shared" si="94"/>
        <v>4.07E-2</v>
      </c>
      <c r="O88" s="32">
        <f t="shared" si="122"/>
        <v>9116.8000000000011</v>
      </c>
      <c r="P88" s="455">
        <f t="shared" si="107"/>
        <v>8000</v>
      </c>
      <c r="Q88" s="748">
        <f t="shared" si="95"/>
        <v>4.07E-2</v>
      </c>
      <c r="R88" s="32">
        <f t="shared" si="123"/>
        <v>10093.6</v>
      </c>
      <c r="S88" s="455">
        <f t="shared" si="108"/>
        <v>8000</v>
      </c>
      <c r="T88" s="748">
        <f t="shared" si="96"/>
        <v>4.07E-2</v>
      </c>
      <c r="U88" s="32">
        <f t="shared" si="124"/>
        <v>9768</v>
      </c>
      <c r="V88" s="455">
        <f t="shared" si="109"/>
        <v>8000</v>
      </c>
      <c r="W88" s="748">
        <f t="shared" si="97"/>
        <v>4.07E-2</v>
      </c>
      <c r="X88" s="32">
        <f t="shared" si="125"/>
        <v>10093.6</v>
      </c>
      <c r="Y88" s="455">
        <f t="shared" si="110"/>
        <v>8000</v>
      </c>
      <c r="Z88" s="748">
        <f t="shared" si="98"/>
        <v>4.07E-2</v>
      </c>
      <c r="AA88" s="32">
        <f t="shared" si="126"/>
        <v>9768</v>
      </c>
      <c r="AB88" s="455">
        <f t="shared" si="111"/>
        <v>8000</v>
      </c>
      <c r="AC88" s="748">
        <f t="shared" si="99"/>
        <v>4.07E-2</v>
      </c>
      <c r="AD88" s="32">
        <f t="shared" si="127"/>
        <v>10093.6</v>
      </c>
      <c r="AE88" s="455">
        <f t="shared" si="112"/>
        <v>8000</v>
      </c>
      <c r="AF88" s="748">
        <f t="shared" si="100"/>
        <v>4.07E-2</v>
      </c>
      <c r="AG88" s="32">
        <f t="shared" si="128"/>
        <v>10093.6</v>
      </c>
      <c r="AH88" s="455">
        <f t="shared" si="113"/>
        <v>8000</v>
      </c>
      <c r="AI88" s="748">
        <f t="shared" si="101"/>
        <v>4.07E-2</v>
      </c>
      <c r="AJ88" s="32">
        <f t="shared" si="129"/>
        <v>9768</v>
      </c>
      <c r="AK88" s="455">
        <f t="shared" si="114"/>
        <v>8000</v>
      </c>
      <c r="AL88" s="748">
        <f t="shared" si="102"/>
        <v>4.07E-2</v>
      </c>
      <c r="AM88" s="32">
        <f t="shared" si="130"/>
        <v>10093.6</v>
      </c>
      <c r="AN88" s="455">
        <f t="shared" si="103"/>
        <v>8000</v>
      </c>
      <c r="AO88" s="748">
        <f t="shared" si="104"/>
        <v>4.07E-2</v>
      </c>
      <c r="AP88" s="32">
        <f t="shared" si="131"/>
        <v>9768</v>
      </c>
      <c r="AQ88" s="455">
        <f t="shared" si="105"/>
        <v>8000</v>
      </c>
      <c r="AR88" s="748">
        <f t="shared" si="106"/>
        <v>4.07E-2</v>
      </c>
      <c r="AS88" s="32">
        <f t="shared" si="132"/>
        <v>10093.6</v>
      </c>
      <c r="AT88" s="32"/>
      <c r="AV88" s="33">
        <f t="shared" si="133"/>
        <v>118844.00000000001</v>
      </c>
    </row>
    <row r="89" spans="1:49" x14ac:dyDescent="0.2">
      <c r="A89" s="504">
        <v>27104</v>
      </c>
      <c r="B89" s="504" t="s">
        <v>495</v>
      </c>
      <c r="D89" s="489">
        <v>36557</v>
      </c>
      <c r="E89" s="181">
        <v>38383</v>
      </c>
      <c r="F89" s="837">
        <f>35859/12</f>
        <v>2988.25</v>
      </c>
      <c r="G89" s="748">
        <v>4.07E-2</v>
      </c>
      <c r="H89" s="170">
        <v>9.2999999999999992E-3</v>
      </c>
      <c r="I89" s="748">
        <f t="shared" si="90"/>
        <v>0.05</v>
      </c>
      <c r="J89" s="455">
        <v>0</v>
      </c>
      <c r="K89" s="748">
        <f t="shared" si="92"/>
        <v>4.07E-2</v>
      </c>
      <c r="L89" s="32">
        <f t="shared" si="121"/>
        <v>0</v>
      </c>
      <c r="M89" s="455">
        <v>0</v>
      </c>
      <c r="N89" s="748">
        <f t="shared" si="94"/>
        <v>4.07E-2</v>
      </c>
      <c r="O89" s="32">
        <f t="shared" si="122"/>
        <v>0</v>
      </c>
      <c r="P89" s="455">
        <v>0</v>
      </c>
      <c r="Q89" s="748">
        <f t="shared" si="95"/>
        <v>4.07E-2</v>
      </c>
      <c r="R89" s="32">
        <f t="shared" si="123"/>
        <v>0</v>
      </c>
      <c r="S89" s="455">
        <v>0</v>
      </c>
      <c r="T89" s="748">
        <f t="shared" si="96"/>
        <v>4.07E-2</v>
      </c>
      <c r="U89" s="32">
        <f t="shared" si="124"/>
        <v>0</v>
      </c>
      <c r="V89" s="455">
        <v>1613</v>
      </c>
      <c r="W89" s="748">
        <f t="shared" si="97"/>
        <v>4.07E-2</v>
      </c>
      <c r="X89" s="32">
        <f t="shared" si="125"/>
        <v>2035.1221</v>
      </c>
      <c r="Y89" s="455">
        <v>8333</v>
      </c>
      <c r="Z89" s="748">
        <f t="shared" si="98"/>
        <v>4.07E-2</v>
      </c>
      <c r="AA89" s="32">
        <f t="shared" si="126"/>
        <v>10174.593000000001</v>
      </c>
      <c r="AB89" s="455">
        <v>12903</v>
      </c>
      <c r="AC89" s="748">
        <f t="shared" si="99"/>
        <v>4.07E-2</v>
      </c>
      <c r="AD89" s="32">
        <f t="shared" si="127"/>
        <v>16279.715100000001</v>
      </c>
      <c r="AE89" s="455">
        <v>9677</v>
      </c>
      <c r="AF89" s="748">
        <f t="shared" si="100"/>
        <v>4.07E-2</v>
      </c>
      <c r="AG89" s="32">
        <f t="shared" si="128"/>
        <v>12209.4709</v>
      </c>
      <c r="AH89" s="455">
        <v>3333</v>
      </c>
      <c r="AI89" s="748">
        <f t="shared" si="101"/>
        <v>4.07E-2</v>
      </c>
      <c r="AJ89" s="32">
        <f t="shared" si="129"/>
        <v>4069.5929999999998</v>
      </c>
      <c r="AK89" s="455">
        <v>0</v>
      </c>
      <c r="AL89" s="748">
        <f t="shared" si="102"/>
        <v>4.07E-2</v>
      </c>
      <c r="AM89" s="32">
        <f t="shared" si="130"/>
        <v>0</v>
      </c>
      <c r="AN89" s="455">
        <v>0</v>
      </c>
      <c r="AO89" s="748">
        <f t="shared" si="104"/>
        <v>4.07E-2</v>
      </c>
      <c r="AP89" s="32">
        <f t="shared" si="131"/>
        <v>0</v>
      </c>
      <c r="AQ89" s="455">
        <v>0</v>
      </c>
      <c r="AR89" s="748">
        <f t="shared" si="106"/>
        <v>4.07E-2</v>
      </c>
      <c r="AS89" s="32">
        <f t="shared" si="132"/>
        <v>0</v>
      </c>
      <c r="AT89" s="32"/>
      <c r="AV89" s="33">
        <f t="shared" si="133"/>
        <v>44768.494100000004</v>
      </c>
    </row>
    <row r="90" spans="1:49" x14ac:dyDescent="0.2">
      <c r="A90" s="504">
        <v>27161</v>
      </c>
      <c r="B90" s="504" t="s">
        <v>316</v>
      </c>
      <c r="D90" s="489">
        <v>36617</v>
      </c>
      <c r="E90" s="181">
        <v>37711</v>
      </c>
      <c r="F90" s="839">
        <v>400000</v>
      </c>
      <c r="G90" s="748">
        <v>2.5000000000000001E-2</v>
      </c>
      <c r="H90" s="170">
        <v>9.2999999999999992E-3</v>
      </c>
      <c r="I90" s="748">
        <f t="shared" si="90"/>
        <v>3.4299999999999997E-2</v>
      </c>
      <c r="J90" s="455">
        <f t="shared" si="91"/>
        <v>400000</v>
      </c>
      <c r="K90" s="748">
        <f t="shared" si="92"/>
        <v>2.5000000000000001E-2</v>
      </c>
      <c r="L90" s="32">
        <f t="shared" si="121"/>
        <v>310000</v>
      </c>
      <c r="M90" s="455">
        <f t="shared" si="93"/>
        <v>400000</v>
      </c>
      <c r="N90" s="748">
        <f t="shared" si="94"/>
        <v>2.5000000000000001E-2</v>
      </c>
      <c r="O90" s="32">
        <f t="shared" si="122"/>
        <v>280000</v>
      </c>
      <c r="P90" s="455">
        <f t="shared" si="107"/>
        <v>400000</v>
      </c>
      <c r="Q90" s="748">
        <f t="shared" si="95"/>
        <v>2.5000000000000001E-2</v>
      </c>
      <c r="R90" s="32">
        <f t="shared" si="123"/>
        <v>310000</v>
      </c>
      <c r="S90" s="455">
        <f t="shared" si="108"/>
        <v>400000</v>
      </c>
      <c r="T90" s="748">
        <f t="shared" si="96"/>
        <v>2.5000000000000001E-2</v>
      </c>
      <c r="U90" s="32">
        <f t="shared" si="124"/>
        <v>300000</v>
      </c>
      <c r="V90" s="455">
        <f t="shared" si="109"/>
        <v>400000</v>
      </c>
      <c r="W90" s="748">
        <f t="shared" si="97"/>
        <v>2.5000000000000001E-2</v>
      </c>
      <c r="X90" s="32">
        <f t="shared" si="125"/>
        <v>310000</v>
      </c>
      <c r="Y90" s="455">
        <f t="shared" si="110"/>
        <v>400000</v>
      </c>
      <c r="Z90" s="748">
        <f t="shared" si="98"/>
        <v>2.5000000000000001E-2</v>
      </c>
      <c r="AA90" s="32">
        <f t="shared" si="126"/>
        <v>300000</v>
      </c>
      <c r="AB90" s="455">
        <f t="shared" si="111"/>
        <v>400000</v>
      </c>
      <c r="AC90" s="748">
        <f t="shared" si="99"/>
        <v>2.5000000000000001E-2</v>
      </c>
      <c r="AD90" s="32">
        <f t="shared" si="127"/>
        <v>310000</v>
      </c>
      <c r="AE90" s="455">
        <f t="shared" si="112"/>
        <v>400000</v>
      </c>
      <c r="AF90" s="748">
        <f t="shared" si="100"/>
        <v>2.5000000000000001E-2</v>
      </c>
      <c r="AG90" s="32">
        <f t="shared" si="128"/>
        <v>310000</v>
      </c>
      <c r="AH90" s="455">
        <f t="shared" si="113"/>
        <v>400000</v>
      </c>
      <c r="AI90" s="748">
        <f t="shared" si="101"/>
        <v>2.5000000000000001E-2</v>
      </c>
      <c r="AJ90" s="32">
        <f t="shared" si="129"/>
        <v>300000</v>
      </c>
      <c r="AK90" s="455">
        <f t="shared" si="114"/>
        <v>400000</v>
      </c>
      <c r="AL90" s="748">
        <f t="shared" si="102"/>
        <v>2.5000000000000001E-2</v>
      </c>
      <c r="AM90" s="32">
        <f t="shared" si="130"/>
        <v>310000</v>
      </c>
      <c r="AN90" s="455">
        <f t="shared" si="103"/>
        <v>400000</v>
      </c>
      <c r="AO90" s="748">
        <f t="shared" si="104"/>
        <v>2.5000000000000001E-2</v>
      </c>
      <c r="AP90" s="32">
        <f t="shared" si="131"/>
        <v>300000</v>
      </c>
      <c r="AQ90" s="455">
        <f t="shared" si="105"/>
        <v>400000</v>
      </c>
      <c r="AR90" s="748">
        <f t="shared" si="106"/>
        <v>2.5000000000000001E-2</v>
      </c>
      <c r="AS90" s="32">
        <f t="shared" si="132"/>
        <v>310000</v>
      </c>
      <c r="AT90" s="32"/>
      <c r="AV90" s="33">
        <f t="shared" si="133"/>
        <v>3650000</v>
      </c>
    </row>
    <row r="91" spans="1:49" x14ac:dyDescent="0.2">
      <c r="A91" s="175">
        <v>27291</v>
      </c>
      <c r="B91" s="504" t="s">
        <v>288</v>
      </c>
      <c r="D91" s="489">
        <v>36739</v>
      </c>
      <c r="E91" s="181">
        <v>37468</v>
      </c>
      <c r="F91" s="840">
        <v>20000</v>
      </c>
      <c r="G91" s="748">
        <v>1.0699999999999999E-2</v>
      </c>
      <c r="H91" s="748">
        <v>9.2999999999999992E-3</v>
      </c>
      <c r="I91" s="748">
        <f t="shared" si="90"/>
        <v>1.9999999999999997E-2</v>
      </c>
      <c r="J91" s="455">
        <f t="shared" si="91"/>
        <v>20000</v>
      </c>
      <c r="K91" s="748">
        <f t="shared" si="92"/>
        <v>1.0699999999999999E-2</v>
      </c>
      <c r="L91" s="32">
        <f>J91*K91*L$7</f>
        <v>6634</v>
      </c>
      <c r="M91" s="455">
        <f t="shared" si="93"/>
        <v>20000</v>
      </c>
      <c r="N91" s="748">
        <f t="shared" si="94"/>
        <v>1.0699999999999999E-2</v>
      </c>
      <c r="O91" s="32">
        <f>M91*N91*O$7</f>
        <v>5992</v>
      </c>
      <c r="P91" s="455">
        <f t="shared" si="107"/>
        <v>20000</v>
      </c>
      <c r="Q91" s="748">
        <f t="shared" si="95"/>
        <v>1.0699999999999999E-2</v>
      </c>
      <c r="R91" s="32">
        <f>P91*Q91*R$7</f>
        <v>6634</v>
      </c>
      <c r="S91" s="455">
        <f t="shared" si="108"/>
        <v>20000</v>
      </c>
      <c r="T91" s="748">
        <f t="shared" si="96"/>
        <v>1.0699999999999999E-2</v>
      </c>
      <c r="U91" s="32">
        <f>S91*T91*U$7</f>
        <v>6420</v>
      </c>
      <c r="V91" s="455">
        <f t="shared" si="109"/>
        <v>20000</v>
      </c>
      <c r="W91" s="748">
        <f t="shared" si="97"/>
        <v>1.0699999999999999E-2</v>
      </c>
      <c r="X91" s="32">
        <f>V91*W91*X$7</f>
        <v>6634</v>
      </c>
      <c r="Y91" s="455">
        <f t="shared" si="110"/>
        <v>20000</v>
      </c>
      <c r="Z91" s="748">
        <f t="shared" si="98"/>
        <v>1.0699999999999999E-2</v>
      </c>
      <c r="AA91" s="32">
        <f t="shared" si="115"/>
        <v>6420</v>
      </c>
      <c r="AB91" s="455">
        <f t="shared" si="111"/>
        <v>20000</v>
      </c>
      <c r="AC91" s="748">
        <f t="shared" si="99"/>
        <v>1.0699999999999999E-2</v>
      </c>
      <c r="AD91" s="32">
        <f>AB91*AC91*AD$7</f>
        <v>6634</v>
      </c>
      <c r="AE91" s="455">
        <f t="shared" si="112"/>
        <v>20000</v>
      </c>
      <c r="AF91" s="748">
        <f t="shared" si="100"/>
        <v>1.0699999999999999E-2</v>
      </c>
      <c r="AG91" s="32">
        <f>AE91*AF91*AG$7</f>
        <v>6634</v>
      </c>
      <c r="AH91" s="455">
        <f t="shared" si="113"/>
        <v>20000</v>
      </c>
      <c r="AI91" s="748">
        <f t="shared" si="101"/>
        <v>1.0699999999999999E-2</v>
      </c>
      <c r="AJ91" s="32">
        <f t="shared" si="116"/>
        <v>6420</v>
      </c>
      <c r="AK91" s="455">
        <f t="shared" si="114"/>
        <v>20000</v>
      </c>
      <c r="AL91" s="748">
        <f t="shared" si="102"/>
        <v>1.0699999999999999E-2</v>
      </c>
      <c r="AM91" s="32">
        <f t="shared" si="117"/>
        <v>6634</v>
      </c>
      <c r="AN91" s="455">
        <f t="shared" si="103"/>
        <v>20000</v>
      </c>
      <c r="AO91" s="748">
        <f t="shared" si="104"/>
        <v>1.0699999999999999E-2</v>
      </c>
      <c r="AP91" s="32">
        <f t="shared" si="118"/>
        <v>6420</v>
      </c>
      <c r="AQ91" s="455">
        <f t="shared" si="105"/>
        <v>20000</v>
      </c>
      <c r="AR91" s="748">
        <f t="shared" si="106"/>
        <v>1.0699999999999999E-2</v>
      </c>
      <c r="AS91" s="32">
        <f t="shared" si="119"/>
        <v>6634</v>
      </c>
      <c r="AT91" s="32"/>
      <c r="AV91" s="33">
        <f t="shared" si="120"/>
        <v>78110</v>
      </c>
    </row>
    <row r="92" spans="1:49" x14ac:dyDescent="0.2">
      <c r="A92" s="175">
        <v>27349</v>
      </c>
      <c r="B92" s="175" t="s">
        <v>499</v>
      </c>
      <c r="D92" s="181">
        <v>36892</v>
      </c>
      <c r="E92" s="181">
        <v>38717</v>
      </c>
      <c r="F92" s="840">
        <v>20000</v>
      </c>
      <c r="G92" s="748">
        <v>4.07E-2</v>
      </c>
      <c r="H92" s="748">
        <v>9.2999999999999992E-3</v>
      </c>
      <c r="I92" s="748">
        <f t="shared" si="90"/>
        <v>0.05</v>
      </c>
      <c r="J92" s="455">
        <f t="shared" si="91"/>
        <v>20000</v>
      </c>
      <c r="K92" s="748">
        <f t="shared" si="92"/>
        <v>4.07E-2</v>
      </c>
      <c r="L92" s="32">
        <f>J92*K92*L$7</f>
        <v>25234</v>
      </c>
      <c r="M92" s="455">
        <f t="shared" si="93"/>
        <v>20000</v>
      </c>
      <c r="N92" s="748">
        <f t="shared" si="94"/>
        <v>4.07E-2</v>
      </c>
      <c r="O92" s="32">
        <f>M92*N92*O$7</f>
        <v>22792</v>
      </c>
      <c r="P92" s="455">
        <f t="shared" si="107"/>
        <v>20000</v>
      </c>
      <c r="Q92" s="748">
        <f t="shared" si="95"/>
        <v>4.07E-2</v>
      </c>
      <c r="R92" s="32">
        <f>P92*Q92*R$7</f>
        <v>25234</v>
      </c>
      <c r="S92" s="455">
        <f t="shared" si="108"/>
        <v>20000</v>
      </c>
      <c r="T92" s="748">
        <f t="shared" si="96"/>
        <v>4.07E-2</v>
      </c>
      <c r="U92" s="32">
        <f>S92*T92*U$7</f>
        <v>24420</v>
      </c>
      <c r="V92" s="455">
        <f t="shared" si="109"/>
        <v>20000</v>
      </c>
      <c r="W92" s="748">
        <f t="shared" si="97"/>
        <v>4.07E-2</v>
      </c>
      <c r="X92" s="32">
        <f>V92*W92*X$7</f>
        <v>25234</v>
      </c>
      <c r="Y92" s="455">
        <f t="shared" si="110"/>
        <v>20000</v>
      </c>
      <c r="Z92" s="748">
        <f t="shared" si="98"/>
        <v>4.07E-2</v>
      </c>
      <c r="AA92" s="32">
        <f t="shared" si="115"/>
        <v>24420</v>
      </c>
      <c r="AB92" s="455">
        <f t="shared" si="111"/>
        <v>20000</v>
      </c>
      <c r="AC92" s="748">
        <f t="shared" si="99"/>
        <v>4.07E-2</v>
      </c>
      <c r="AD92" s="32">
        <f>AB92*AC92*AD$7</f>
        <v>25234</v>
      </c>
      <c r="AE92" s="455">
        <f t="shared" si="112"/>
        <v>20000</v>
      </c>
      <c r="AF92" s="748">
        <f t="shared" si="100"/>
        <v>4.07E-2</v>
      </c>
      <c r="AG92" s="32">
        <f>AE92*AF92*AG$7</f>
        <v>25234</v>
      </c>
      <c r="AH92" s="455">
        <f t="shared" si="113"/>
        <v>20000</v>
      </c>
      <c r="AI92" s="748">
        <f t="shared" si="101"/>
        <v>4.07E-2</v>
      </c>
      <c r="AJ92" s="32">
        <f t="shared" si="116"/>
        <v>24420</v>
      </c>
      <c r="AK92" s="455">
        <f t="shared" si="114"/>
        <v>20000</v>
      </c>
      <c r="AL92" s="748">
        <f t="shared" si="102"/>
        <v>4.07E-2</v>
      </c>
      <c r="AM92" s="32">
        <f t="shared" si="117"/>
        <v>25234</v>
      </c>
      <c r="AN92" s="455">
        <f t="shared" si="103"/>
        <v>20000</v>
      </c>
      <c r="AO92" s="748">
        <f t="shared" si="104"/>
        <v>4.07E-2</v>
      </c>
      <c r="AP92" s="32">
        <f t="shared" si="118"/>
        <v>24420</v>
      </c>
      <c r="AQ92" s="455">
        <f t="shared" si="105"/>
        <v>20000</v>
      </c>
      <c r="AR92" s="748">
        <f t="shared" si="106"/>
        <v>4.07E-2</v>
      </c>
      <c r="AS92" s="32">
        <f t="shared" si="119"/>
        <v>25234</v>
      </c>
      <c r="AT92" s="32"/>
      <c r="AV92" s="33">
        <f t="shared" si="120"/>
        <v>297110</v>
      </c>
    </row>
    <row r="93" spans="1:49" x14ac:dyDescent="0.2">
      <c r="A93" s="175">
        <v>27495</v>
      </c>
      <c r="B93" s="175" t="s">
        <v>320</v>
      </c>
      <c r="D93" s="181">
        <v>36951</v>
      </c>
      <c r="E93" s="181">
        <v>37711</v>
      </c>
      <c r="F93" s="839">
        <v>50000</v>
      </c>
      <c r="G93" s="748">
        <v>3.2500000000000001E-2</v>
      </c>
      <c r="H93" s="748">
        <v>0</v>
      </c>
      <c r="I93" s="748">
        <f t="shared" si="90"/>
        <v>3.2500000000000001E-2</v>
      </c>
      <c r="J93" s="455">
        <f t="shared" si="91"/>
        <v>50000</v>
      </c>
      <c r="K93" s="748">
        <f t="shared" si="92"/>
        <v>3.2500000000000001E-2</v>
      </c>
      <c r="L93" s="32">
        <f>J93*K93*L$7</f>
        <v>50375</v>
      </c>
      <c r="M93" s="455">
        <f t="shared" si="93"/>
        <v>50000</v>
      </c>
      <c r="N93" s="748">
        <f t="shared" si="94"/>
        <v>3.2500000000000001E-2</v>
      </c>
      <c r="O93" s="32">
        <f>M93*N93*O$7</f>
        <v>45500</v>
      </c>
      <c r="P93" s="455">
        <f t="shared" si="107"/>
        <v>50000</v>
      </c>
      <c r="Q93" s="748">
        <f t="shared" si="95"/>
        <v>3.2500000000000001E-2</v>
      </c>
      <c r="R93" s="32">
        <f>P93*Q93*R$7</f>
        <v>50375</v>
      </c>
      <c r="S93" s="455">
        <f t="shared" si="108"/>
        <v>50000</v>
      </c>
      <c r="T93" s="748">
        <f t="shared" si="96"/>
        <v>3.2500000000000001E-2</v>
      </c>
      <c r="U93" s="32">
        <f>S93*T93*U$7</f>
        <v>48750</v>
      </c>
      <c r="V93" s="455">
        <f t="shared" si="109"/>
        <v>50000</v>
      </c>
      <c r="W93" s="748">
        <f t="shared" si="97"/>
        <v>3.2500000000000001E-2</v>
      </c>
      <c r="X93" s="32">
        <f>V93*W93*X$7</f>
        <v>50375</v>
      </c>
      <c r="Y93" s="455">
        <f t="shared" si="110"/>
        <v>50000</v>
      </c>
      <c r="Z93" s="748">
        <f t="shared" si="98"/>
        <v>3.2500000000000001E-2</v>
      </c>
      <c r="AA93" s="32">
        <f t="shared" si="115"/>
        <v>48750</v>
      </c>
      <c r="AB93" s="455">
        <f t="shared" si="111"/>
        <v>50000</v>
      </c>
      <c r="AC93" s="748">
        <f t="shared" si="99"/>
        <v>3.2500000000000001E-2</v>
      </c>
      <c r="AD93" s="32">
        <f>AB93*AC93*AD$7</f>
        <v>50375</v>
      </c>
      <c r="AE93" s="455">
        <f t="shared" si="112"/>
        <v>50000</v>
      </c>
      <c r="AF93" s="748">
        <f t="shared" si="100"/>
        <v>3.2500000000000001E-2</v>
      </c>
      <c r="AG93" s="32">
        <f>AE93*AF93*AG$7</f>
        <v>50375</v>
      </c>
      <c r="AH93" s="455">
        <f t="shared" si="113"/>
        <v>50000</v>
      </c>
      <c r="AI93" s="748">
        <f t="shared" si="101"/>
        <v>3.2500000000000001E-2</v>
      </c>
      <c r="AJ93" s="32">
        <f t="shared" si="116"/>
        <v>48750</v>
      </c>
      <c r="AK93" s="455">
        <f t="shared" si="114"/>
        <v>50000</v>
      </c>
      <c r="AL93" s="748">
        <f t="shared" si="102"/>
        <v>3.2500000000000001E-2</v>
      </c>
      <c r="AM93" s="32">
        <f t="shared" si="117"/>
        <v>50375</v>
      </c>
      <c r="AN93" s="455">
        <f t="shared" si="103"/>
        <v>50000</v>
      </c>
      <c r="AO93" s="748">
        <f t="shared" si="104"/>
        <v>3.2500000000000001E-2</v>
      </c>
      <c r="AP93" s="32">
        <f t="shared" si="118"/>
        <v>48750</v>
      </c>
      <c r="AQ93" s="455">
        <f t="shared" si="105"/>
        <v>50000</v>
      </c>
      <c r="AR93" s="748">
        <f t="shared" si="106"/>
        <v>3.2500000000000001E-2</v>
      </c>
      <c r="AS93" s="32">
        <f t="shared" si="119"/>
        <v>50375</v>
      </c>
      <c r="AT93" s="32"/>
      <c r="AV93" s="33">
        <f t="shared" si="120"/>
        <v>593125</v>
      </c>
    </row>
    <row r="94" spans="1:49" x14ac:dyDescent="0.2">
      <c r="A94" s="175">
        <v>27579</v>
      </c>
      <c r="B94" s="175" t="s">
        <v>499</v>
      </c>
      <c r="D94" s="181">
        <v>37012</v>
      </c>
      <c r="E94" s="181">
        <v>37407</v>
      </c>
      <c r="F94" s="840">
        <v>20000</v>
      </c>
      <c r="G94" s="748">
        <v>5.0700000000000002E-2</v>
      </c>
      <c r="H94" s="748">
        <v>9.2999999999999992E-3</v>
      </c>
      <c r="I94" s="748">
        <f t="shared" si="90"/>
        <v>0.06</v>
      </c>
      <c r="J94" s="455">
        <f t="shared" si="91"/>
        <v>20000</v>
      </c>
      <c r="K94" s="748">
        <f t="shared" si="92"/>
        <v>5.0700000000000002E-2</v>
      </c>
      <c r="L94" s="32">
        <f>J94*K94*L$7</f>
        <v>31434</v>
      </c>
      <c r="M94" s="455">
        <f t="shared" si="93"/>
        <v>20000</v>
      </c>
      <c r="N94" s="748">
        <f t="shared" si="94"/>
        <v>5.0700000000000002E-2</v>
      </c>
      <c r="O94" s="32">
        <f>M94*N94*O$7</f>
        <v>28392</v>
      </c>
      <c r="P94" s="455">
        <f t="shared" si="107"/>
        <v>20000</v>
      </c>
      <c r="Q94" s="748">
        <f t="shared" si="95"/>
        <v>5.0700000000000002E-2</v>
      </c>
      <c r="R94" s="32">
        <f>P94*Q94*R$7</f>
        <v>31434</v>
      </c>
      <c r="S94" s="455">
        <f t="shared" si="108"/>
        <v>20000</v>
      </c>
      <c r="T94" s="748">
        <f t="shared" si="96"/>
        <v>5.0700000000000002E-2</v>
      </c>
      <c r="U94" s="32">
        <f>S94*T94*U$7</f>
        <v>30420</v>
      </c>
      <c r="V94" s="455">
        <f t="shared" si="109"/>
        <v>20000</v>
      </c>
      <c r="W94" s="748">
        <f t="shared" si="97"/>
        <v>5.0700000000000002E-2</v>
      </c>
      <c r="X94" s="32">
        <f>V94*W94*X$7</f>
        <v>31434</v>
      </c>
      <c r="Y94" s="455">
        <f t="shared" si="110"/>
        <v>20000</v>
      </c>
      <c r="Z94" s="748">
        <f t="shared" si="98"/>
        <v>5.0700000000000002E-2</v>
      </c>
      <c r="AA94" s="32">
        <f t="shared" si="115"/>
        <v>30420</v>
      </c>
      <c r="AB94" s="455">
        <f t="shared" si="111"/>
        <v>20000</v>
      </c>
      <c r="AC94" s="748">
        <f t="shared" si="99"/>
        <v>5.0700000000000002E-2</v>
      </c>
      <c r="AD94" s="32">
        <f>AB94*AC94*AD$7</f>
        <v>31434</v>
      </c>
      <c r="AE94" s="455">
        <f t="shared" si="112"/>
        <v>20000</v>
      </c>
      <c r="AF94" s="748">
        <f t="shared" si="100"/>
        <v>5.0700000000000002E-2</v>
      </c>
      <c r="AG94" s="32">
        <f>AE94*AF94*AG$7</f>
        <v>31434</v>
      </c>
      <c r="AH94" s="455">
        <f t="shared" si="113"/>
        <v>20000</v>
      </c>
      <c r="AI94" s="748">
        <f t="shared" si="101"/>
        <v>5.0700000000000002E-2</v>
      </c>
      <c r="AJ94" s="32">
        <f t="shared" si="116"/>
        <v>30420</v>
      </c>
      <c r="AK94" s="455">
        <f t="shared" si="114"/>
        <v>20000</v>
      </c>
      <c r="AL94" s="748">
        <f t="shared" si="102"/>
        <v>5.0700000000000002E-2</v>
      </c>
      <c r="AM94" s="32">
        <f t="shared" si="117"/>
        <v>31434</v>
      </c>
      <c r="AN94" s="455">
        <f t="shared" si="103"/>
        <v>20000</v>
      </c>
      <c r="AO94" s="748">
        <f t="shared" si="104"/>
        <v>5.0700000000000002E-2</v>
      </c>
      <c r="AP94" s="32">
        <f t="shared" si="118"/>
        <v>30420</v>
      </c>
      <c r="AQ94" s="455">
        <f t="shared" si="105"/>
        <v>20000</v>
      </c>
      <c r="AR94" s="748">
        <f t="shared" si="106"/>
        <v>5.0700000000000002E-2</v>
      </c>
      <c r="AS94" s="32">
        <f t="shared" si="119"/>
        <v>31434</v>
      </c>
      <c r="AT94" s="32"/>
      <c r="AV94" s="33">
        <f t="shared" si="120"/>
        <v>370110</v>
      </c>
    </row>
    <row r="95" spans="1:49" x14ac:dyDescent="0.2">
      <c r="A95" s="175">
        <v>27600</v>
      </c>
      <c r="B95" s="175" t="s">
        <v>503</v>
      </c>
      <c r="D95" s="181">
        <v>37043</v>
      </c>
      <c r="E95" s="181">
        <v>37407</v>
      </c>
      <c r="F95" s="840">
        <v>2500</v>
      </c>
      <c r="G95" s="748">
        <v>8.0699999999999994E-2</v>
      </c>
      <c r="H95" s="748">
        <v>9.2999999999999992E-3</v>
      </c>
      <c r="I95" s="748">
        <f t="shared" si="90"/>
        <v>0.09</v>
      </c>
      <c r="J95" s="455">
        <f t="shared" si="91"/>
        <v>2500</v>
      </c>
      <c r="K95" s="748">
        <f t="shared" si="92"/>
        <v>8.0699999999999994E-2</v>
      </c>
      <c r="L95" s="32">
        <f>J95*K95*L$7</f>
        <v>6254.2499999999991</v>
      </c>
      <c r="M95" s="455">
        <f t="shared" si="93"/>
        <v>2500</v>
      </c>
      <c r="N95" s="748">
        <f t="shared" si="94"/>
        <v>8.0699999999999994E-2</v>
      </c>
      <c r="O95" s="32">
        <f>M95*N95*O$7</f>
        <v>5648.9999999999991</v>
      </c>
      <c r="P95" s="455">
        <f t="shared" si="107"/>
        <v>2500</v>
      </c>
      <c r="Q95" s="748">
        <f t="shared" si="95"/>
        <v>8.0699999999999994E-2</v>
      </c>
      <c r="R95" s="32">
        <f>P95*Q95*R$7</f>
        <v>6254.2499999999991</v>
      </c>
      <c r="S95" s="455">
        <f t="shared" si="108"/>
        <v>2500</v>
      </c>
      <c r="T95" s="748">
        <f t="shared" si="96"/>
        <v>8.0699999999999994E-2</v>
      </c>
      <c r="U95" s="32">
        <f>S95*T95*U$7</f>
        <v>6052.4999999999991</v>
      </c>
      <c r="V95" s="455">
        <f t="shared" si="109"/>
        <v>2500</v>
      </c>
      <c r="W95" s="748">
        <f t="shared" si="97"/>
        <v>8.0699999999999994E-2</v>
      </c>
      <c r="X95" s="32">
        <f>V95*W95*X$7</f>
        <v>6254.2499999999991</v>
      </c>
      <c r="Y95" s="455">
        <v>0</v>
      </c>
      <c r="Z95" s="748">
        <f t="shared" si="98"/>
        <v>8.0699999999999994E-2</v>
      </c>
      <c r="AA95" s="32">
        <f t="shared" si="115"/>
        <v>0</v>
      </c>
      <c r="AB95" s="455">
        <v>0</v>
      </c>
      <c r="AC95" s="748">
        <f t="shared" si="99"/>
        <v>8.0699999999999994E-2</v>
      </c>
      <c r="AD95" s="32">
        <f>AB95*AC95*AD$7</f>
        <v>0</v>
      </c>
      <c r="AE95" s="455">
        <v>0</v>
      </c>
      <c r="AF95" s="748">
        <f t="shared" si="100"/>
        <v>8.0699999999999994E-2</v>
      </c>
      <c r="AG95" s="32">
        <f>AE95*AF95*AG$7</f>
        <v>0</v>
      </c>
      <c r="AH95" s="455">
        <v>0</v>
      </c>
      <c r="AI95" s="748">
        <f t="shared" si="101"/>
        <v>8.0699999999999994E-2</v>
      </c>
      <c r="AJ95" s="32">
        <f t="shared" si="116"/>
        <v>0</v>
      </c>
      <c r="AK95" s="455">
        <v>0</v>
      </c>
      <c r="AL95" s="748">
        <f t="shared" si="102"/>
        <v>8.0699999999999994E-2</v>
      </c>
      <c r="AM95" s="32">
        <f t="shared" si="117"/>
        <v>0</v>
      </c>
      <c r="AN95" s="455">
        <v>0</v>
      </c>
      <c r="AO95" s="748">
        <f t="shared" si="104"/>
        <v>8.0699999999999994E-2</v>
      </c>
      <c r="AP95" s="32">
        <f t="shared" si="118"/>
        <v>0</v>
      </c>
      <c r="AQ95" s="455">
        <v>0</v>
      </c>
      <c r="AR95" s="748">
        <f t="shared" si="106"/>
        <v>8.0699999999999994E-2</v>
      </c>
      <c r="AS95" s="32">
        <f t="shared" si="119"/>
        <v>0</v>
      </c>
      <c r="AT95" s="32"/>
      <c r="AV95" s="33">
        <f t="shared" si="120"/>
        <v>30464.249999999996</v>
      </c>
      <c r="AW95" s="811"/>
    </row>
    <row r="96" spans="1:49" x14ac:dyDescent="0.2">
      <c r="A96" s="172"/>
      <c r="B96" s="172"/>
      <c r="D96" s="185"/>
      <c r="E96" s="185"/>
      <c r="F96" s="841"/>
      <c r="J96" s="455"/>
      <c r="L96" s="32"/>
      <c r="M96" s="455"/>
      <c r="N96" s="748"/>
      <c r="O96" s="32"/>
      <c r="P96" s="455"/>
      <c r="Q96" s="748"/>
      <c r="R96" s="32"/>
      <c r="S96" s="455"/>
      <c r="T96" s="748"/>
      <c r="U96" s="32"/>
      <c r="V96" s="455"/>
      <c r="W96" s="748"/>
      <c r="X96" s="32"/>
      <c r="Y96" s="455"/>
      <c r="Z96" s="748"/>
      <c r="AA96" s="32"/>
      <c r="AB96" s="455"/>
      <c r="AC96" s="748"/>
      <c r="AD96" s="32"/>
      <c r="AE96" s="455"/>
      <c r="AF96" s="748"/>
      <c r="AG96" s="32"/>
      <c r="AH96" s="455"/>
      <c r="AI96" s="748"/>
      <c r="AJ96" s="32"/>
      <c r="AK96" s="455"/>
      <c r="AL96" s="748"/>
      <c r="AM96" s="32"/>
      <c r="AN96" s="455"/>
      <c r="AO96" s="748"/>
      <c r="AP96" s="32"/>
      <c r="AQ96" s="455"/>
      <c r="AR96" s="748"/>
      <c r="AS96" s="32"/>
      <c r="AT96" s="32"/>
      <c r="AV96" s="33"/>
      <c r="AW96" s="33">
        <f>SUM(AV79:AV95)</f>
        <v>12768090.621100001</v>
      </c>
    </row>
    <row r="97" spans="1:52" x14ac:dyDescent="0.2">
      <c r="E97" s="745"/>
      <c r="F97" s="828"/>
      <c r="J97" s="777">
        <v>0</v>
      </c>
      <c r="K97" s="748">
        <f>IF(J97&gt;0,L97/J97/L$7,0)</f>
        <v>0</v>
      </c>
      <c r="L97" s="39">
        <v>0</v>
      </c>
      <c r="M97" s="777">
        <v>0</v>
      </c>
      <c r="N97" s="748">
        <f>IF(M97&gt;0,O97/M97/O$7,0)</f>
        <v>0</v>
      </c>
      <c r="O97" s="39">
        <v>0</v>
      </c>
      <c r="P97" s="777">
        <v>0</v>
      </c>
      <c r="Q97" s="748">
        <f>IF(P97&gt;0,R97/P97/R$7,0)</f>
        <v>0</v>
      </c>
      <c r="R97" s="39">
        <v>0</v>
      </c>
      <c r="S97" s="777">
        <v>0</v>
      </c>
      <c r="T97" s="748">
        <f>IF(S97&gt;0,U97/S97/U$7,0)</f>
        <v>0</v>
      </c>
      <c r="U97" s="39">
        <v>0</v>
      </c>
      <c r="V97" s="777">
        <v>0</v>
      </c>
      <c r="W97" s="748">
        <f>IF(V97&gt;0,X97/V97/X$7,0)</f>
        <v>0</v>
      </c>
      <c r="X97" s="39">
        <v>0</v>
      </c>
      <c r="Y97" s="777">
        <v>0</v>
      </c>
      <c r="Z97" s="748">
        <f>IF(Y97&gt;0,AA97/Y97/AA$7,0)</f>
        <v>0</v>
      </c>
      <c r="AA97" s="39">
        <v>0</v>
      </c>
      <c r="AB97" s="777">
        <v>0</v>
      </c>
      <c r="AC97" s="748">
        <f>IF(AB97&gt;0,AD97/AB97/AD$7,0)</f>
        <v>0</v>
      </c>
      <c r="AD97" s="39">
        <f>ROUND($F97*$G97*AD$7,0)</f>
        <v>0</v>
      </c>
      <c r="AE97" s="777">
        <v>0</v>
      </c>
      <c r="AF97" s="748">
        <f>IF(AE97&gt;0,AG97/AE97/AG$7,0)</f>
        <v>0</v>
      </c>
      <c r="AG97" s="39">
        <f>ROUND($F97*$G97*AG$7,0)</f>
        <v>0</v>
      </c>
      <c r="AH97" s="777">
        <v>0</v>
      </c>
      <c r="AI97" s="748">
        <f>IF(AH97&gt;0,AJ97/AH97/AJ$7,0)</f>
        <v>0</v>
      </c>
      <c r="AJ97" s="39">
        <f>ROUND($F97*$G97*AJ$7,0)</f>
        <v>0</v>
      </c>
      <c r="AK97" s="777">
        <v>0</v>
      </c>
      <c r="AL97" s="748">
        <f>IF(AK97&gt;0,AM97/AK97/AM$7,0)</f>
        <v>0</v>
      </c>
      <c r="AM97" s="39">
        <f>ROUND($F97*$G97*AM$7,0)</f>
        <v>0</v>
      </c>
      <c r="AN97" s="777">
        <v>0</v>
      </c>
      <c r="AO97" s="748">
        <f>IF(AN97&gt;0,AP97/AN97/AP$7,0)</f>
        <v>0</v>
      </c>
      <c r="AP97" s="39">
        <f>ROUND($F97*$G97*AP$7,0)</f>
        <v>0</v>
      </c>
      <c r="AQ97" s="777">
        <v>0</v>
      </c>
      <c r="AR97" s="748">
        <f>IF(AQ97&gt;0,AS97/AQ97/AS$7,0)</f>
        <v>0</v>
      </c>
      <c r="AS97" s="39">
        <f>ROUND($F97*$G97*AS$7,0)</f>
        <v>0</v>
      </c>
      <c r="AT97" s="32"/>
    </row>
    <row r="98" spans="1:52" s="42" customFormat="1" x14ac:dyDescent="0.2">
      <c r="A98" s="741" t="s">
        <v>670</v>
      </c>
      <c r="D98" s="3"/>
      <c r="E98" s="3"/>
      <c r="F98" s="829"/>
      <c r="G98" s="754"/>
      <c r="H98" s="754"/>
      <c r="I98" s="754"/>
      <c r="J98" s="795">
        <f>SUM(J79:J97)</f>
        <v>795214</v>
      </c>
      <c r="K98" s="818">
        <f>IF(J98&gt;0,L98/J98/L$7,0)</f>
        <v>4.7657586259799246E-2</v>
      </c>
      <c r="L98" s="819">
        <f>SUM(L79:L97)</f>
        <v>1174837.3737999999</v>
      </c>
      <c r="M98" s="795">
        <f>SUM(M79:M97)</f>
        <v>795214</v>
      </c>
      <c r="N98" s="818">
        <f>IF(M98&gt;0,O98/M98/O$7,0)</f>
        <v>4.765758625979926E-2</v>
      </c>
      <c r="O98" s="819">
        <f>SUM(O79:O97)</f>
        <v>1061143.4344000001</v>
      </c>
      <c r="P98" s="795">
        <f>SUM(P79:P97)</f>
        <v>740214</v>
      </c>
      <c r="Q98" s="818">
        <f>IF(P98&gt;0,R98/P98/R$7,0)</f>
        <v>4.6350757753838748E-2</v>
      </c>
      <c r="R98" s="819">
        <f>SUM(R79:R97)</f>
        <v>1063593.8737999999</v>
      </c>
      <c r="S98" s="795">
        <f>SUM(S79:S97)</f>
        <v>740214</v>
      </c>
      <c r="T98" s="818">
        <f>IF(S98&gt;0,U98/S98/U$7,0)</f>
        <v>4.6350757753838755E-2</v>
      </c>
      <c r="U98" s="819">
        <f>SUM(U79:U97)</f>
        <v>1029284.394</v>
      </c>
      <c r="V98" s="795">
        <f>SUM(V79:V97)</f>
        <v>726827</v>
      </c>
      <c r="W98" s="818">
        <f>IF(V98&gt;0,X98/V98/X$7,0)</f>
        <v>4.5835706295996162E-2</v>
      </c>
      <c r="X98" s="819">
        <f>SUM(X79:X97)</f>
        <v>1032753.4959</v>
      </c>
      <c r="Y98" s="795">
        <f>SUM(Y79:Y97)</f>
        <v>731047</v>
      </c>
      <c r="Z98" s="818">
        <f>IF(Y98&gt;0,AA98/Y98/AA$7,0)</f>
        <v>4.5669270101648736E-2</v>
      </c>
      <c r="AA98" s="819">
        <f>SUM(AA79:AA97)</f>
        <v>1001591.487</v>
      </c>
      <c r="AB98" s="795">
        <f>SUM(AB79:AB97)</f>
        <v>735617</v>
      </c>
      <c r="AC98" s="818">
        <f>IF(AB98&gt;0,AD98/AB98/AD$7,0)</f>
        <v>4.5638398650384639E-2</v>
      </c>
      <c r="AD98" s="819">
        <f>SUM(AD79:AD97)</f>
        <v>1040743.8389</v>
      </c>
      <c r="AE98" s="795">
        <f>SUM(AE79:AE97)</f>
        <v>732391</v>
      </c>
      <c r="AF98" s="818">
        <f>IF(AE98&gt;0,AG98/AE98/AG$7,0)</f>
        <v>4.5660151066848169E-2</v>
      </c>
      <c r="AG98" s="819">
        <f>SUM(AG79:AG97)</f>
        <v>1036673.5946999999</v>
      </c>
      <c r="AH98" s="795">
        <f>SUM(AH79:AH97)</f>
        <v>726047</v>
      </c>
      <c r="AI98" s="818">
        <f>IF(AH98&gt;0,AJ98/AH98/AJ$7,0)</f>
        <v>4.5703491509502828E-2</v>
      </c>
      <c r="AJ98" s="819">
        <f>SUM(AJ79:AJ97)</f>
        <v>995486.48699999996</v>
      </c>
      <c r="AK98" s="795">
        <f>SUM(AK79:AK97)</f>
        <v>737714</v>
      </c>
      <c r="AL98" s="818">
        <f>IF(AK98&gt;0,AM98/AK98/AM$7,0)</f>
        <v>4.6234353421515655E-2</v>
      </c>
      <c r="AM98" s="819">
        <f>SUM(AM79:AM97)</f>
        <v>1057339.6237999999</v>
      </c>
      <c r="AN98" s="795">
        <f>SUM(AN79:AN97)</f>
        <v>782714</v>
      </c>
      <c r="AO98" s="818">
        <f>IF(AN98&gt;0,AP98/AN98/AP$7,0)</f>
        <v>4.764093883589663E-2</v>
      </c>
      <c r="AP98" s="819">
        <f>SUM(AP79:AP97)</f>
        <v>1118676.8939999999</v>
      </c>
      <c r="AQ98" s="795">
        <f>SUM(AQ79:AQ97)</f>
        <v>782714</v>
      </c>
      <c r="AR98" s="818">
        <f>IF(AQ98&gt;0,AS98/AQ98/AS$7,0)</f>
        <v>4.7640938835896637E-2</v>
      </c>
      <c r="AS98" s="819">
        <f>SUM(AS79:AS97)</f>
        <v>1155966.1237999999</v>
      </c>
      <c r="AT98" s="31"/>
      <c r="AV98" s="820"/>
      <c r="AW98" s="33">
        <f>AS98+AP98+AM98+AJ98+AG98+AD98+AA98+X98+U98+R98+O98+L98</f>
        <v>12768090.621099999</v>
      </c>
    </row>
    <row r="99" spans="1:52" x14ac:dyDescent="0.2">
      <c r="A99" s="646"/>
      <c r="B99" s="478"/>
      <c r="C99" s="478"/>
      <c r="D99" s="478"/>
      <c r="E99" s="478"/>
      <c r="F99" s="827"/>
      <c r="G99" s="757"/>
      <c r="H99" s="757"/>
      <c r="I99" s="757"/>
      <c r="J99" s="768"/>
      <c r="K99" s="757"/>
      <c r="L99" s="482"/>
      <c r="M99" s="771"/>
      <c r="N99" s="482"/>
      <c r="O99" s="482"/>
      <c r="P99" s="771"/>
      <c r="Q99" s="482"/>
      <c r="R99" s="482"/>
      <c r="S99" s="771"/>
      <c r="T99" s="482"/>
      <c r="U99" s="482"/>
      <c r="V99" s="771"/>
      <c r="W99" s="482"/>
      <c r="X99" s="482"/>
      <c r="Y99" s="771"/>
      <c r="Z99" s="482"/>
      <c r="AA99" s="482"/>
      <c r="AB99" s="771"/>
      <c r="AC99" s="482"/>
      <c r="AD99" s="482"/>
      <c r="AE99" s="771"/>
      <c r="AF99" s="482"/>
      <c r="AG99" s="482"/>
      <c r="AH99" s="771"/>
      <c r="AI99" s="482"/>
      <c r="AJ99" s="482"/>
      <c r="AK99" s="771"/>
      <c r="AL99" s="482"/>
      <c r="AM99" s="482"/>
      <c r="AN99" s="771"/>
      <c r="AO99" s="482"/>
      <c r="AP99" s="482"/>
      <c r="AQ99" s="771"/>
      <c r="AR99" s="482"/>
      <c r="AS99" s="482"/>
      <c r="AV99" s="802">
        <f>SUM(AV55:AV98)</f>
        <v>456451.92959999945</v>
      </c>
    </row>
    <row r="100" spans="1:52" x14ac:dyDescent="0.2">
      <c r="A100" s="646"/>
      <c r="B100" s="478"/>
      <c r="C100" s="478"/>
      <c r="D100" s="478"/>
      <c r="E100" s="478"/>
      <c r="F100" s="827"/>
      <c r="G100" s="757"/>
      <c r="H100" s="757"/>
      <c r="I100" s="757"/>
      <c r="J100" s="768"/>
      <c r="K100" s="757"/>
      <c r="L100" s="482"/>
      <c r="M100" s="771"/>
      <c r="N100" s="482"/>
      <c r="O100" s="482"/>
      <c r="P100" s="771"/>
      <c r="Q100" s="482"/>
      <c r="R100" s="482"/>
      <c r="S100" s="771"/>
      <c r="T100" s="482"/>
      <c r="U100" s="482"/>
      <c r="V100" s="771"/>
      <c r="W100" s="482"/>
      <c r="X100" s="482"/>
      <c r="Y100" s="771"/>
      <c r="Z100" s="482"/>
      <c r="AA100" s="482"/>
      <c r="AB100" s="771"/>
      <c r="AC100" s="482"/>
      <c r="AD100" s="482"/>
      <c r="AE100" s="771"/>
      <c r="AF100" s="482"/>
      <c r="AG100" s="482"/>
      <c r="AH100" s="771"/>
      <c r="AI100" s="482"/>
      <c r="AJ100" s="482"/>
      <c r="AK100" s="771"/>
      <c r="AL100" s="482"/>
      <c r="AM100" s="482"/>
      <c r="AN100" s="771"/>
      <c r="AO100" s="482"/>
      <c r="AP100" s="482"/>
      <c r="AQ100" s="771"/>
      <c r="AR100" s="482"/>
      <c r="AS100" s="482"/>
    </row>
    <row r="101" spans="1:52" x14ac:dyDescent="0.2">
      <c r="A101" s="646"/>
      <c r="B101" s="478"/>
      <c r="C101" s="478"/>
      <c r="D101" s="478"/>
      <c r="E101" s="478"/>
      <c r="F101" s="827"/>
      <c r="G101" s="757"/>
      <c r="H101" s="757"/>
      <c r="I101" s="757"/>
      <c r="J101" s="768"/>
      <c r="K101" s="757"/>
      <c r="L101" s="482"/>
      <c r="M101" s="771"/>
      <c r="N101" s="482"/>
      <c r="O101" s="482"/>
      <c r="P101" s="771"/>
      <c r="Q101" s="482"/>
      <c r="R101" s="482"/>
      <c r="S101" s="771"/>
      <c r="T101" s="482"/>
      <c r="U101" s="482"/>
      <c r="V101" s="771"/>
      <c r="W101" s="482"/>
      <c r="X101" s="482"/>
      <c r="Y101" s="771"/>
      <c r="Z101" s="482"/>
      <c r="AA101" s="482"/>
      <c r="AB101" s="771"/>
      <c r="AC101" s="482"/>
      <c r="AD101" s="482"/>
      <c r="AE101" s="771"/>
      <c r="AF101" s="482"/>
      <c r="AG101" s="482"/>
      <c r="AH101" s="771"/>
      <c r="AI101" s="482"/>
      <c r="AJ101" s="482"/>
      <c r="AK101" s="771"/>
      <c r="AL101" s="482"/>
      <c r="AM101" s="482"/>
      <c r="AN101" s="771"/>
      <c r="AO101" s="482"/>
      <c r="AP101" s="482"/>
      <c r="AQ101" s="771"/>
      <c r="AR101" s="482"/>
      <c r="AS101" s="482"/>
    </row>
    <row r="102" spans="1:52" x14ac:dyDescent="0.2">
      <c r="A102" s="646"/>
      <c r="B102" s="478"/>
      <c r="C102" s="478"/>
      <c r="D102" s="478"/>
      <c r="E102" s="478"/>
      <c r="F102" s="827"/>
      <c r="G102" s="757"/>
      <c r="H102" s="757"/>
      <c r="I102" s="757"/>
      <c r="J102" s="768"/>
      <c r="K102" s="757"/>
      <c r="L102" s="482"/>
      <c r="M102" s="771"/>
      <c r="N102" s="482"/>
      <c r="O102" s="482"/>
      <c r="P102" s="771"/>
      <c r="Q102" s="482"/>
      <c r="R102" s="482"/>
      <c r="S102" s="771"/>
      <c r="T102" s="482"/>
      <c r="U102" s="482"/>
      <c r="V102" s="771"/>
      <c r="W102" s="482"/>
      <c r="X102" s="482"/>
      <c r="Y102" s="771"/>
      <c r="Z102" s="482"/>
      <c r="AA102" s="482"/>
      <c r="AB102" s="771"/>
      <c r="AC102" s="482"/>
      <c r="AD102" s="482"/>
      <c r="AE102" s="771"/>
      <c r="AF102" s="482"/>
      <c r="AG102" s="482"/>
      <c r="AH102" s="771"/>
      <c r="AI102" s="482"/>
      <c r="AJ102" s="482"/>
      <c r="AK102" s="771"/>
      <c r="AL102" s="482"/>
      <c r="AM102" s="482"/>
      <c r="AN102" s="771"/>
      <c r="AO102" s="482"/>
      <c r="AP102" s="482"/>
      <c r="AQ102" s="771"/>
      <c r="AR102" s="482"/>
      <c r="AS102" s="482"/>
    </row>
    <row r="103" spans="1:52" x14ac:dyDescent="0.2">
      <c r="A103" s="646"/>
      <c r="B103" s="478"/>
      <c r="C103" s="478"/>
      <c r="D103" s="478"/>
      <c r="E103" s="478"/>
      <c r="F103" s="827"/>
      <c r="G103" s="757"/>
      <c r="H103" s="757"/>
      <c r="I103" s="757"/>
      <c r="J103" s="768"/>
      <c r="K103" s="757"/>
      <c r="L103" s="482"/>
      <c r="M103" s="771"/>
      <c r="N103" s="482"/>
      <c r="O103" s="482"/>
      <c r="P103" s="771"/>
      <c r="Q103" s="482"/>
      <c r="R103" s="482"/>
      <c r="S103" s="771"/>
      <c r="T103" s="482"/>
      <c r="U103" s="482"/>
      <c r="V103" s="771"/>
      <c r="W103" s="482"/>
      <c r="X103" s="482"/>
      <c r="Y103" s="771"/>
      <c r="Z103" s="482"/>
      <c r="AA103" s="482"/>
      <c r="AB103" s="771"/>
      <c r="AC103" s="482"/>
      <c r="AD103" s="482"/>
      <c r="AE103" s="771"/>
      <c r="AF103" s="482"/>
      <c r="AG103" s="482"/>
      <c r="AH103" s="771"/>
      <c r="AI103" s="482"/>
      <c r="AJ103" s="482"/>
      <c r="AK103" s="771"/>
      <c r="AL103" s="482"/>
      <c r="AM103" s="482"/>
      <c r="AN103" s="771"/>
      <c r="AO103" s="482"/>
      <c r="AP103" s="482"/>
      <c r="AQ103" s="771"/>
      <c r="AR103" s="482"/>
      <c r="AS103" s="482"/>
    </row>
    <row r="104" spans="1:52" x14ac:dyDescent="0.2">
      <c r="A104" s="812"/>
      <c r="B104" s="809"/>
      <c r="C104" s="809"/>
      <c r="D104" s="809"/>
      <c r="E104" s="809"/>
      <c r="F104" s="830"/>
      <c r="G104" s="810"/>
      <c r="H104" s="810"/>
      <c r="I104" s="810"/>
      <c r="J104" s="813"/>
      <c r="K104" s="810"/>
      <c r="L104" s="814"/>
      <c r="M104" s="815"/>
      <c r="N104" s="814"/>
      <c r="O104" s="814"/>
      <c r="P104" s="815"/>
      <c r="Q104" s="814"/>
      <c r="R104" s="814"/>
      <c r="S104" s="815"/>
      <c r="T104" s="814"/>
      <c r="U104" s="814"/>
      <c r="V104" s="815"/>
      <c r="W104" s="814"/>
      <c r="X104" s="814"/>
      <c r="Y104" s="815"/>
      <c r="Z104" s="814"/>
      <c r="AA104" s="814"/>
      <c r="AB104" s="815"/>
      <c r="AC104" s="814"/>
      <c r="AD104" s="814"/>
      <c r="AE104" s="815"/>
      <c r="AF104" s="814"/>
      <c r="AG104" s="814"/>
      <c r="AH104" s="815"/>
      <c r="AI104" s="814"/>
      <c r="AJ104" s="814"/>
      <c r="AK104" s="815"/>
      <c r="AL104" s="814"/>
      <c r="AM104" s="814"/>
      <c r="AN104" s="815"/>
      <c r="AO104" s="814"/>
      <c r="AP104" s="814"/>
      <c r="AQ104" s="815"/>
      <c r="AR104" s="814"/>
      <c r="AS104" s="814"/>
      <c r="AT104" s="389"/>
      <c r="AU104" s="389"/>
      <c r="AV104" s="389"/>
    </row>
    <row r="105" spans="1:52" x14ac:dyDescent="0.2">
      <c r="A105" s="758" t="s">
        <v>671</v>
      </c>
      <c r="B105" s="478"/>
      <c r="C105" s="478"/>
      <c r="D105" s="478"/>
      <c r="E105" s="478"/>
      <c r="F105" s="827"/>
      <c r="G105" s="757"/>
      <c r="H105" s="757"/>
      <c r="I105" s="757"/>
      <c r="J105" s="768"/>
      <c r="K105" s="757"/>
      <c r="L105" s="482"/>
      <c r="M105" s="771"/>
      <c r="N105" s="482"/>
      <c r="O105" s="482"/>
      <c r="P105" s="771"/>
      <c r="Q105" s="482"/>
      <c r="R105" s="482"/>
      <c r="S105" s="771"/>
      <c r="T105" s="482"/>
      <c r="U105" s="482"/>
      <c r="V105" s="771"/>
      <c r="W105" s="482"/>
      <c r="X105" s="482"/>
      <c r="Y105" s="771"/>
      <c r="Z105" s="482"/>
      <c r="AA105" s="482"/>
      <c r="AB105" s="771"/>
      <c r="AC105" s="482"/>
      <c r="AD105" s="482"/>
      <c r="AE105" s="771"/>
      <c r="AF105" s="482"/>
      <c r="AG105" s="482"/>
      <c r="AH105" s="771"/>
      <c r="AI105" s="482"/>
      <c r="AJ105" s="482"/>
      <c r="AK105" s="771"/>
      <c r="AL105" s="482"/>
      <c r="AM105" s="482"/>
      <c r="AN105" s="771"/>
      <c r="AO105" s="482"/>
      <c r="AP105" s="482"/>
      <c r="AQ105" s="771"/>
      <c r="AR105" s="482"/>
      <c r="AS105" s="482"/>
      <c r="AU105" s="52"/>
      <c r="AV105" s="52"/>
    </row>
    <row r="106" spans="1:52" x14ac:dyDescent="0.2">
      <c r="A106" s="743" t="s">
        <v>626</v>
      </c>
      <c r="J106" s="455"/>
      <c r="L106" s="32"/>
      <c r="M106" s="455"/>
      <c r="N106" s="748"/>
      <c r="O106" s="32"/>
      <c r="P106" s="455"/>
      <c r="Q106" s="748"/>
      <c r="R106" s="32"/>
      <c r="S106" s="455"/>
      <c r="T106" s="748"/>
      <c r="U106" s="32"/>
      <c r="V106" s="455"/>
      <c r="W106" s="748"/>
      <c r="X106" s="32"/>
      <c r="Y106" s="455"/>
      <c r="Z106" s="748"/>
      <c r="AA106" s="32"/>
      <c r="AB106" s="455"/>
      <c r="AC106" s="748"/>
      <c r="AD106" s="32"/>
      <c r="AE106" s="455"/>
      <c r="AF106" s="748"/>
      <c r="AG106" s="32"/>
      <c r="AH106" s="455"/>
      <c r="AI106" s="748"/>
      <c r="AJ106" s="32"/>
      <c r="AK106" s="455"/>
      <c r="AL106" s="748"/>
      <c r="AM106" s="32"/>
      <c r="AN106" s="455"/>
      <c r="AO106" s="748"/>
      <c r="AP106" s="32"/>
      <c r="AQ106" s="455"/>
      <c r="AR106" s="748"/>
      <c r="AS106" s="32"/>
      <c r="AT106" s="32"/>
    </row>
    <row r="107" spans="1:52" x14ac:dyDescent="0.2">
      <c r="A107" s="172">
        <v>24194</v>
      </c>
      <c r="B107" s="172" t="s">
        <v>309</v>
      </c>
      <c r="C107">
        <v>2001</v>
      </c>
      <c r="D107" s="5"/>
      <c r="E107" s="185">
        <v>37164</v>
      </c>
      <c r="F107" s="831">
        <v>-25000</v>
      </c>
      <c r="G107" s="173">
        <v>0.1007</v>
      </c>
      <c r="H107" s="174">
        <v>9.2999999999999992E-3</v>
      </c>
      <c r="I107" s="748">
        <f>SUM(G107:H107)</f>
        <v>0.11</v>
      </c>
      <c r="J107" s="455">
        <v>-40000</v>
      </c>
      <c r="K107" s="748">
        <f>$G107</f>
        <v>0.1007</v>
      </c>
      <c r="L107" s="32">
        <f>J107*K107*L$7</f>
        <v>-124868</v>
      </c>
      <c r="M107" s="455">
        <v>-40000</v>
      </c>
      <c r="N107" s="748">
        <f>$G107</f>
        <v>0.1007</v>
      </c>
      <c r="O107" s="32">
        <f>M107*N107*O$7</f>
        <v>-112784</v>
      </c>
      <c r="P107" s="455">
        <f>$F107</f>
        <v>-25000</v>
      </c>
      <c r="Q107" s="748">
        <f>$G107</f>
        <v>0.1007</v>
      </c>
      <c r="R107" s="32">
        <f>P107*Q107*R$7</f>
        <v>-78042.5</v>
      </c>
      <c r="S107" s="455">
        <f>$F107</f>
        <v>-25000</v>
      </c>
      <c r="T107" s="748">
        <f>$G107</f>
        <v>0.1007</v>
      </c>
      <c r="U107" s="32">
        <f>S107*T107*U$7</f>
        <v>-75525</v>
      </c>
      <c r="V107" s="455">
        <v>-10000</v>
      </c>
      <c r="W107" s="748">
        <f>$G107</f>
        <v>0.1007</v>
      </c>
      <c r="X107" s="32">
        <f>V107*W107*X$7</f>
        <v>-31217</v>
      </c>
      <c r="Y107" s="455">
        <v>-10000</v>
      </c>
      <c r="Z107" s="748">
        <f>$G107</f>
        <v>0.1007</v>
      </c>
      <c r="AA107" s="32">
        <f>Y107*Z107*AA$7</f>
        <v>-30210</v>
      </c>
      <c r="AB107" s="455">
        <v>-10000</v>
      </c>
      <c r="AC107" s="748">
        <f>$G107</f>
        <v>0.1007</v>
      </c>
      <c r="AD107" s="32">
        <f>AB107*AC107*AD$7</f>
        <v>-31217</v>
      </c>
      <c r="AE107" s="455">
        <v>-10000</v>
      </c>
      <c r="AF107" s="748">
        <f>$G107</f>
        <v>0.1007</v>
      </c>
      <c r="AG107" s="32">
        <f>AE107*AF107*AG$7</f>
        <v>-31217</v>
      </c>
      <c r="AH107" s="455">
        <v>-10000</v>
      </c>
      <c r="AI107" s="748">
        <f>$G107</f>
        <v>0.1007</v>
      </c>
      <c r="AJ107" s="32">
        <f>AH107*AI107*AJ$7</f>
        <v>-30210</v>
      </c>
      <c r="AK107" s="455">
        <v>0</v>
      </c>
      <c r="AL107" s="748">
        <f>$G107</f>
        <v>0.1007</v>
      </c>
      <c r="AM107" s="32">
        <f>AK107*AL107*AM$7</f>
        <v>0</v>
      </c>
      <c r="AN107" s="455">
        <v>0</v>
      </c>
      <c r="AO107" s="748">
        <f>$G107</f>
        <v>0.1007</v>
      </c>
      <c r="AP107" s="32">
        <f>AN107*AO107*AP$7</f>
        <v>0</v>
      </c>
      <c r="AQ107" s="455">
        <v>0</v>
      </c>
      <c r="AR107" s="748">
        <f>$G107</f>
        <v>0.1007</v>
      </c>
      <c r="AS107" s="32">
        <f>AQ107*AR107*AS$7</f>
        <v>0</v>
      </c>
      <c r="AT107" s="32"/>
      <c r="AV107" s="33">
        <f>AS107+AP107+AM107+AJ107+AG107+AD107+AA107+X107+U107+R107+O107+L107</f>
        <v>-545290.5</v>
      </c>
      <c r="AY107" s="958"/>
    </row>
    <row r="108" spans="1:52" x14ac:dyDescent="0.2">
      <c r="A108" s="176">
        <v>24194</v>
      </c>
      <c r="B108" s="176" t="s">
        <v>319</v>
      </c>
      <c r="C108">
        <v>2001</v>
      </c>
      <c r="D108" s="48" t="s">
        <v>303</v>
      </c>
      <c r="E108" s="177"/>
      <c r="F108" s="834">
        <v>-25000</v>
      </c>
      <c r="G108" s="178">
        <v>0.1007</v>
      </c>
      <c r="H108" s="179">
        <v>9.2999999999999992E-3</v>
      </c>
      <c r="I108" s="748">
        <f>SUM(G108:H108)</f>
        <v>0.11</v>
      </c>
      <c r="J108" s="455">
        <v>0</v>
      </c>
      <c r="K108" s="748">
        <f>$G108</f>
        <v>0.1007</v>
      </c>
      <c r="L108" s="32">
        <f>J108*K108*L$7</f>
        <v>0</v>
      </c>
      <c r="M108" s="455">
        <v>0</v>
      </c>
      <c r="N108" s="748">
        <f>$G108</f>
        <v>0.1007</v>
      </c>
      <c r="O108" s="32">
        <f>M108*N108*O$7</f>
        <v>0</v>
      </c>
      <c r="P108" s="455">
        <v>0</v>
      </c>
      <c r="Q108" s="748">
        <f>$G108</f>
        <v>0.1007</v>
      </c>
      <c r="R108" s="32">
        <f>P108*Q108*R$7</f>
        <v>0</v>
      </c>
      <c r="S108" s="455">
        <v>0</v>
      </c>
      <c r="T108" s="748">
        <f>$G108</f>
        <v>0.1007</v>
      </c>
      <c r="U108" s="32">
        <f>S108*T108*U$7</f>
        <v>0</v>
      </c>
      <c r="V108" s="455">
        <v>0</v>
      </c>
      <c r="W108" s="748">
        <f>$G108</f>
        <v>0.1007</v>
      </c>
      <c r="X108" s="32">
        <f>V108*W108*X$7</f>
        <v>0</v>
      </c>
      <c r="Y108" s="455">
        <v>0</v>
      </c>
      <c r="Z108" s="748">
        <f>$G108</f>
        <v>0.1007</v>
      </c>
      <c r="AA108" s="32">
        <f>Y108*Z108*AA$7</f>
        <v>0</v>
      </c>
      <c r="AB108" s="455">
        <v>0</v>
      </c>
      <c r="AC108" s="748">
        <f>$G108</f>
        <v>0.1007</v>
      </c>
      <c r="AD108" s="32">
        <f>AB108*AC108*AD$7</f>
        <v>0</v>
      </c>
      <c r="AE108" s="455">
        <v>0</v>
      </c>
      <c r="AF108" s="748">
        <f>$G108</f>
        <v>0.1007</v>
      </c>
      <c r="AG108" s="32">
        <f>AE108*AF108*AG$7</f>
        <v>0</v>
      </c>
      <c r="AH108" s="455">
        <v>0</v>
      </c>
      <c r="AI108" s="748">
        <f>$G108</f>
        <v>0.1007</v>
      </c>
      <c r="AJ108" s="32">
        <f>AH108*AI108*AJ$7</f>
        <v>0</v>
      </c>
      <c r="AK108" s="455">
        <v>-10000</v>
      </c>
      <c r="AL108" s="748">
        <f>$G108</f>
        <v>0.1007</v>
      </c>
      <c r="AM108" s="32">
        <f>AK108*AL108*AM$7</f>
        <v>-31217</v>
      </c>
      <c r="AN108" s="455">
        <v>-40000</v>
      </c>
      <c r="AO108" s="748">
        <f>$G108</f>
        <v>0.1007</v>
      </c>
      <c r="AP108" s="32">
        <f>AN108*AO108*AP$7</f>
        <v>-120840</v>
      </c>
      <c r="AQ108" s="455">
        <v>-40000</v>
      </c>
      <c r="AR108" s="748">
        <f>$G108</f>
        <v>0.1007</v>
      </c>
      <c r="AS108" s="32">
        <f>AQ108*AR108*AS$7</f>
        <v>-124868</v>
      </c>
      <c r="AT108" s="32"/>
      <c r="AV108" s="33">
        <f>AS108+AP108+AM108+AJ108+AG108+AD108+AA108+X108+U108+R108+O108+L108</f>
        <v>-276925</v>
      </c>
      <c r="AY108" s="958"/>
    </row>
    <row r="109" spans="1:52" x14ac:dyDescent="0.2">
      <c r="A109" s="629">
        <v>27606</v>
      </c>
      <c r="B109" t="s">
        <v>521</v>
      </c>
      <c r="C109" t="s">
        <v>450</v>
      </c>
      <c r="D109" s="745">
        <v>37165</v>
      </c>
      <c r="E109" s="745">
        <v>38990</v>
      </c>
      <c r="F109" s="824">
        <v>80000</v>
      </c>
      <c r="G109" s="748">
        <v>7.0699999999999999E-2</v>
      </c>
      <c r="H109" s="170">
        <v>9.2999999999999992E-3</v>
      </c>
      <c r="I109" s="748">
        <f>SUM(G109:H109)</f>
        <v>0.08</v>
      </c>
      <c r="J109" s="455">
        <f>$F109</f>
        <v>80000</v>
      </c>
      <c r="K109" s="748">
        <f>$G109</f>
        <v>7.0699999999999999E-2</v>
      </c>
      <c r="L109" s="32">
        <f>J109*K109*L$7</f>
        <v>175336</v>
      </c>
      <c r="M109" s="455">
        <f>$F109</f>
        <v>80000</v>
      </c>
      <c r="N109" s="748">
        <f>$G109</f>
        <v>7.0699999999999999E-2</v>
      </c>
      <c r="O109" s="32">
        <f>M109*N109*O$7</f>
        <v>158368</v>
      </c>
      <c r="P109" s="455">
        <v>35000</v>
      </c>
      <c r="Q109" s="748">
        <f>$G109</f>
        <v>7.0699999999999999E-2</v>
      </c>
      <c r="R109" s="32">
        <f>P109*Q109*R$7</f>
        <v>76709.5</v>
      </c>
      <c r="S109" s="455">
        <v>35000</v>
      </c>
      <c r="T109" s="748">
        <f>$G109</f>
        <v>7.0699999999999999E-2</v>
      </c>
      <c r="U109" s="32">
        <f>S109*T109*U$7</f>
        <v>74235</v>
      </c>
      <c r="V109" s="455">
        <v>20000</v>
      </c>
      <c r="W109" s="748">
        <f>$G109</f>
        <v>7.0699999999999999E-2</v>
      </c>
      <c r="X109" s="32">
        <f>V109*W109*X$7</f>
        <v>43834</v>
      </c>
      <c r="Y109" s="455">
        <v>20000</v>
      </c>
      <c r="Z109" s="748">
        <f>$G109</f>
        <v>7.0699999999999999E-2</v>
      </c>
      <c r="AA109" s="32">
        <f>Y109*Z109*AA$7</f>
        <v>42420</v>
      </c>
      <c r="AB109" s="455">
        <v>20000</v>
      </c>
      <c r="AC109" s="748">
        <f>$G109</f>
        <v>7.0699999999999999E-2</v>
      </c>
      <c r="AD109" s="32">
        <f>AB109*AC109*AD$7</f>
        <v>43834</v>
      </c>
      <c r="AE109" s="455">
        <v>20000</v>
      </c>
      <c r="AF109" s="748">
        <f>$G109</f>
        <v>7.0699999999999999E-2</v>
      </c>
      <c r="AG109" s="32">
        <f>AE109*AF109*AG$7</f>
        <v>43834</v>
      </c>
      <c r="AH109" s="455">
        <v>20000</v>
      </c>
      <c r="AI109" s="748">
        <f>$G109</f>
        <v>7.0699999999999999E-2</v>
      </c>
      <c r="AJ109" s="32">
        <f>AH109*AI109*AJ$7</f>
        <v>42420</v>
      </c>
      <c r="AK109" s="455">
        <v>35000</v>
      </c>
      <c r="AL109" s="748">
        <f>$G109</f>
        <v>7.0699999999999999E-2</v>
      </c>
      <c r="AM109" s="32">
        <f>AK109*AL109*AM$7</f>
        <v>76709.5</v>
      </c>
      <c r="AN109" s="455">
        <f>$F109</f>
        <v>80000</v>
      </c>
      <c r="AO109" s="748">
        <f>$G109</f>
        <v>7.0699999999999999E-2</v>
      </c>
      <c r="AP109" s="32">
        <f>AN109*AO109*AP$7</f>
        <v>169680</v>
      </c>
      <c r="AQ109" s="455">
        <f>$F109</f>
        <v>80000</v>
      </c>
      <c r="AR109" s="748">
        <f>$G109</f>
        <v>7.0699999999999999E-2</v>
      </c>
      <c r="AS109" s="32">
        <f>AQ109*AR109*AS$7</f>
        <v>175336</v>
      </c>
      <c r="AT109" s="32"/>
      <c r="AV109" s="33">
        <f>AS109+AP109+AM109+AJ109+AG109+AD109+AA109+X109+U109+R109+O109+L109</f>
        <v>1122716</v>
      </c>
      <c r="AW109" s="33">
        <f>SUM(AV107:AV109)</f>
        <v>300500.5</v>
      </c>
      <c r="AZ109" s="33">
        <f>AV109</f>
        <v>1122716</v>
      </c>
    </row>
    <row r="110" spans="1:52" x14ac:dyDescent="0.2">
      <c r="A110" s="172"/>
      <c r="B110" s="172"/>
      <c r="D110" s="5"/>
      <c r="E110" s="185"/>
      <c r="F110" s="831"/>
      <c r="G110" s="173"/>
      <c r="H110" s="174"/>
      <c r="J110" s="455"/>
      <c r="L110" s="32"/>
      <c r="M110" s="455"/>
      <c r="N110" s="748"/>
      <c r="O110" s="32"/>
      <c r="P110" s="455"/>
      <c r="Q110" s="748"/>
      <c r="R110" s="32"/>
      <c r="S110" s="455"/>
      <c r="T110" s="748"/>
      <c r="U110" s="32"/>
      <c r="V110" s="455"/>
      <c r="W110" s="748"/>
      <c r="X110" s="32"/>
      <c r="Y110" s="455"/>
      <c r="Z110" s="748"/>
      <c r="AA110" s="32"/>
      <c r="AB110" s="455"/>
      <c r="AC110" s="748"/>
      <c r="AD110" s="32"/>
      <c r="AE110" s="455"/>
      <c r="AF110" s="748"/>
      <c r="AG110" s="32"/>
      <c r="AH110" s="455"/>
      <c r="AI110" s="748"/>
      <c r="AJ110" s="32"/>
      <c r="AK110" s="455"/>
      <c r="AL110" s="748"/>
      <c r="AM110" s="32"/>
      <c r="AN110" s="455"/>
      <c r="AO110" s="748"/>
      <c r="AP110" s="32"/>
      <c r="AQ110" s="455"/>
      <c r="AR110" s="748"/>
      <c r="AS110" s="32"/>
      <c r="AT110" s="32"/>
      <c r="AV110" s="33"/>
    </row>
    <row r="111" spans="1:52" x14ac:dyDescent="0.2">
      <c r="A111" s="172">
        <v>27291</v>
      </c>
      <c r="B111" s="172" t="s">
        <v>288</v>
      </c>
      <c r="C111">
        <v>2001</v>
      </c>
      <c r="D111" s="816">
        <v>36739</v>
      </c>
      <c r="E111" s="185">
        <v>37468</v>
      </c>
      <c r="F111" s="831">
        <v>-20000</v>
      </c>
      <c r="G111" s="173">
        <v>1.0699999999999999E-2</v>
      </c>
      <c r="H111" s="174">
        <v>9.2999999999999992E-3</v>
      </c>
      <c r="I111" s="748">
        <f>SUM(G111:H111)</f>
        <v>1.9999999999999997E-2</v>
      </c>
      <c r="J111" s="455">
        <f>$F111</f>
        <v>-20000</v>
      </c>
      <c r="K111" s="748">
        <f>$G111</f>
        <v>1.0699999999999999E-2</v>
      </c>
      <c r="L111" s="32">
        <f>J111*K111*L$7</f>
        <v>-6634</v>
      </c>
      <c r="M111" s="455">
        <f>$F111</f>
        <v>-20000</v>
      </c>
      <c r="N111" s="748">
        <f>$G111</f>
        <v>1.0699999999999999E-2</v>
      </c>
      <c r="O111" s="32">
        <f>M111*N111*O$7</f>
        <v>-5992</v>
      </c>
      <c r="P111" s="455">
        <f>$F111</f>
        <v>-20000</v>
      </c>
      <c r="Q111" s="748">
        <f>$G111</f>
        <v>1.0699999999999999E-2</v>
      </c>
      <c r="R111" s="32">
        <f>P111*Q111*R$7</f>
        <v>-6634</v>
      </c>
      <c r="S111" s="455">
        <f>$F111</f>
        <v>-20000</v>
      </c>
      <c r="T111" s="748">
        <f>$G111</f>
        <v>1.0699999999999999E-2</v>
      </c>
      <c r="U111" s="32">
        <f>S111*T111*U$7</f>
        <v>-6420</v>
      </c>
      <c r="V111" s="455">
        <f>$F111</f>
        <v>-20000</v>
      </c>
      <c r="W111" s="748">
        <f>$G111</f>
        <v>1.0699999999999999E-2</v>
      </c>
      <c r="X111" s="32">
        <f>V111*W111*X$7</f>
        <v>-6634</v>
      </c>
      <c r="Y111" s="455">
        <f>$F111</f>
        <v>-20000</v>
      </c>
      <c r="Z111" s="748">
        <f>$G111</f>
        <v>1.0699999999999999E-2</v>
      </c>
      <c r="AA111" s="32">
        <f>Y111*Z111*AA$7</f>
        <v>-6420</v>
      </c>
      <c r="AB111" s="455">
        <f>$F111</f>
        <v>-20000</v>
      </c>
      <c r="AC111" s="748">
        <f>$G111</f>
        <v>1.0699999999999999E-2</v>
      </c>
      <c r="AD111" s="32">
        <f>AB111*AC111*AD$7</f>
        <v>-6634</v>
      </c>
      <c r="AE111" s="455">
        <f>$F111</f>
        <v>-20000</v>
      </c>
      <c r="AF111" s="748">
        <v>1.5699999999999999E-2</v>
      </c>
      <c r="AG111" s="32">
        <f>AE111*AF111*AG$7</f>
        <v>-9734</v>
      </c>
      <c r="AH111" s="455">
        <f>$F111</f>
        <v>-20000</v>
      </c>
      <c r="AI111" s="748">
        <v>1.5699999999999999E-2</v>
      </c>
      <c r="AJ111" s="32">
        <f>AH111*AI111*AJ$7</f>
        <v>-9420</v>
      </c>
      <c r="AK111" s="455">
        <f>$F111</f>
        <v>-20000</v>
      </c>
      <c r="AL111" s="748">
        <v>1.5699999999999999E-2</v>
      </c>
      <c r="AM111" s="32">
        <f>AK111*AL111*AM$7</f>
        <v>-9734</v>
      </c>
      <c r="AN111" s="455">
        <f>$F111</f>
        <v>-20000</v>
      </c>
      <c r="AO111" s="748">
        <v>1.5699999999999999E-2</v>
      </c>
      <c r="AP111" s="32">
        <f>AN111*AO111*AP$7</f>
        <v>-9420</v>
      </c>
      <c r="AQ111" s="455">
        <f>$F111</f>
        <v>-20000</v>
      </c>
      <c r="AR111" s="748">
        <v>1.5699999999999999E-2</v>
      </c>
      <c r="AS111" s="32">
        <f>AQ111*AR111*AS$7</f>
        <v>-9734</v>
      </c>
      <c r="AT111" s="32"/>
      <c r="AV111" s="33">
        <f>AS111+AP111+AM111+AJ111+AG111+AD111+AA111+X111+U111+R111+O111+L111</f>
        <v>-93410</v>
      </c>
    </row>
    <row r="112" spans="1:52" x14ac:dyDescent="0.2">
      <c r="A112" s="175">
        <v>27291</v>
      </c>
      <c r="B112" s="956" t="s">
        <v>288</v>
      </c>
      <c r="D112" s="489">
        <v>36739</v>
      </c>
      <c r="E112" s="181">
        <v>37468</v>
      </c>
      <c r="F112" s="840">
        <v>20000</v>
      </c>
      <c r="G112" s="748">
        <v>1.5699999999999999E-2</v>
      </c>
      <c r="H112" s="748">
        <v>9.2999999999999992E-3</v>
      </c>
      <c r="I112" s="748">
        <f>SUM(G112:H112)</f>
        <v>2.4999999999999998E-2</v>
      </c>
      <c r="J112" s="455">
        <f>$F112</f>
        <v>20000</v>
      </c>
      <c r="K112" s="748">
        <f>$G112</f>
        <v>1.5699999999999999E-2</v>
      </c>
      <c r="L112" s="32">
        <f>J112*K112*L$7</f>
        <v>9734</v>
      </c>
      <c r="M112" s="455">
        <f>$F112</f>
        <v>20000</v>
      </c>
      <c r="N112" s="748">
        <f>$G112</f>
        <v>1.5699999999999999E-2</v>
      </c>
      <c r="O112" s="32">
        <f>M112*N112*O$7</f>
        <v>8792</v>
      </c>
      <c r="P112" s="455">
        <f>$F112</f>
        <v>20000</v>
      </c>
      <c r="Q112" s="748">
        <f>$G112</f>
        <v>1.5699999999999999E-2</v>
      </c>
      <c r="R112" s="32">
        <f>P112*Q112*R$7</f>
        <v>9734</v>
      </c>
      <c r="S112" s="455">
        <f>$F112</f>
        <v>20000</v>
      </c>
      <c r="T112" s="748">
        <f>$G112</f>
        <v>1.5699999999999999E-2</v>
      </c>
      <c r="U112" s="32">
        <f>S112*T112*U$7</f>
        <v>9420</v>
      </c>
      <c r="V112" s="455">
        <f>$F112</f>
        <v>20000</v>
      </c>
      <c r="W112" s="748">
        <f>$G112</f>
        <v>1.5699999999999999E-2</v>
      </c>
      <c r="X112" s="32">
        <f>V112*W112*X$7</f>
        <v>9734</v>
      </c>
      <c r="Y112" s="455">
        <f>$F112</f>
        <v>20000</v>
      </c>
      <c r="Z112" s="748">
        <f>$G112</f>
        <v>1.5699999999999999E-2</v>
      </c>
      <c r="AA112" s="32">
        <f>Y112*Z112*AA$7</f>
        <v>9420</v>
      </c>
      <c r="AB112" s="455">
        <f>$F112</f>
        <v>20000</v>
      </c>
      <c r="AC112" s="748">
        <f>$G112</f>
        <v>1.5699999999999999E-2</v>
      </c>
      <c r="AD112" s="32">
        <f>AB112*AC112*AD$7</f>
        <v>9734</v>
      </c>
      <c r="AE112" s="455">
        <f>$F112</f>
        <v>20000</v>
      </c>
      <c r="AF112" s="748">
        <v>1.0699999999999999E-2</v>
      </c>
      <c r="AG112" s="32">
        <f>AE112*AF112*AG$7</f>
        <v>6634</v>
      </c>
      <c r="AH112" s="455">
        <f>$F112</f>
        <v>20000</v>
      </c>
      <c r="AI112" s="748">
        <v>1.0699999999999999E-2</v>
      </c>
      <c r="AJ112" s="32">
        <f>AH112*AI112*AJ$7</f>
        <v>6420</v>
      </c>
      <c r="AK112" s="455">
        <f>$F112</f>
        <v>20000</v>
      </c>
      <c r="AL112" s="748">
        <v>1.0699999999999999E-2</v>
      </c>
      <c r="AM112" s="32">
        <f>AK112*AL112*AM$7</f>
        <v>6634</v>
      </c>
      <c r="AN112" s="455">
        <f>$F112</f>
        <v>20000</v>
      </c>
      <c r="AO112" s="748">
        <v>1.0699999999999999E-2</v>
      </c>
      <c r="AP112" s="32">
        <f>AN112*AO112*AP$7</f>
        <v>6420</v>
      </c>
      <c r="AQ112" s="455">
        <f>$F112</f>
        <v>20000</v>
      </c>
      <c r="AR112" s="748">
        <v>1.0699999999999999E-2</v>
      </c>
      <c r="AS112" s="32">
        <f>AQ112*AR112*AS$7</f>
        <v>6634</v>
      </c>
      <c r="AT112" s="32"/>
      <c r="AV112" s="33">
        <f>AS112+AP112+AM112+AJ112+AG112+AD112+AA112+X112+U112+R112+O112+L112</f>
        <v>99310</v>
      </c>
      <c r="AW112" s="33">
        <f>SUM(AV111:AV112)</f>
        <v>5900</v>
      </c>
      <c r="AZ112" s="33">
        <f>AV112</f>
        <v>99310</v>
      </c>
    </row>
    <row r="113" spans="1:52" x14ac:dyDescent="0.2">
      <c r="A113" s="172"/>
      <c r="B113" s="172"/>
      <c r="D113" s="816"/>
      <c r="E113" s="185"/>
      <c r="F113" s="831"/>
      <c r="G113" s="173"/>
      <c r="H113" s="174"/>
      <c r="J113" s="455"/>
      <c r="L113" s="32"/>
      <c r="M113" s="455"/>
      <c r="N113" s="748"/>
      <c r="O113" s="32"/>
      <c r="P113" s="455"/>
      <c r="Q113" s="748"/>
      <c r="R113" s="32"/>
      <c r="S113" s="455"/>
      <c r="T113" s="748"/>
      <c r="U113" s="32"/>
      <c r="V113" s="455"/>
      <c r="W113" s="748"/>
      <c r="X113" s="32"/>
      <c r="Y113" s="455"/>
      <c r="Z113" s="748"/>
      <c r="AA113" s="32"/>
      <c r="AB113" s="455"/>
      <c r="AC113" s="748"/>
      <c r="AD113" s="32"/>
      <c r="AE113" s="455"/>
      <c r="AF113" s="748"/>
      <c r="AG113" s="32"/>
      <c r="AH113" s="455"/>
      <c r="AI113" s="748"/>
      <c r="AJ113" s="32"/>
      <c r="AK113" s="455"/>
      <c r="AL113" s="748"/>
      <c r="AM113" s="32"/>
      <c r="AN113" s="455"/>
      <c r="AO113" s="748"/>
      <c r="AP113" s="32"/>
      <c r="AQ113" s="455"/>
      <c r="AR113" s="748"/>
      <c r="AS113" s="32"/>
      <c r="AT113" s="32"/>
      <c r="AV113" s="33"/>
    </row>
    <row r="114" spans="1:52" x14ac:dyDescent="0.2">
      <c r="A114" s="172" t="s">
        <v>310</v>
      </c>
      <c r="B114" s="172" t="s">
        <v>311</v>
      </c>
      <c r="C114">
        <v>2001</v>
      </c>
      <c r="D114" s="5"/>
      <c r="E114" s="185">
        <v>37376</v>
      </c>
      <c r="F114" s="831">
        <v>-35700</v>
      </c>
      <c r="G114" s="173">
        <v>9.5699999999999993E-2</v>
      </c>
      <c r="H114" s="174">
        <v>9.2999999999999992E-3</v>
      </c>
      <c r="I114" s="748">
        <f>SUM(G114:H114)</f>
        <v>0.105</v>
      </c>
      <c r="J114" s="455">
        <f>$F114</f>
        <v>-35700</v>
      </c>
      <c r="K114" s="748">
        <f>$G114</f>
        <v>9.5699999999999993E-2</v>
      </c>
      <c r="L114" s="32">
        <f>J114*K114*L$7</f>
        <v>-105911.18999999999</v>
      </c>
      <c r="M114" s="455">
        <f>$F114</f>
        <v>-35700</v>
      </c>
      <c r="N114" s="748">
        <f>$G114</f>
        <v>9.5699999999999993E-2</v>
      </c>
      <c r="O114" s="32">
        <f>M114*N114*O$7</f>
        <v>-95661.72</v>
      </c>
      <c r="P114" s="455">
        <f>$F114</f>
        <v>-35700</v>
      </c>
      <c r="Q114" s="748">
        <f>$G114</f>
        <v>9.5699999999999993E-2</v>
      </c>
      <c r="R114" s="32">
        <f>P114*Q114*R$7</f>
        <v>-105911.18999999999</v>
      </c>
      <c r="S114" s="455">
        <f>$F114</f>
        <v>-35700</v>
      </c>
      <c r="T114" s="748">
        <f>$G114</f>
        <v>9.5699999999999993E-2</v>
      </c>
      <c r="U114" s="32">
        <f>S114*T114*U$7</f>
        <v>-102494.7</v>
      </c>
      <c r="V114" s="455">
        <f>$F114</f>
        <v>-35700</v>
      </c>
      <c r="W114" s="748">
        <f>$G114</f>
        <v>9.5699999999999993E-2</v>
      </c>
      <c r="X114" s="32">
        <f>V114*W114*X$7</f>
        <v>-105911.18999999999</v>
      </c>
      <c r="Y114" s="455">
        <f>$F114</f>
        <v>-35700</v>
      </c>
      <c r="Z114" s="748">
        <f>$G114</f>
        <v>9.5699999999999993E-2</v>
      </c>
      <c r="AA114" s="32">
        <f>Y114*Z114*AA$7</f>
        <v>-102494.7</v>
      </c>
      <c r="AB114" s="455">
        <v>0</v>
      </c>
      <c r="AC114" s="748">
        <f>$G114</f>
        <v>9.5699999999999993E-2</v>
      </c>
      <c r="AD114" s="32">
        <f>AB114*AC114*AD$7</f>
        <v>0</v>
      </c>
      <c r="AE114" s="455">
        <v>0</v>
      </c>
      <c r="AF114" s="748">
        <f>$G114</f>
        <v>9.5699999999999993E-2</v>
      </c>
      <c r="AG114" s="32">
        <f>AE114*AF114*AG$7</f>
        <v>0</v>
      </c>
      <c r="AH114" s="455">
        <v>0</v>
      </c>
      <c r="AI114" s="748">
        <f>$G114</f>
        <v>9.5699999999999993E-2</v>
      </c>
      <c r="AJ114" s="32">
        <f>AH114*AI114*AJ$7</f>
        <v>0</v>
      </c>
      <c r="AK114" s="455">
        <f>$F114</f>
        <v>-35700</v>
      </c>
      <c r="AL114" s="748">
        <f>$G114</f>
        <v>9.5699999999999993E-2</v>
      </c>
      <c r="AM114" s="32">
        <f>AK114*AL114*AM$7</f>
        <v>-105911.18999999999</v>
      </c>
      <c r="AN114" s="455">
        <f>$F114</f>
        <v>-35700</v>
      </c>
      <c r="AO114" s="748">
        <f>$G114</f>
        <v>9.5699999999999993E-2</v>
      </c>
      <c r="AP114" s="32">
        <f>AN114*AO114*AP$7</f>
        <v>-102494.7</v>
      </c>
      <c r="AQ114" s="455">
        <f>$F114</f>
        <v>-35700</v>
      </c>
      <c r="AR114" s="748">
        <f>$G114</f>
        <v>9.5699999999999993E-2</v>
      </c>
      <c r="AS114" s="32">
        <f>AQ114*AR114*AS$7</f>
        <v>-105911.18999999999</v>
      </c>
      <c r="AT114" s="32"/>
      <c r="AV114" s="959">
        <f>AS114+AP114+AM114+AJ114+AG114+AD114+AA114+X114+U114+R114+O114+L114</f>
        <v>-932701.76999999979</v>
      </c>
      <c r="AY114" t="s">
        <v>748</v>
      </c>
    </row>
    <row r="115" spans="1:52" x14ac:dyDescent="0.2">
      <c r="A115" s="963" t="s">
        <v>310</v>
      </c>
      <c r="B115" s="963" t="s">
        <v>311</v>
      </c>
      <c r="C115" s="948">
        <v>2002</v>
      </c>
      <c r="D115" s="949">
        <v>34851</v>
      </c>
      <c r="E115" s="949">
        <v>37407</v>
      </c>
      <c r="F115" s="950">
        <v>35714</v>
      </c>
      <c r="G115" s="951">
        <v>9.4700000000000006E-2</v>
      </c>
      <c r="H115" s="952">
        <v>9.2999999999999992E-3</v>
      </c>
      <c r="I115" s="951">
        <f>SUM(G115:H115)</f>
        <v>0.10400000000000001</v>
      </c>
      <c r="J115" s="953">
        <v>0</v>
      </c>
      <c r="K115" s="951">
        <f>$G115</f>
        <v>9.4700000000000006E-2</v>
      </c>
      <c r="L115" s="954">
        <f>J115*K115*L$7</f>
        <v>0</v>
      </c>
      <c r="M115" s="953">
        <v>0</v>
      </c>
      <c r="N115" s="951">
        <f>$G115</f>
        <v>9.4700000000000006E-2</v>
      </c>
      <c r="O115" s="954">
        <f>M115*N115*O$7</f>
        <v>0</v>
      </c>
      <c r="P115" s="953">
        <v>0</v>
      </c>
      <c r="Q115" s="951">
        <f>$G115</f>
        <v>9.4700000000000006E-2</v>
      </c>
      <c r="R115" s="954">
        <f>P115*Q115*R$7</f>
        <v>0</v>
      </c>
      <c r="S115" s="953">
        <v>0</v>
      </c>
      <c r="T115" s="951">
        <f>$G115</f>
        <v>9.4700000000000006E-2</v>
      </c>
      <c r="U115" s="954">
        <f>S115*T115*U$7</f>
        <v>0</v>
      </c>
      <c r="V115" s="953">
        <v>0</v>
      </c>
      <c r="W115" s="951">
        <f>$G115</f>
        <v>9.4700000000000006E-2</v>
      </c>
      <c r="X115" s="954">
        <f>V115*W115*X$7</f>
        <v>0</v>
      </c>
      <c r="Y115" s="953">
        <f>$F115</f>
        <v>35714</v>
      </c>
      <c r="Z115" s="951">
        <f>$G115</f>
        <v>9.4700000000000006E-2</v>
      </c>
      <c r="AA115" s="954">
        <f>Y115*Z115*AA$7</f>
        <v>101463.474</v>
      </c>
      <c r="AB115" s="953">
        <f>$F115</f>
        <v>35714</v>
      </c>
      <c r="AC115" s="951">
        <f>$G115</f>
        <v>9.4700000000000006E-2</v>
      </c>
      <c r="AD115" s="954">
        <f>AB115*AC115*AD$7</f>
        <v>104845.5898</v>
      </c>
      <c r="AE115" s="953">
        <f>$F115</f>
        <v>35714</v>
      </c>
      <c r="AF115" s="951">
        <f>$G115</f>
        <v>9.4700000000000006E-2</v>
      </c>
      <c r="AG115" s="954">
        <f>AE115*AF115*AG$7</f>
        <v>104845.5898</v>
      </c>
      <c r="AH115" s="953">
        <f>$F115</f>
        <v>35714</v>
      </c>
      <c r="AI115" s="951">
        <f>$G115</f>
        <v>9.4700000000000006E-2</v>
      </c>
      <c r="AJ115" s="954">
        <f>AH115*AI115*AJ$7</f>
        <v>101463.474</v>
      </c>
      <c r="AK115" s="953">
        <f>$F115</f>
        <v>35714</v>
      </c>
      <c r="AL115" s="951">
        <f>$G115</f>
        <v>9.4700000000000006E-2</v>
      </c>
      <c r="AM115" s="954">
        <f>AK115*AL115*AM$7</f>
        <v>104845.5898</v>
      </c>
      <c r="AN115" s="953">
        <f>$F115</f>
        <v>35714</v>
      </c>
      <c r="AO115" s="951">
        <f>$G115</f>
        <v>9.4700000000000006E-2</v>
      </c>
      <c r="AP115" s="954">
        <f>AN115*AO115*AP$7</f>
        <v>101463.474</v>
      </c>
      <c r="AQ115" s="953">
        <v>0</v>
      </c>
      <c r="AR115" s="951">
        <v>4.07E-2</v>
      </c>
      <c r="AS115" s="954">
        <f>AQ115*AR115*AS$7</f>
        <v>0</v>
      </c>
      <c r="AT115" s="954"/>
      <c r="AU115" s="948"/>
      <c r="AV115" s="948"/>
      <c r="AW115" s="964"/>
      <c r="AX115" s="948"/>
      <c r="AY115" s="965">
        <f>AS115+AP115+AM115+AJ115+AG115+AD115+AA115+X115+U115+R115+O115+L115</f>
        <v>618927.19140000001</v>
      </c>
      <c r="AZ115" s="965">
        <f>AY115</f>
        <v>618927.19140000001</v>
      </c>
    </row>
    <row r="116" spans="1:52" x14ac:dyDescent="0.2">
      <c r="A116" s="172" t="s">
        <v>310</v>
      </c>
      <c r="B116" s="955" t="s">
        <v>311</v>
      </c>
      <c r="C116">
        <v>2002</v>
      </c>
      <c r="D116" s="185">
        <v>34851</v>
      </c>
      <c r="E116" s="185">
        <v>37407</v>
      </c>
      <c r="F116" s="836">
        <v>35714</v>
      </c>
      <c r="G116" s="748">
        <v>9.4700000000000006E-2</v>
      </c>
      <c r="H116" s="170">
        <v>9.2999999999999992E-3</v>
      </c>
      <c r="I116" s="748">
        <f>SUM(G116:H116)</f>
        <v>0.10400000000000001</v>
      </c>
      <c r="J116" s="455">
        <f>$F116</f>
        <v>35714</v>
      </c>
      <c r="K116" s="748">
        <f>$G116</f>
        <v>9.4700000000000006E-2</v>
      </c>
      <c r="L116" s="32">
        <f>J116*K116*L$7</f>
        <v>104845.5898</v>
      </c>
      <c r="M116" s="455">
        <f>$F116</f>
        <v>35714</v>
      </c>
      <c r="N116" s="748">
        <f>$G116</f>
        <v>9.4700000000000006E-2</v>
      </c>
      <c r="O116" s="32">
        <f>M116*N116*O$7</f>
        <v>94699.242400000003</v>
      </c>
      <c r="P116" s="455">
        <f>$F116</f>
        <v>35714</v>
      </c>
      <c r="Q116" s="748">
        <f>$G116</f>
        <v>9.4700000000000006E-2</v>
      </c>
      <c r="R116" s="32">
        <f>P116*Q116*R$7</f>
        <v>104845.5898</v>
      </c>
      <c r="S116" s="455">
        <f>$F116</f>
        <v>35714</v>
      </c>
      <c r="T116" s="748">
        <f>$G116</f>
        <v>9.4700000000000006E-2</v>
      </c>
      <c r="U116" s="32">
        <f>S116*T116*U$7</f>
        <v>101463.474</v>
      </c>
      <c r="V116" s="455">
        <f>$F116</f>
        <v>35714</v>
      </c>
      <c r="W116" s="748">
        <f>$G116</f>
        <v>9.4700000000000006E-2</v>
      </c>
      <c r="X116" s="32">
        <f>V116*W116*X$7</f>
        <v>104845.5898</v>
      </c>
      <c r="Y116" s="455">
        <f>$F116</f>
        <v>35714</v>
      </c>
      <c r="Z116" s="748">
        <v>4.07E-2</v>
      </c>
      <c r="AA116" s="32">
        <f>Y116*Z116*AA$7</f>
        <v>43606.794000000002</v>
      </c>
      <c r="AB116" s="455">
        <f>$F116</f>
        <v>35714</v>
      </c>
      <c r="AC116" s="748">
        <v>4.07E-2</v>
      </c>
      <c r="AD116" s="32">
        <f>AB116*AC116*AD$7</f>
        <v>45060.353799999997</v>
      </c>
      <c r="AE116" s="455">
        <f>$F116</f>
        <v>35714</v>
      </c>
      <c r="AF116" s="748">
        <v>4.07E-2</v>
      </c>
      <c r="AG116" s="32">
        <f>AE116*AF116*AG$7</f>
        <v>45060.353799999997</v>
      </c>
      <c r="AH116" s="455">
        <f>$F116</f>
        <v>35714</v>
      </c>
      <c r="AI116" s="748">
        <v>4.07E-2</v>
      </c>
      <c r="AJ116" s="32">
        <f>AH116*AI116*AJ$7</f>
        <v>43606.794000000002</v>
      </c>
      <c r="AK116" s="455">
        <f>$F116</f>
        <v>35714</v>
      </c>
      <c r="AL116" s="748">
        <v>4.07E-2</v>
      </c>
      <c r="AM116" s="32">
        <f>AK116*AL116*AM$7</f>
        <v>45060.353799999997</v>
      </c>
      <c r="AN116" s="455">
        <f>$F116</f>
        <v>35714</v>
      </c>
      <c r="AO116" s="748">
        <v>4.07E-2</v>
      </c>
      <c r="AP116" s="32">
        <f>AN116*AO116*AP$7</f>
        <v>43606.794000000002</v>
      </c>
      <c r="AQ116" s="455">
        <f>$F116</f>
        <v>35714</v>
      </c>
      <c r="AR116" s="748">
        <v>4.07E-2</v>
      </c>
      <c r="AS116" s="32">
        <f>AQ116*AR116*AS$7</f>
        <v>45060.353799999997</v>
      </c>
      <c r="AT116" s="32"/>
      <c r="AV116" s="959">
        <f>AS116+AP116+AM116+AJ116+AG116+AD116+AA116+X116+U116+R116+O116+L116</f>
        <v>821761.28299999994</v>
      </c>
      <c r="AW116" s="959">
        <f>AV114+AV116</f>
        <v>-110940.48699999985</v>
      </c>
      <c r="AZ116" s="33">
        <f>AV116</f>
        <v>821761.28299999994</v>
      </c>
    </row>
    <row r="117" spans="1:52" x14ac:dyDescent="0.2">
      <c r="A117" s="172"/>
      <c r="B117" s="172"/>
      <c r="D117" s="5"/>
      <c r="E117" s="185"/>
      <c r="F117" s="831"/>
      <c r="G117" s="173"/>
      <c r="H117" s="174"/>
      <c r="J117" s="455"/>
      <c r="L117" s="32"/>
      <c r="M117" s="455"/>
      <c r="N117" s="748"/>
      <c r="O117" s="32"/>
      <c r="P117" s="455"/>
      <c r="Q117" s="748"/>
      <c r="R117" s="32"/>
      <c r="S117" s="455"/>
      <c r="T117" s="748"/>
      <c r="U117" s="32"/>
      <c r="V117" s="455"/>
      <c r="W117" s="748"/>
      <c r="X117" s="32"/>
      <c r="Y117" s="455"/>
      <c r="Z117" s="748"/>
      <c r="AA117" s="32"/>
      <c r="AB117" s="455"/>
      <c r="AC117" s="748"/>
      <c r="AD117" s="32"/>
      <c r="AE117" s="455"/>
      <c r="AF117" s="748"/>
      <c r="AG117" s="32"/>
      <c r="AH117" s="455"/>
      <c r="AI117" s="748"/>
      <c r="AJ117" s="32"/>
      <c r="AK117" s="455"/>
      <c r="AL117" s="748"/>
      <c r="AM117" s="32"/>
      <c r="AN117" s="455"/>
      <c r="AO117" s="748"/>
      <c r="AP117" s="32"/>
      <c r="AQ117" s="455"/>
      <c r="AR117" s="748"/>
      <c r="AS117" s="32"/>
      <c r="AT117" s="32"/>
      <c r="AV117" s="33"/>
    </row>
    <row r="118" spans="1:52" x14ac:dyDescent="0.2">
      <c r="A118" s="175">
        <v>24690</v>
      </c>
      <c r="B118" s="175" t="s">
        <v>312</v>
      </c>
      <c r="C118">
        <v>2001</v>
      </c>
      <c r="D118" s="5"/>
      <c r="E118" s="181">
        <v>36981</v>
      </c>
      <c r="F118" s="832">
        <v>-15000</v>
      </c>
      <c r="G118" s="170">
        <v>6.0699999999999997E-2</v>
      </c>
      <c r="H118" s="170">
        <v>9.2999999999999992E-3</v>
      </c>
      <c r="I118" s="748">
        <f>SUM(G118:H118)</f>
        <v>6.9999999999999993E-2</v>
      </c>
      <c r="J118" s="455">
        <f>$F118</f>
        <v>-15000</v>
      </c>
      <c r="K118" s="748">
        <f>$G118</f>
        <v>6.0699999999999997E-2</v>
      </c>
      <c r="L118" s="32">
        <f>J118*K118*L$7</f>
        <v>-28225.5</v>
      </c>
      <c r="M118" s="455">
        <f>$F118</f>
        <v>-15000</v>
      </c>
      <c r="N118" s="748">
        <f>$G118</f>
        <v>6.0699999999999997E-2</v>
      </c>
      <c r="O118" s="32">
        <f>M118*N118*O$7</f>
        <v>-25494</v>
      </c>
      <c r="P118" s="455">
        <f>$F118</f>
        <v>-15000</v>
      </c>
      <c r="Q118" s="748">
        <f>$G118</f>
        <v>6.0699999999999997E-2</v>
      </c>
      <c r="R118" s="32">
        <f>P118*Q118*R$7</f>
        <v>-28225.5</v>
      </c>
      <c r="S118" s="455">
        <v>0</v>
      </c>
      <c r="T118" s="748">
        <f>$G118</f>
        <v>6.0699999999999997E-2</v>
      </c>
      <c r="U118" s="32">
        <f>S118*T118*U$7</f>
        <v>0</v>
      </c>
      <c r="V118" s="455">
        <v>0</v>
      </c>
      <c r="W118" s="748">
        <f>$G118</f>
        <v>6.0699999999999997E-2</v>
      </c>
      <c r="X118" s="32">
        <f>V118*W118*X$7</f>
        <v>0</v>
      </c>
      <c r="Y118" s="455">
        <v>0</v>
      </c>
      <c r="Z118" s="748">
        <f>$G118</f>
        <v>6.0699999999999997E-2</v>
      </c>
      <c r="AA118" s="32">
        <f>Y118*Z118*AA$7</f>
        <v>0</v>
      </c>
      <c r="AB118" s="455">
        <v>0</v>
      </c>
      <c r="AC118" s="748">
        <f>$G118</f>
        <v>6.0699999999999997E-2</v>
      </c>
      <c r="AD118" s="32">
        <f>AB118*AC118*AD$7</f>
        <v>0</v>
      </c>
      <c r="AE118" s="455">
        <v>0</v>
      </c>
      <c r="AF118" s="748">
        <f>$G118</f>
        <v>6.0699999999999997E-2</v>
      </c>
      <c r="AG118" s="32">
        <f>AE118*AF118*AG$7</f>
        <v>0</v>
      </c>
      <c r="AH118" s="455">
        <v>0</v>
      </c>
      <c r="AI118" s="748">
        <f>$G118</f>
        <v>6.0699999999999997E-2</v>
      </c>
      <c r="AJ118" s="32">
        <f>AH118*AI118*AJ$7</f>
        <v>0</v>
      </c>
      <c r="AK118" s="455">
        <v>0</v>
      </c>
      <c r="AL118" s="748">
        <f>$G118</f>
        <v>6.0699999999999997E-2</v>
      </c>
      <c r="AM118" s="32">
        <f>AK118*AL118*AM$7</f>
        <v>0</v>
      </c>
      <c r="AN118" s="455">
        <v>0</v>
      </c>
      <c r="AO118" s="748">
        <f>$G118</f>
        <v>6.0699999999999997E-2</v>
      </c>
      <c r="AP118" s="32">
        <f>AN118*AO118*AP$7</f>
        <v>0</v>
      </c>
      <c r="AQ118" s="455">
        <v>0</v>
      </c>
      <c r="AR118" s="748">
        <f>$G118</f>
        <v>6.0699999999999997E-2</v>
      </c>
      <c r="AS118" s="32">
        <f>AQ118*AR118*AS$7</f>
        <v>0</v>
      </c>
      <c r="AT118" s="32"/>
      <c r="AV118" s="33">
        <f>AS118+AP118+AM118+AJ118+AG118+AD118+AA118+X118+U118+R118+O118+L118</f>
        <v>-81945</v>
      </c>
      <c r="AW118" s="966">
        <f>AV118</f>
        <v>-81945</v>
      </c>
    </row>
    <row r="119" spans="1:52" x14ac:dyDescent="0.2">
      <c r="A119" s="175"/>
      <c r="B119" s="175"/>
      <c r="D119" s="5"/>
      <c r="E119" s="181"/>
      <c r="F119" s="832"/>
      <c r="G119" s="170"/>
      <c r="H119" s="170"/>
      <c r="J119" s="455"/>
      <c r="L119" s="32"/>
      <c r="M119" s="455"/>
      <c r="N119" s="748"/>
      <c r="O119" s="32"/>
      <c r="P119" s="455"/>
      <c r="Q119" s="748"/>
      <c r="R119" s="32"/>
      <c r="S119" s="455"/>
      <c r="T119" s="748"/>
      <c r="U119" s="32"/>
      <c r="V119" s="455"/>
      <c r="W119" s="748"/>
      <c r="X119" s="32"/>
      <c r="Y119" s="455"/>
      <c r="Z119" s="748"/>
      <c r="AA119" s="32"/>
      <c r="AB119" s="455"/>
      <c r="AC119" s="748"/>
      <c r="AD119" s="32"/>
      <c r="AE119" s="455"/>
      <c r="AF119" s="748"/>
      <c r="AG119" s="32"/>
      <c r="AH119" s="455"/>
      <c r="AI119" s="748"/>
      <c r="AJ119" s="32"/>
      <c r="AK119" s="455"/>
      <c r="AL119" s="748"/>
      <c r="AM119" s="32"/>
      <c r="AN119" s="455"/>
      <c r="AO119" s="748"/>
      <c r="AP119" s="32"/>
      <c r="AQ119" s="455"/>
      <c r="AR119" s="748"/>
      <c r="AS119" s="32"/>
      <c r="AT119" s="32"/>
      <c r="AV119" s="33"/>
    </row>
    <row r="120" spans="1:52" x14ac:dyDescent="0.2">
      <c r="A120" s="175">
        <v>26740</v>
      </c>
      <c r="B120" s="175" t="s">
        <v>302</v>
      </c>
      <c r="C120">
        <v>2001</v>
      </c>
      <c r="D120" s="5"/>
      <c r="E120" s="489">
        <v>39113</v>
      </c>
      <c r="F120" s="832">
        <v>-8000</v>
      </c>
      <c r="G120" s="170">
        <v>4.07E-2</v>
      </c>
      <c r="H120" s="170">
        <v>9.2999999999999992E-3</v>
      </c>
      <c r="I120" s="748">
        <f>SUM(G120:H120)</f>
        <v>0.05</v>
      </c>
      <c r="J120" s="455">
        <f>$F120</f>
        <v>-8000</v>
      </c>
      <c r="K120" s="748">
        <f>$G120</f>
        <v>4.07E-2</v>
      </c>
      <c r="L120" s="32">
        <f>J120*K120*L$7</f>
        <v>-10093.6</v>
      </c>
      <c r="M120" s="455">
        <f>$F120</f>
        <v>-8000</v>
      </c>
      <c r="N120" s="748">
        <f>$G120</f>
        <v>4.07E-2</v>
      </c>
      <c r="O120" s="32">
        <f>M120*N120*O$7</f>
        <v>-9116.8000000000011</v>
      </c>
      <c r="P120" s="455">
        <f>$F120</f>
        <v>-8000</v>
      </c>
      <c r="Q120" s="748">
        <f>$G120</f>
        <v>4.07E-2</v>
      </c>
      <c r="R120" s="32">
        <f>P120*Q120*R$7</f>
        <v>-10093.6</v>
      </c>
      <c r="S120" s="455">
        <f>$F120</f>
        <v>-8000</v>
      </c>
      <c r="T120" s="748">
        <f>$G120</f>
        <v>4.07E-2</v>
      </c>
      <c r="U120" s="32">
        <f>S120*T120*U$7</f>
        <v>-9768</v>
      </c>
      <c r="V120" s="455">
        <f>$F120</f>
        <v>-8000</v>
      </c>
      <c r="W120" s="748">
        <f>$G120</f>
        <v>4.07E-2</v>
      </c>
      <c r="X120" s="32">
        <f>V120*W120*X$7</f>
        <v>-10093.6</v>
      </c>
      <c r="Y120" s="455">
        <f>$F120</f>
        <v>-8000</v>
      </c>
      <c r="Z120" s="748">
        <f>$G120</f>
        <v>4.07E-2</v>
      </c>
      <c r="AA120" s="32">
        <f>Y120*Z120*AA$7</f>
        <v>-9768</v>
      </c>
      <c r="AB120" s="455">
        <f>$F120</f>
        <v>-8000</v>
      </c>
      <c r="AC120" s="748">
        <f>$G120</f>
        <v>4.07E-2</v>
      </c>
      <c r="AD120" s="32">
        <f>AB120*AC120*AD$7</f>
        <v>-10093.6</v>
      </c>
      <c r="AE120" s="455">
        <f>$F120</f>
        <v>-8000</v>
      </c>
      <c r="AF120" s="748">
        <f>$G120</f>
        <v>4.07E-2</v>
      </c>
      <c r="AG120" s="32">
        <f>AE120*AF120*AG$7</f>
        <v>-10093.6</v>
      </c>
      <c r="AH120" s="455">
        <f>$F120</f>
        <v>-8000</v>
      </c>
      <c r="AI120" s="748">
        <f>$G120</f>
        <v>4.07E-2</v>
      </c>
      <c r="AJ120" s="32">
        <f>AH120*AI120*AJ$7</f>
        <v>-9768</v>
      </c>
      <c r="AK120" s="455">
        <f>$F120</f>
        <v>-8000</v>
      </c>
      <c r="AL120" s="748">
        <f>$G120</f>
        <v>4.07E-2</v>
      </c>
      <c r="AM120" s="32">
        <f>AK120*AL120*AM$7</f>
        <v>-10093.6</v>
      </c>
      <c r="AN120" s="455">
        <f>$F120</f>
        <v>-8000</v>
      </c>
      <c r="AO120" s="748">
        <f>$G120</f>
        <v>4.07E-2</v>
      </c>
      <c r="AP120" s="32">
        <f>AN120*AO120*AP$7</f>
        <v>-9768</v>
      </c>
      <c r="AQ120" s="455">
        <f>$F120</f>
        <v>-8000</v>
      </c>
      <c r="AR120" s="748">
        <f>$G120</f>
        <v>4.07E-2</v>
      </c>
      <c r="AS120" s="32">
        <f>AQ120*AR120*AS$7</f>
        <v>-10093.6</v>
      </c>
      <c r="AT120" s="32"/>
      <c r="AV120" s="33">
        <f>AS120+AP120+AM120+AJ120+AG120+AD120+AA120+X120+U120+R120+O120+L120</f>
        <v>-118844.00000000001</v>
      </c>
    </row>
    <row r="121" spans="1:52" x14ac:dyDescent="0.2">
      <c r="A121" s="504">
        <v>26740</v>
      </c>
      <c r="B121" s="956" t="s">
        <v>302</v>
      </c>
      <c r="C121">
        <v>2002</v>
      </c>
      <c r="D121" s="489">
        <v>36312</v>
      </c>
      <c r="E121" s="489">
        <v>39113</v>
      </c>
      <c r="F121" s="837">
        <v>8000</v>
      </c>
      <c r="G121" s="748">
        <v>4.07E-2</v>
      </c>
      <c r="H121" s="170">
        <v>9.2999999999999992E-3</v>
      </c>
      <c r="I121" s="748">
        <f>SUM(G121:H121)</f>
        <v>0.05</v>
      </c>
      <c r="J121" s="455">
        <f>$F121</f>
        <v>8000</v>
      </c>
      <c r="K121" s="748">
        <f>$G121</f>
        <v>4.07E-2</v>
      </c>
      <c r="L121" s="32">
        <f>J121*K121*L$7</f>
        <v>10093.6</v>
      </c>
      <c r="M121" s="455">
        <f>$F121</f>
        <v>8000</v>
      </c>
      <c r="N121" s="748">
        <f>$G121</f>
        <v>4.07E-2</v>
      </c>
      <c r="O121" s="32">
        <f>M121*N121*O$7</f>
        <v>9116.8000000000011</v>
      </c>
      <c r="P121" s="455">
        <f>$F121</f>
        <v>8000</v>
      </c>
      <c r="Q121" s="748">
        <f>$G121</f>
        <v>4.07E-2</v>
      </c>
      <c r="R121" s="32">
        <f>P121*Q121*R$7</f>
        <v>10093.6</v>
      </c>
      <c r="S121" s="455">
        <f>$F121</f>
        <v>8000</v>
      </c>
      <c r="T121" s="748">
        <f>$G121</f>
        <v>4.07E-2</v>
      </c>
      <c r="U121" s="32">
        <f>S121*T121*U$7</f>
        <v>9768</v>
      </c>
      <c r="V121" s="455">
        <f>$F121</f>
        <v>8000</v>
      </c>
      <c r="W121" s="748">
        <f>$G121</f>
        <v>4.07E-2</v>
      </c>
      <c r="X121" s="32">
        <f>V121*W121*X$7</f>
        <v>10093.6</v>
      </c>
      <c r="Y121" s="455">
        <f>$F121</f>
        <v>8000</v>
      </c>
      <c r="Z121" s="748">
        <f>$G121</f>
        <v>4.07E-2</v>
      </c>
      <c r="AA121" s="32">
        <f>Y121*Z121*AA$7</f>
        <v>9768</v>
      </c>
      <c r="AB121" s="455">
        <f>$F121</f>
        <v>8000</v>
      </c>
      <c r="AC121" s="748">
        <f>$G121</f>
        <v>4.07E-2</v>
      </c>
      <c r="AD121" s="32">
        <f>AB121*AC121*AD$7</f>
        <v>10093.6</v>
      </c>
      <c r="AE121" s="455">
        <f>$F121</f>
        <v>8000</v>
      </c>
      <c r="AF121" s="748">
        <f>$G121</f>
        <v>4.07E-2</v>
      </c>
      <c r="AG121" s="32">
        <f>AE121*AF121*AG$7</f>
        <v>10093.6</v>
      </c>
      <c r="AH121" s="455">
        <f>$F121</f>
        <v>8000</v>
      </c>
      <c r="AI121" s="748">
        <f>$G121</f>
        <v>4.07E-2</v>
      </c>
      <c r="AJ121" s="32">
        <f>AH121*AI121*AJ$7</f>
        <v>9768</v>
      </c>
      <c r="AK121" s="455">
        <f>$F121</f>
        <v>8000</v>
      </c>
      <c r="AL121" s="748">
        <f>$G121</f>
        <v>4.07E-2</v>
      </c>
      <c r="AM121" s="32">
        <f>AK121*AL121*AM$7</f>
        <v>10093.6</v>
      </c>
      <c r="AN121" s="455">
        <f>$F121</f>
        <v>8000</v>
      </c>
      <c r="AO121" s="748">
        <f>$G121</f>
        <v>4.07E-2</v>
      </c>
      <c r="AP121" s="32">
        <f>AN121*AO121*AP$7</f>
        <v>9768</v>
      </c>
      <c r="AQ121" s="455">
        <f>$F121</f>
        <v>8000</v>
      </c>
      <c r="AR121" s="748">
        <f>$G121</f>
        <v>4.07E-2</v>
      </c>
      <c r="AS121" s="32">
        <f>AQ121*AR121*AS$7</f>
        <v>10093.6</v>
      </c>
      <c r="AT121" s="32"/>
      <c r="AV121" s="33">
        <f>AS121+AP121+AM121+AJ121+AG121+AD121+AA121+X121+U121+R121+O121+L121</f>
        <v>118844.00000000001</v>
      </c>
      <c r="AW121" s="33">
        <f>SUM(AV120:AV121)</f>
        <v>0</v>
      </c>
      <c r="AZ121" s="33">
        <f>AV121</f>
        <v>118844.00000000001</v>
      </c>
    </row>
    <row r="122" spans="1:52" x14ac:dyDescent="0.2">
      <c r="A122" s="175"/>
      <c r="B122" s="175"/>
      <c r="D122" s="5"/>
      <c r="E122" s="489"/>
      <c r="F122" s="832"/>
      <c r="G122" s="170"/>
      <c r="H122" s="170"/>
      <c r="J122" s="455"/>
      <c r="L122" s="32"/>
      <c r="M122" s="455"/>
      <c r="N122" s="748"/>
      <c r="O122" s="32"/>
      <c r="P122" s="455"/>
      <c r="Q122" s="748"/>
      <c r="R122" s="32"/>
      <c r="S122" s="455"/>
      <c r="T122" s="748"/>
      <c r="U122" s="32"/>
      <c r="V122" s="455"/>
      <c r="W122" s="748"/>
      <c r="X122" s="32"/>
      <c r="Y122" s="455"/>
      <c r="Z122" s="748"/>
      <c r="AA122" s="32"/>
      <c r="AB122" s="455"/>
      <c r="AC122" s="748"/>
      <c r="AD122" s="32"/>
      <c r="AE122" s="455"/>
      <c r="AF122" s="748"/>
      <c r="AG122" s="32"/>
      <c r="AH122" s="455"/>
      <c r="AI122" s="748"/>
      <c r="AJ122" s="32"/>
      <c r="AK122" s="455"/>
      <c r="AL122" s="748"/>
      <c r="AM122" s="32"/>
      <c r="AN122" s="455"/>
      <c r="AO122" s="748"/>
      <c r="AP122" s="32"/>
      <c r="AQ122" s="455"/>
      <c r="AR122" s="748"/>
      <c r="AS122" s="32"/>
      <c r="AT122" s="32"/>
      <c r="AV122" s="33"/>
    </row>
    <row r="123" spans="1:52" x14ac:dyDescent="0.2">
      <c r="A123" s="175">
        <v>24754</v>
      </c>
      <c r="B123" s="175" t="s">
        <v>313</v>
      </c>
      <c r="C123">
        <v>2001</v>
      </c>
      <c r="D123" s="5"/>
      <c r="E123" s="562">
        <v>37011</v>
      </c>
      <c r="F123" s="832">
        <v>-1000</v>
      </c>
      <c r="G123" s="170">
        <v>9.0700000000000003E-2</v>
      </c>
      <c r="H123" s="170">
        <v>9.2999999999999992E-3</v>
      </c>
      <c r="I123" s="748">
        <f>SUM(G123:H123)</f>
        <v>0.1</v>
      </c>
      <c r="J123" s="455">
        <f>$F123</f>
        <v>-1000</v>
      </c>
      <c r="K123" s="748">
        <f>$G123</f>
        <v>9.0700000000000003E-2</v>
      </c>
      <c r="L123" s="32">
        <f>J123*K123*L$7</f>
        <v>-2811.7000000000003</v>
      </c>
      <c r="M123" s="455">
        <f>$F123</f>
        <v>-1000</v>
      </c>
      <c r="N123" s="748">
        <f>$G123</f>
        <v>9.0700000000000003E-2</v>
      </c>
      <c r="O123" s="32">
        <f>M123*N123*O$7</f>
        <v>-2539.6</v>
      </c>
      <c r="P123" s="455">
        <f>$F123</f>
        <v>-1000</v>
      </c>
      <c r="Q123" s="748">
        <f>$G123</f>
        <v>9.0700000000000003E-2</v>
      </c>
      <c r="R123" s="32">
        <f>P123*Q123*R$7</f>
        <v>-2811.7000000000003</v>
      </c>
      <c r="S123" s="455">
        <f>$F123</f>
        <v>-1000</v>
      </c>
      <c r="T123" s="748">
        <f>$G123</f>
        <v>9.0700000000000003E-2</v>
      </c>
      <c r="U123" s="32">
        <f>S123*T123*U$7</f>
        <v>-2721</v>
      </c>
      <c r="V123" s="455">
        <v>0</v>
      </c>
      <c r="W123" s="748">
        <f>$G123</f>
        <v>9.0700000000000003E-2</v>
      </c>
      <c r="X123" s="32">
        <f>V123*W123*X$7</f>
        <v>0</v>
      </c>
      <c r="Y123" s="455">
        <v>0</v>
      </c>
      <c r="Z123" s="748">
        <f>$G123</f>
        <v>9.0700000000000003E-2</v>
      </c>
      <c r="AA123" s="32">
        <f>Y123*Z123*AA$7</f>
        <v>0</v>
      </c>
      <c r="AB123" s="455">
        <v>0</v>
      </c>
      <c r="AC123" s="748">
        <f>$G123</f>
        <v>9.0700000000000003E-2</v>
      </c>
      <c r="AD123" s="32">
        <f>AB123*AC123*AD$7</f>
        <v>0</v>
      </c>
      <c r="AE123" s="455">
        <v>0</v>
      </c>
      <c r="AF123" s="748">
        <f>$G123</f>
        <v>9.0700000000000003E-2</v>
      </c>
      <c r="AG123" s="32">
        <f>AE123*AF123*AG$7</f>
        <v>0</v>
      </c>
      <c r="AH123" s="455">
        <v>0</v>
      </c>
      <c r="AI123" s="748">
        <f>$G123</f>
        <v>9.0700000000000003E-2</v>
      </c>
      <c r="AJ123" s="32">
        <f>AH123*AI123*AJ$7</f>
        <v>0</v>
      </c>
      <c r="AK123" s="455">
        <v>0</v>
      </c>
      <c r="AL123" s="748">
        <f>$G123</f>
        <v>9.0700000000000003E-2</v>
      </c>
      <c r="AM123" s="32">
        <f>AK123*AL123*AM$7</f>
        <v>0</v>
      </c>
      <c r="AN123" s="455">
        <v>0</v>
      </c>
      <c r="AO123" s="748">
        <f>$G123</f>
        <v>9.0700000000000003E-2</v>
      </c>
      <c r="AP123" s="32">
        <f>AN123*AO123*AP$7</f>
        <v>0</v>
      </c>
      <c r="AQ123" s="455">
        <v>0</v>
      </c>
      <c r="AR123" s="748">
        <f>$G123</f>
        <v>9.0700000000000003E-2</v>
      </c>
      <c r="AS123" s="32">
        <f>AQ123*AR123*AS$7</f>
        <v>0</v>
      </c>
      <c r="AT123" s="32"/>
      <c r="AV123" s="33">
        <f>AS123+AP123+AM123+AJ123+AG123+AD123+AA123+X123+U123+R123+O123+L123</f>
        <v>-10884.000000000002</v>
      </c>
    </row>
    <row r="124" spans="1:52" x14ac:dyDescent="0.2">
      <c r="A124" s="176">
        <v>24754</v>
      </c>
      <c r="B124" s="176" t="s">
        <v>313</v>
      </c>
      <c r="C124">
        <v>2001</v>
      </c>
      <c r="D124" s="48" t="s">
        <v>303</v>
      </c>
      <c r="E124" s="177"/>
      <c r="F124" s="834">
        <v>-1000</v>
      </c>
      <c r="G124" s="171">
        <v>9.0700000000000003E-2</v>
      </c>
      <c r="H124" s="171">
        <v>9.2999999999999992E-3</v>
      </c>
      <c r="I124" s="748">
        <f>SUM(G124:H124)</f>
        <v>0.1</v>
      </c>
      <c r="J124" s="455">
        <v>0</v>
      </c>
      <c r="K124" s="748">
        <f>$G124</f>
        <v>9.0700000000000003E-2</v>
      </c>
      <c r="L124" s="32">
        <f>J124*K124*L$7</f>
        <v>0</v>
      </c>
      <c r="M124" s="455">
        <v>0</v>
      </c>
      <c r="N124" s="748">
        <f>$G124</f>
        <v>9.0700000000000003E-2</v>
      </c>
      <c r="O124" s="32">
        <f>M124*N124*O$7</f>
        <v>0</v>
      </c>
      <c r="P124" s="455">
        <v>0</v>
      </c>
      <c r="Q124" s="748">
        <f>$G124</f>
        <v>9.0700000000000003E-2</v>
      </c>
      <c r="R124" s="32">
        <f>P124*Q124*R$7</f>
        <v>0</v>
      </c>
      <c r="S124" s="455">
        <v>0</v>
      </c>
      <c r="T124" s="748">
        <f>$G124</f>
        <v>9.0700000000000003E-2</v>
      </c>
      <c r="U124" s="32">
        <f>S124*T124*U$7</f>
        <v>0</v>
      </c>
      <c r="V124" s="455">
        <f>$F124</f>
        <v>-1000</v>
      </c>
      <c r="W124" s="748">
        <f>$G124</f>
        <v>9.0700000000000003E-2</v>
      </c>
      <c r="X124" s="32">
        <f>V124*W124*X$7</f>
        <v>-2811.7000000000003</v>
      </c>
      <c r="Y124" s="455">
        <f>$F124</f>
        <v>-1000</v>
      </c>
      <c r="Z124" s="748">
        <f>$G124</f>
        <v>9.0700000000000003E-2</v>
      </c>
      <c r="AA124" s="32">
        <f>Y124*Z124*AA$7</f>
        <v>-2721</v>
      </c>
      <c r="AB124" s="455">
        <f>$F124</f>
        <v>-1000</v>
      </c>
      <c r="AC124" s="748">
        <f>$G124</f>
        <v>9.0700000000000003E-2</v>
      </c>
      <c r="AD124" s="32">
        <f>AB124*AC124*AD$7</f>
        <v>-2811.7000000000003</v>
      </c>
      <c r="AE124" s="455">
        <f>$F124</f>
        <v>-1000</v>
      </c>
      <c r="AF124" s="748">
        <f>$G124</f>
        <v>9.0700000000000003E-2</v>
      </c>
      <c r="AG124" s="32">
        <f>AE124*AF124*AG$7</f>
        <v>-2811.7000000000003</v>
      </c>
      <c r="AH124" s="455">
        <f>$F124</f>
        <v>-1000</v>
      </c>
      <c r="AI124" s="748">
        <f>$G124</f>
        <v>9.0700000000000003E-2</v>
      </c>
      <c r="AJ124" s="32">
        <f>AH124*AI124*AJ$7</f>
        <v>-2721</v>
      </c>
      <c r="AK124" s="455">
        <f>$F124</f>
        <v>-1000</v>
      </c>
      <c r="AL124" s="748">
        <f>$G124</f>
        <v>9.0700000000000003E-2</v>
      </c>
      <c r="AM124" s="32">
        <f>AK124*AL124*AM$7</f>
        <v>-2811.7000000000003</v>
      </c>
      <c r="AN124" s="455">
        <f>$F124</f>
        <v>-1000</v>
      </c>
      <c r="AO124" s="748">
        <f>$G124</f>
        <v>9.0700000000000003E-2</v>
      </c>
      <c r="AP124" s="32">
        <f>AN124*AO124*AP$7</f>
        <v>-2721</v>
      </c>
      <c r="AQ124" s="455">
        <f>$F124</f>
        <v>-1000</v>
      </c>
      <c r="AR124" s="748">
        <f>$G124</f>
        <v>9.0700000000000003E-2</v>
      </c>
      <c r="AS124" s="32">
        <f>AQ124*AR124*AS$7</f>
        <v>-2811.7000000000003</v>
      </c>
      <c r="AT124" s="32"/>
      <c r="AV124" s="33">
        <f>AS124+AP124+AM124+AJ124+AG124+AD124+AA124+X124+U124+R124+O124+L124</f>
        <v>-22221.500000000004</v>
      </c>
    </row>
    <row r="125" spans="1:52" x14ac:dyDescent="0.2">
      <c r="A125" s="504">
        <v>24754</v>
      </c>
      <c r="B125" s="956" t="s">
        <v>313</v>
      </c>
      <c r="C125">
        <v>2002</v>
      </c>
      <c r="D125" s="489" t="s">
        <v>481</v>
      </c>
      <c r="E125" s="185">
        <v>38472</v>
      </c>
      <c r="F125" s="837">
        <v>1000</v>
      </c>
      <c r="G125" s="748">
        <v>9.0700000000000003E-2</v>
      </c>
      <c r="H125" s="170">
        <v>9.2999999999999992E-3</v>
      </c>
      <c r="I125" s="748">
        <f>SUM(G125:H125)</f>
        <v>0.1</v>
      </c>
      <c r="J125" s="455">
        <f>$F125</f>
        <v>1000</v>
      </c>
      <c r="K125" s="748">
        <f>$G125</f>
        <v>9.0700000000000003E-2</v>
      </c>
      <c r="L125" s="32">
        <f>J125*K125*L$7</f>
        <v>2811.7000000000003</v>
      </c>
      <c r="M125" s="455">
        <f>$F125</f>
        <v>1000</v>
      </c>
      <c r="N125" s="748">
        <f>$G125</f>
        <v>9.0700000000000003E-2</v>
      </c>
      <c r="O125" s="32">
        <f>M125*N125*O$7</f>
        <v>2539.6</v>
      </c>
      <c r="P125" s="455">
        <f>$F125</f>
        <v>1000</v>
      </c>
      <c r="Q125" s="748">
        <f>$G125</f>
        <v>9.0700000000000003E-2</v>
      </c>
      <c r="R125" s="32">
        <f>P125*Q125*R$7</f>
        <v>2811.7000000000003</v>
      </c>
      <c r="S125" s="455">
        <f>$F125</f>
        <v>1000</v>
      </c>
      <c r="T125" s="748">
        <f>$G125</f>
        <v>9.0700000000000003E-2</v>
      </c>
      <c r="U125" s="32">
        <f>S125*T125*U$7</f>
        <v>2721</v>
      </c>
      <c r="V125" s="455">
        <f>$F125</f>
        <v>1000</v>
      </c>
      <c r="W125" s="748">
        <f>$G125</f>
        <v>9.0700000000000003E-2</v>
      </c>
      <c r="X125" s="32">
        <f>V125*W125*X$7</f>
        <v>2811.7000000000003</v>
      </c>
      <c r="Y125" s="455">
        <f>$F125</f>
        <v>1000</v>
      </c>
      <c r="Z125" s="748">
        <f>$G125</f>
        <v>9.0700000000000003E-2</v>
      </c>
      <c r="AA125" s="32">
        <f>Y125*Z125*AA$7</f>
        <v>2721</v>
      </c>
      <c r="AB125" s="455">
        <f>$F125</f>
        <v>1000</v>
      </c>
      <c r="AC125" s="748">
        <f>$G125</f>
        <v>9.0700000000000003E-2</v>
      </c>
      <c r="AD125" s="32">
        <f>AB125*AC125*AD$7</f>
        <v>2811.7000000000003</v>
      </c>
      <c r="AE125" s="455">
        <f>$F125</f>
        <v>1000</v>
      </c>
      <c r="AF125" s="748">
        <f>$G125</f>
        <v>9.0700000000000003E-2</v>
      </c>
      <c r="AG125" s="32">
        <f>AE125*AF125*AG$7</f>
        <v>2811.7000000000003</v>
      </c>
      <c r="AH125" s="455">
        <f>$F125</f>
        <v>1000</v>
      </c>
      <c r="AI125" s="748">
        <f>$G125</f>
        <v>9.0700000000000003E-2</v>
      </c>
      <c r="AJ125" s="32">
        <f>AH125*AI125*AJ$7</f>
        <v>2721</v>
      </c>
      <c r="AK125" s="455">
        <f>$F125</f>
        <v>1000</v>
      </c>
      <c r="AL125" s="748">
        <f>$G125</f>
        <v>9.0700000000000003E-2</v>
      </c>
      <c r="AM125" s="32">
        <f>AK125*AL125*AM$7</f>
        <v>2811.7000000000003</v>
      </c>
      <c r="AN125" s="455">
        <f>$F125</f>
        <v>1000</v>
      </c>
      <c r="AO125" s="748">
        <f>$G125</f>
        <v>9.0700000000000003E-2</v>
      </c>
      <c r="AP125" s="32">
        <f>AN125*AO125*AP$7</f>
        <v>2721</v>
      </c>
      <c r="AQ125" s="455">
        <f>$F125</f>
        <v>1000</v>
      </c>
      <c r="AR125" s="748">
        <f>$G125</f>
        <v>9.0700000000000003E-2</v>
      </c>
      <c r="AS125" s="32">
        <f>AQ125*AR125*AS$7</f>
        <v>2811.7000000000003</v>
      </c>
      <c r="AT125" s="32"/>
      <c r="AV125" s="33">
        <f>AS125+AP125+AM125+AJ125+AG125+AD125+AA125+X125+U125+R125+O125+L125</f>
        <v>33105.5</v>
      </c>
      <c r="AW125" s="33">
        <f>SUM(AV123:AV125)</f>
        <v>0</v>
      </c>
      <c r="AZ125" s="33">
        <f>AV125</f>
        <v>33105.5</v>
      </c>
    </row>
    <row r="126" spans="1:52" x14ac:dyDescent="0.2">
      <c r="A126" s="175"/>
      <c r="B126" s="175"/>
      <c r="D126" s="5"/>
      <c r="E126" s="562"/>
      <c r="F126" s="832"/>
      <c r="G126" s="170"/>
      <c r="H126" s="170"/>
      <c r="J126" s="455"/>
      <c r="L126" s="32"/>
      <c r="M126" s="455"/>
      <c r="N126" s="748"/>
      <c r="O126" s="32"/>
      <c r="P126" s="455"/>
      <c r="Q126" s="748"/>
      <c r="R126" s="32"/>
      <c r="S126" s="455"/>
      <c r="T126" s="748"/>
      <c r="U126" s="32"/>
      <c r="V126" s="455"/>
      <c r="W126" s="748"/>
      <c r="X126" s="32"/>
      <c r="Y126" s="455"/>
      <c r="Z126" s="748"/>
      <c r="AA126" s="32"/>
      <c r="AB126" s="455"/>
      <c r="AC126" s="748"/>
      <c r="AD126" s="32"/>
      <c r="AE126" s="455"/>
      <c r="AF126" s="748"/>
      <c r="AG126" s="32"/>
      <c r="AH126" s="455"/>
      <c r="AI126" s="748"/>
      <c r="AJ126" s="32"/>
      <c r="AK126" s="455"/>
      <c r="AL126" s="748"/>
      <c r="AM126" s="32"/>
      <c r="AN126" s="455"/>
      <c r="AO126" s="748"/>
      <c r="AP126" s="32"/>
      <c r="AQ126" s="455"/>
      <c r="AR126" s="748"/>
      <c r="AS126" s="32"/>
      <c r="AT126" s="32"/>
      <c r="AV126" s="33"/>
    </row>
    <row r="127" spans="1:52" x14ac:dyDescent="0.2">
      <c r="A127" s="175">
        <v>25031</v>
      </c>
      <c r="B127" s="175" t="s">
        <v>314</v>
      </c>
      <c r="C127">
        <v>2001</v>
      </c>
      <c r="D127" s="5"/>
      <c r="E127" s="489">
        <v>39051</v>
      </c>
      <c r="F127" s="832">
        <v>0</v>
      </c>
      <c r="G127" s="29"/>
      <c r="H127" s="29"/>
      <c r="I127" s="748">
        <f>SUM(G127:H127)</f>
        <v>0</v>
      </c>
      <c r="J127" s="455">
        <f>$F127</f>
        <v>0</v>
      </c>
      <c r="K127" s="748">
        <f>$G127</f>
        <v>0</v>
      </c>
      <c r="L127" s="32">
        <f>J127*K127*L$7</f>
        <v>0</v>
      </c>
      <c r="M127" s="455">
        <f>$F127</f>
        <v>0</v>
      </c>
      <c r="N127" s="748">
        <f>$G127</f>
        <v>0</v>
      </c>
      <c r="O127" s="32">
        <f>M127*N127*O$7</f>
        <v>0</v>
      </c>
      <c r="P127" s="455">
        <f>$F127</f>
        <v>0</v>
      </c>
      <c r="Q127" s="748">
        <f>$G127</f>
        <v>0</v>
      </c>
      <c r="R127" s="32">
        <f>P127*Q127*R$7</f>
        <v>0</v>
      </c>
      <c r="S127" s="455">
        <f>$F127</f>
        <v>0</v>
      </c>
      <c r="T127" s="748">
        <f>$G127</f>
        <v>0</v>
      </c>
      <c r="U127" s="32">
        <f>S127*T127*U$7</f>
        <v>0</v>
      </c>
      <c r="V127" s="455">
        <f>$F127</f>
        <v>0</v>
      </c>
      <c r="W127" s="748">
        <f>$G127</f>
        <v>0</v>
      </c>
      <c r="X127" s="32">
        <f>V127*W127*X$7</f>
        <v>0</v>
      </c>
      <c r="Y127" s="455">
        <f>$F127</f>
        <v>0</v>
      </c>
      <c r="Z127" s="748">
        <f>$G127</f>
        <v>0</v>
      </c>
      <c r="AA127" s="32">
        <f>Y127*Z127*AA$7</f>
        <v>0</v>
      </c>
      <c r="AB127" s="455">
        <f>$F127</f>
        <v>0</v>
      </c>
      <c r="AC127" s="748">
        <f>$G127</f>
        <v>0</v>
      </c>
      <c r="AD127" s="32">
        <f>AB127*AC127*AD$7</f>
        <v>0</v>
      </c>
      <c r="AE127" s="455">
        <f>$F127</f>
        <v>0</v>
      </c>
      <c r="AF127" s="748">
        <f>$G127</f>
        <v>0</v>
      </c>
      <c r="AG127" s="32">
        <f>AE127*AF127*AG$7</f>
        <v>0</v>
      </c>
      <c r="AH127" s="455">
        <f>$F127</f>
        <v>0</v>
      </c>
      <c r="AI127" s="748">
        <f>$G127</f>
        <v>0</v>
      </c>
      <c r="AJ127" s="32">
        <f>AH127*AI127*AJ$7</f>
        <v>0</v>
      </c>
      <c r="AK127" s="455">
        <f>$F127</f>
        <v>0</v>
      </c>
      <c r="AL127" s="748">
        <f>$G127</f>
        <v>0</v>
      </c>
      <c r="AM127" s="32">
        <f>AK127*AL127*AM$7</f>
        <v>0</v>
      </c>
      <c r="AN127" s="455">
        <f>$F127</f>
        <v>0</v>
      </c>
      <c r="AO127" s="748">
        <f>$G127</f>
        <v>0</v>
      </c>
      <c r="AP127" s="32">
        <f>AN127*AO127*AP$7</f>
        <v>0</v>
      </c>
      <c r="AQ127" s="455">
        <f>$F127</f>
        <v>0</v>
      </c>
      <c r="AR127" s="748">
        <f>$G127</f>
        <v>0</v>
      </c>
      <c r="AS127" s="32">
        <f>AQ127*AR127*AS$7</f>
        <v>0</v>
      </c>
      <c r="AT127" s="32"/>
      <c r="AV127" s="33">
        <f>AS127+AP127+AM127+AJ127+AG127+AD127+AA127+X127+U127+R127+O127+L127</f>
        <v>0</v>
      </c>
    </row>
    <row r="128" spans="1:52" x14ac:dyDescent="0.2">
      <c r="A128" s="504">
        <v>25031</v>
      </c>
      <c r="B128" s="956" t="s">
        <v>314</v>
      </c>
      <c r="C128">
        <v>2002</v>
      </c>
      <c r="D128" s="489">
        <v>35400</v>
      </c>
      <c r="E128" s="489">
        <v>39051</v>
      </c>
      <c r="F128" s="837">
        <v>0</v>
      </c>
      <c r="G128" s="748">
        <v>0</v>
      </c>
      <c r="H128" s="170">
        <v>0</v>
      </c>
      <c r="I128" s="748">
        <f>SUM(G128:H128)</f>
        <v>0</v>
      </c>
      <c r="J128" s="455">
        <f>$F128</f>
        <v>0</v>
      </c>
      <c r="K128" s="748">
        <f>$G128</f>
        <v>0</v>
      </c>
      <c r="L128" s="32">
        <f>J128*K128*L$7</f>
        <v>0</v>
      </c>
      <c r="M128" s="455">
        <f>$F128</f>
        <v>0</v>
      </c>
      <c r="N128" s="748">
        <f>$G128</f>
        <v>0</v>
      </c>
      <c r="O128" s="32">
        <f>M128*N128*O$7</f>
        <v>0</v>
      </c>
      <c r="P128" s="455">
        <f>$F128</f>
        <v>0</v>
      </c>
      <c r="Q128" s="748">
        <f>$G128</f>
        <v>0</v>
      </c>
      <c r="R128" s="32">
        <f>P128*Q128*R$7</f>
        <v>0</v>
      </c>
      <c r="S128" s="455">
        <f>$F128</f>
        <v>0</v>
      </c>
      <c r="T128" s="748">
        <f>$G128</f>
        <v>0</v>
      </c>
      <c r="U128" s="32">
        <f>S128*T128*U$7</f>
        <v>0</v>
      </c>
      <c r="V128" s="455">
        <f>$F128</f>
        <v>0</v>
      </c>
      <c r="W128" s="748">
        <f>$G128</f>
        <v>0</v>
      </c>
      <c r="X128" s="32">
        <f>V128*W128*X$7</f>
        <v>0</v>
      </c>
      <c r="Y128" s="455">
        <f>$F128</f>
        <v>0</v>
      </c>
      <c r="Z128" s="748">
        <f>$G128</f>
        <v>0</v>
      </c>
      <c r="AA128" s="32">
        <f>Y128*Z128*AA$7</f>
        <v>0</v>
      </c>
      <c r="AB128" s="455">
        <f>$F128</f>
        <v>0</v>
      </c>
      <c r="AC128" s="748">
        <f>$G128</f>
        <v>0</v>
      </c>
      <c r="AD128" s="32">
        <f>AB128*AC128*AD$7</f>
        <v>0</v>
      </c>
      <c r="AE128" s="455">
        <f>$F128</f>
        <v>0</v>
      </c>
      <c r="AF128" s="748">
        <f>$G128</f>
        <v>0</v>
      </c>
      <c r="AG128" s="32">
        <f>AE128*AF128*AG$7</f>
        <v>0</v>
      </c>
      <c r="AH128" s="455">
        <f>$F128</f>
        <v>0</v>
      </c>
      <c r="AI128" s="748">
        <f>$G128</f>
        <v>0</v>
      </c>
      <c r="AJ128" s="32">
        <f>AH128*AI128*AJ$7</f>
        <v>0</v>
      </c>
      <c r="AK128" s="455">
        <f>$F128</f>
        <v>0</v>
      </c>
      <c r="AL128" s="748">
        <f>$G128</f>
        <v>0</v>
      </c>
      <c r="AM128" s="32">
        <f>AK128*AL128*AM$7</f>
        <v>0</v>
      </c>
      <c r="AN128" s="455">
        <f>$F128</f>
        <v>0</v>
      </c>
      <c r="AO128" s="748">
        <f>$G128</f>
        <v>0</v>
      </c>
      <c r="AP128" s="32">
        <f>AN128*AO128*AP$7</f>
        <v>0</v>
      </c>
      <c r="AQ128" s="455">
        <f>$F128</f>
        <v>0</v>
      </c>
      <c r="AR128" s="748">
        <f>$G128</f>
        <v>0</v>
      </c>
      <c r="AS128" s="32">
        <f>AQ128*AR128*AS$7</f>
        <v>0</v>
      </c>
      <c r="AT128" s="32"/>
      <c r="AV128" s="33">
        <f>AS128+AP128+AM128+AJ128+AG128+AD128+AA128+X128+U128+R128+O128+L128</f>
        <v>0</v>
      </c>
    </row>
    <row r="129" spans="1:52" x14ac:dyDescent="0.2">
      <c r="A129" s="175"/>
      <c r="B129" s="175"/>
      <c r="D129" s="5"/>
      <c r="E129" s="489"/>
      <c r="F129" s="832"/>
      <c r="G129" s="29"/>
      <c r="H129" s="29"/>
      <c r="J129" s="455"/>
      <c r="L129" s="32"/>
      <c r="M129" s="455"/>
      <c r="N129" s="748"/>
      <c r="O129" s="32"/>
      <c r="P129" s="455"/>
      <c r="Q129" s="748"/>
      <c r="R129" s="32"/>
      <c r="S129" s="455"/>
      <c r="T129" s="748"/>
      <c r="U129" s="32"/>
      <c r="V129" s="455"/>
      <c r="W129" s="748"/>
      <c r="X129" s="32"/>
      <c r="Y129" s="455"/>
      <c r="Z129" s="748"/>
      <c r="AA129" s="32"/>
      <c r="AB129" s="455"/>
      <c r="AC129" s="748"/>
      <c r="AD129" s="32"/>
      <c r="AE129" s="455"/>
      <c r="AF129" s="748"/>
      <c r="AG129" s="32"/>
      <c r="AH129" s="455"/>
      <c r="AI129" s="748"/>
      <c r="AJ129" s="32"/>
      <c r="AK129" s="455"/>
      <c r="AL129" s="748"/>
      <c r="AM129" s="32"/>
      <c r="AN129" s="455"/>
      <c r="AO129" s="748"/>
      <c r="AP129" s="32"/>
      <c r="AQ129" s="455"/>
      <c r="AR129" s="748"/>
      <c r="AS129" s="32"/>
      <c r="AT129" s="32"/>
      <c r="AV129" s="33"/>
    </row>
    <row r="130" spans="1:52" x14ac:dyDescent="0.2">
      <c r="A130" s="175" t="s">
        <v>315</v>
      </c>
      <c r="B130" s="175" t="s">
        <v>288</v>
      </c>
      <c r="C130">
        <v>2001</v>
      </c>
      <c r="D130" s="5"/>
      <c r="E130" s="181">
        <v>36950</v>
      </c>
      <c r="F130" s="832">
        <v>-10000</v>
      </c>
      <c r="G130" s="170">
        <v>1.0699999999999999E-2</v>
      </c>
      <c r="H130" s="170">
        <v>9.2999999999999992E-3</v>
      </c>
      <c r="I130" s="748">
        <f>SUM(G130:H130)</f>
        <v>1.9999999999999997E-2</v>
      </c>
      <c r="J130" s="455">
        <f>$F130</f>
        <v>-10000</v>
      </c>
      <c r="K130" s="748">
        <f>$G130</f>
        <v>1.0699999999999999E-2</v>
      </c>
      <c r="L130" s="32">
        <f>J130*K130*L$7</f>
        <v>-3317</v>
      </c>
      <c r="M130" s="455">
        <f>$F130</f>
        <v>-10000</v>
      </c>
      <c r="N130" s="748">
        <f>$G130</f>
        <v>1.0699999999999999E-2</v>
      </c>
      <c r="O130" s="32">
        <f>M130*N130*O$7</f>
        <v>-2996</v>
      </c>
      <c r="P130" s="455">
        <v>0</v>
      </c>
      <c r="Q130" s="748">
        <f>$G130</f>
        <v>1.0699999999999999E-2</v>
      </c>
      <c r="R130" s="32">
        <f>P130*Q130*R$7</f>
        <v>0</v>
      </c>
      <c r="S130" s="455">
        <v>0</v>
      </c>
      <c r="T130" s="748">
        <f>$G130</f>
        <v>1.0699999999999999E-2</v>
      </c>
      <c r="U130" s="32">
        <f>S130*T130*U$7</f>
        <v>0</v>
      </c>
      <c r="V130" s="455">
        <v>0</v>
      </c>
      <c r="W130" s="748">
        <f>$G130</f>
        <v>1.0699999999999999E-2</v>
      </c>
      <c r="X130" s="32">
        <f>V130*W130*X$7</f>
        <v>0</v>
      </c>
      <c r="Y130" s="455">
        <v>0</v>
      </c>
      <c r="Z130" s="748">
        <f>$G130</f>
        <v>1.0699999999999999E-2</v>
      </c>
      <c r="AA130" s="32">
        <f>Y130*Z130*AA$7</f>
        <v>0</v>
      </c>
      <c r="AB130" s="455">
        <v>0</v>
      </c>
      <c r="AC130" s="748">
        <f>$G130</f>
        <v>1.0699999999999999E-2</v>
      </c>
      <c r="AD130" s="32">
        <f>AB130*AC130*AD$7</f>
        <v>0</v>
      </c>
      <c r="AE130" s="455">
        <v>0</v>
      </c>
      <c r="AF130" s="748">
        <f>$G130</f>
        <v>1.0699999999999999E-2</v>
      </c>
      <c r="AG130" s="32">
        <f>AE130*AF130*AG$7</f>
        <v>0</v>
      </c>
      <c r="AH130" s="455">
        <v>0</v>
      </c>
      <c r="AI130" s="748">
        <f>$G130</f>
        <v>1.0699999999999999E-2</v>
      </c>
      <c r="AJ130" s="32">
        <f>AH130*AI130*AJ$7</f>
        <v>0</v>
      </c>
      <c r="AK130" s="455">
        <v>0</v>
      </c>
      <c r="AL130" s="748">
        <f>$G130</f>
        <v>1.0699999999999999E-2</v>
      </c>
      <c r="AM130" s="32">
        <f>AK130*AL130*AM$7</f>
        <v>0</v>
      </c>
      <c r="AN130" s="455">
        <v>0</v>
      </c>
      <c r="AO130" s="748">
        <f>$G130</f>
        <v>1.0699999999999999E-2</v>
      </c>
      <c r="AP130" s="32">
        <f>AN130*AO130*AP$7</f>
        <v>0</v>
      </c>
      <c r="AQ130" s="455">
        <v>0</v>
      </c>
      <c r="AR130" s="748">
        <f>$G130</f>
        <v>1.0699999999999999E-2</v>
      </c>
      <c r="AS130" s="32">
        <f>AQ130*AR130*AS$7</f>
        <v>0</v>
      </c>
      <c r="AT130" s="32"/>
      <c r="AV130" s="33">
        <f>AS130+AP130+AM130+AJ130+AG130+AD130+AA130+X130+U130+R130+O130+L130</f>
        <v>-6313</v>
      </c>
    </row>
    <row r="131" spans="1:52" x14ac:dyDescent="0.2">
      <c r="A131" s="176">
        <v>27137</v>
      </c>
      <c r="B131" s="176" t="s">
        <v>288</v>
      </c>
      <c r="C131">
        <v>2001</v>
      </c>
      <c r="D131" s="48" t="s">
        <v>303</v>
      </c>
      <c r="E131" s="177"/>
      <c r="F131" s="834">
        <v>-10000</v>
      </c>
      <c r="G131" s="171">
        <v>1.5699999999999999E-2</v>
      </c>
      <c r="H131" s="171">
        <v>9.2999999999999992E-3</v>
      </c>
      <c r="I131" s="748">
        <f>SUM(G131:H131)</f>
        <v>2.4999999999999998E-2</v>
      </c>
      <c r="J131" s="455">
        <v>0</v>
      </c>
      <c r="K131" s="748">
        <f>$G131</f>
        <v>1.5699999999999999E-2</v>
      </c>
      <c r="L131" s="32">
        <f>J131*K131*L$7</f>
        <v>0</v>
      </c>
      <c r="M131" s="455">
        <v>0</v>
      </c>
      <c r="N131" s="748">
        <f>$G131</f>
        <v>1.5699999999999999E-2</v>
      </c>
      <c r="O131" s="32">
        <f>M131*N131*O$7</f>
        <v>0</v>
      </c>
      <c r="P131" s="455">
        <f>$F131</f>
        <v>-10000</v>
      </c>
      <c r="Q131" s="748">
        <f>$G131</f>
        <v>1.5699999999999999E-2</v>
      </c>
      <c r="R131" s="32">
        <f>P131*Q131*R$7</f>
        <v>-4867</v>
      </c>
      <c r="S131" s="455">
        <f>$F131</f>
        <v>-10000</v>
      </c>
      <c r="T131" s="748">
        <f>$G131</f>
        <v>1.5699999999999999E-2</v>
      </c>
      <c r="U131" s="32">
        <f>S131*T131*U$7</f>
        <v>-4710</v>
      </c>
      <c r="V131" s="455">
        <f>$F131</f>
        <v>-10000</v>
      </c>
      <c r="W131" s="748">
        <f>$G131</f>
        <v>1.5699999999999999E-2</v>
      </c>
      <c r="X131" s="32">
        <f>V131*W131*X$7</f>
        <v>-4867</v>
      </c>
      <c r="Y131" s="455">
        <f>$F131</f>
        <v>-10000</v>
      </c>
      <c r="Z131" s="748">
        <f>$G131</f>
        <v>1.5699999999999999E-2</v>
      </c>
      <c r="AA131" s="32">
        <f>Y131*Z131*AA$7</f>
        <v>-4710</v>
      </c>
      <c r="AB131" s="455">
        <f>$F131</f>
        <v>-10000</v>
      </c>
      <c r="AC131" s="748">
        <f>$G131</f>
        <v>1.5699999999999999E-2</v>
      </c>
      <c r="AD131" s="32">
        <f>AB131*AC131*AD$7</f>
        <v>-4867</v>
      </c>
      <c r="AE131" s="455">
        <f>$F131</f>
        <v>-10000</v>
      </c>
      <c r="AF131" s="748">
        <f>$G131</f>
        <v>1.5699999999999999E-2</v>
      </c>
      <c r="AG131" s="32">
        <f>AE131*AF131*AG$7</f>
        <v>-4867</v>
      </c>
      <c r="AH131" s="455">
        <f>$F131</f>
        <v>-10000</v>
      </c>
      <c r="AI131" s="748">
        <f>$G131</f>
        <v>1.5699999999999999E-2</v>
      </c>
      <c r="AJ131" s="32">
        <f>AH131*AI131*AJ$7</f>
        <v>-4710</v>
      </c>
      <c r="AK131" s="455">
        <f>$F131</f>
        <v>-10000</v>
      </c>
      <c r="AL131" s="748">
        <f>$G131</f>
        <v>1.5699999999999999E-2</v>
      </c>
      <c r="AM131" s="32">
        <f>AK131*AL131*AM$7</f>
        <v>-4867</v>
      </c>
      <c r="AN131" s="455">
        <f>$F131</f>
        <v>-10000</v>
      </c>
      <c r="AO131" s="748">
        <f>$G131</f>
        <v>1.5699999999999999E-2</v>
      </c>
      <c r="AP131" s="32">
        <f>AN131*AO131*AP$7</f>
        <v>-4710</v>
      </c>
      <c r="AQ131" s="455">
        <f>$F131</f>
        <v>-10000</v>
      </c>
      <c r="AR131" s="748">
        <f>$G131</f>
        <v>1.5699999999999999E-2</v>
      </c>
      <c r="AS131" s="32">
        <f>AQ131*AR131*AS$7</f>
        <v>-4867</v>
      </c>
      <c r="AT131" s="32"/>
      <c r="AV131" s="33">
        <f>AS131+AP131+AM131+AJ131+AG131+AD131+AA131+X131+U131+R131+O131+L131</f>
        <v>-48042</v>
      </c>
      <c r="AW131" s="966">
        <f>SUM(AV130:AV131)</f>
        <v>-54355</v>
      </c>
    </row>
    <row r="132" spans="1:52" x14ac:dyDescent="0.2">
      <c r="A132" s="175"/>
      <c r="B132" s="175"/>
      <c r="D132" s="5"/>
      <c r="E132" s="181"/>
      <c r="F132" s="832"/>
      <c r="G132" s="170"/>
      <c r="H132" s="170"/>
      <c r="J132" s="455"/>
      <c r="L132" s="32"/>
      <c r="M132" s="455"/>
      <c r="N132" s="748"/>
      <c r="O132" s="32"/>
      <c r="P132" s="455"/>
      <c r="Q132" s="748"/>
      <c r="R132" s="32"/>
      <c r="S132" s="455"/>
      <c r="T132" s="748"/>
      <c r="U132" s="32"/>
      <c r="V132" s="455"/>
      <c r="W132" s="748"/>
      <c r="X132" s="32"/>
      <c r="Y132" s="455"/>
      <c r="Z132" s="748"/>
      <c r="AA132" s="32"/>
      <c r="AB132" s="455"/>
      <c r="AC132" s="748"/>
      <c r="AD132" s="32"/>
      <c r="AE132" s="455"/>
      <c r="AF132" s="748"/>
      <c r="AG132" s="32"/>
      <c r="AH132" s="455"/>
      <c r="AI132" s="748"/>
      <c r="AJ132" s="32"/>
      <c r="AK132" s="455"/>
      <c r="AL132" s="748"/>
      <c r="AM132" s="32"/>
      <c r="AN132" s="455"/>
      <c r="AO132" s="748"/>
      <c r="AP132" s="32"/>
      <c r="AQ132" s="455"/>
      <c r="AR132" s="748"/>
      <c r="AS132" s="32"/>
      <c r="AT132" s="32"/>
      <c r="AV132" s="33"/>
    </row>
    <row r="133" spans="1:52" x14ac:dyDescent="0.2">
      <c r="A133" s="175">
        <v>27161</v>
      </c>
      <c r="B133" s="175" t="s">
        <v>316</v>
      </c>
      <c r="C133">
        <v>2001</v>
      </c>
      <c r="D133" s="5"/>
      <c r="E133" s="181">
        <v>37195</v>
      </c>
      <c r="F133" s="833">
        <v>-400000</v>
      </c>
      <c r="G133" s="170">
        <v>7.4999999999999997E-3</v>
      </c>
      <c r="H133" s="170">
        <v>9.2999999999999992E-3</v>
      </c>
      <c r="I133" s="748">
        <f>SUM(G133:H133)</f>
        <v>1.6799999999999999E-2</v>
      </c>
      <c r="J133" s="455">
        <f>$F133</f>
        <v>-400000</v>
      </c>
      <c r="K133" s="748">
        <f>$G133</f>
        <v>7.4999999999999997E-3</v>
      </c>
      <c r="L133" s="32">
        <f>J133*K133*L$7</f>
        <v>-93000</v>
      </c>
      <c r="M133" s="455">
        <f>$F133</f>
        <v>-400000</v>
      </c>
      <c r="N133" s="748">
        <f>$G133</f>
        <v>7.4999999999999997E-3</v>
      </c>
      <c r="O133" s="32">
        <f>M133*N133*O$7</f>
        <v>-84000</v>
      </c>
      <c r="P133" s="455">
        <f>$F133</f>
        <v>-400000</v>
      </c>
      <c r="Q133" s="748">
        <f>$G133</f>
        <v>7.4999999999999997E-3</v>
      </c>
      <c r="R133" s="32">
        <f>P133*Q133*R$7</f>
        <v>-93000</v>
      </c>
      <c r="S133" s="455">
        <f>$F133</f>
        <v>-400000</v>
      </c>
      <c r="T133" s="748">
        <f>$G133</f>
        <v>7.4999999999999997E-3</v>
      </c>
      <c r="U133" s="32">
        <f>S133*T133*U$7</f>
        <v>-90000</v>
      </c>
      <c r="V133" s="455">
        <f>$F133</f>
        <v>-400000</v>
      </c>
      <c r="W133" s="748">
        <f>$G133</f>
        <v>7.4999999999999997E-3</v>
      </c>
      <c r="X133" s="32">
        <f>V133*W133*X$7</f>
        <v>-93000</v>
      </c>
      <c r="Y133" s="455">
        <f>$F133</f>
        <v>-400000</v>
      </c>
      <c r="Z133" s="748">
        <f>$G133</f>
        <v>7.4999999999999997E-3</v>
      </c>
      <c r="AA133" s="32">
        <f>Y133*Z133*AA$7</f>
        <v>-90000</v>
      </c>
      <c r="AB133" s="455">
        <f>$F133</f>
        <v>-400000</v>
      </c>
      <c r="AC133" s="748">
        <f>$G133</f>
        <v>7.4999999999999997E-3</v>
      </c>
      <c r="AD133" s="32">
        <f>AB133*AC133*AD$7</f>
        <v>-93000</v>
      </c>
      <c r="AE133" s="455">
        <f>$F133</f>
        <v>-400000</v>
      </c>
      <c r="AF133" s="748">
        <f>$G133</f>
        <v>7.4999999999999997E-3</v>
      </c>
      <c r="AG133" s="32">
        <f>AE133*AF133*AG$7</f>
        <v>-93000</v>
      </c>
      <c r="AH133" s="455">
        <f>$F133</f>
        <v>-400000</v>
      </c>
      <c r="AI133" s="748">
        <f>$G133</f>
        <v>7.4999999999999997E-3</v>
      </c>
      <c r="AJ133" s="32">
        <f>AH133*AI133*AJ$7</f>
        <v>-90000</v>
      </c>
      <c r="AK133" s="455">
        <f>$F133</f>
        <v>-400000</v>
      </c>
      <c r="AL133" s="748">
        <f>$G133</f>
        <v>7.4999999999999997E-3</v>
      </c>
      <c r="AM133" s="32">
        <f>AK133*AL133*AM$7</f>
        <v>-93000</v>
      </c>
      <c r="AN133" s="455">
        <v>0</v>
      </c>
      <c r="AO133" s="748">
        <f>$G133</f>
        <v>7.4999999999999997E-3</v>
      </c>
      <c r="AP133" s="32">
        <f>AN133*AO133*AP$7</f>
        <v>0</v>
      </c>
      <c r="AQ133" s="455">
        <v>0</v>
      </c>
      <c r="AR133" s="748">
        <f>$G133</f>
        <v>7.4999999999999997E-3</v>
      </c>
      <c r="AS133" s="32">
        <f>AQ133*AR133*AS$7</f>
        <v>0</v>
      </c>
      <c r="AT133" s="32"/>
      <c r="AV133" s="33">
        <f>AS133+AP133+AM133+AJ133+AG133+AD133+AA133+X133+U133+R133+O133+L133</f>
        <v>-912000</v>
      </c>
    </row>
    <row r="134" spans="1:52" x14ac:dyDescent="0.2">
      <c r="A134" s="169">
        <v>27161</v>
      </c>
      <c r="B134" s="48" t="s">
        <v>316</v>
      </c>
      <c r="C134">
        <v>2001</v>
      </c>
      <c r="D134" s="48" t="s">
        <v>303</v>
      </c>
      <c r="E134" s="167"/>
      <c r="F134" s="835">
        <v>-400000</v>
      </c>
      <c r="G134" s="171">
        <v>7.4999999999999997E-3</v>
      </c>
      <c r="H134" s="171">
        <v>9.2999999999999992E-3</v>
      </c>
      <c r="I134" s="748">
        <f>SUM(G134:H134)</f>
        <v>1.6799999999999999E-2</v>
      </c>
      <c r="J134" s="455">
        <v>0</v>
      </c>
      <c r="K134" s="748">
        <f>$G134</f>
        <v>7.4999999999999997E-3</v>
      </c>
      <c r="L134" s="32">
        <f>J134*K134*L$7</f>
        <v>0</v>
      </c>
      <c r="M134" s="455">
        <v>0</v>
      </c>
      <c r="N134" s="748">
        <f>$G134</f>
        <v>7.4999999999999997E-3</v>
      </c>
      <c r="O134" s="32">
        <f>M134*N134*O$7</f>
        <v>0</v>
      </c>
      <c r="P134" s="455">
        <v>0</v>
      </c>
      <c r="Q134" s="748">
        <f>$G134</f>
        <v>7.4999999999999997E-3</v>
      </c>
      <c r="R134" s="32">
        <f>P134*Q134*R$7</f>
        <v>0</v>
      </c>
      <c r="S134" s="455">
        <v>0</v>
      </c>
      <c r="T134" s="748">
        <f>$G134</f>
        <v>7.4999999999999997E-3</v>
      </c>
      <c r="U134" s="32">
        <f>S134*T134*U$7</f>
        <v>0</v>
      </c>
      <c r="V134" s="455">
        <v>0</v>
      </c>
      <c r="W134" s="748">
        <f>$G134</f>
        <v>7.4999999999999997E-3</v>
      </c>
      <c r="X134" s="32">
        <f>V134*W134*X$7</f>
        <v>0</v>
      </c>
      <c r="Y134" s="455">
        <v>0</v>
      </c>
      <c r="Z134" s="748">
        <f>$G134</f>
        <v>7.4999999999999997E-3</v>
      </c>
      <c r="AA134" s="32">
        <f>Y134*Z134*AA$7</f>
        <v>0</v>
      </c>
      <c r="AB134" s="455">
        <v>0</v>
      </c>
      <c r="AC134" s="748">
        <f>$G134</f>
        <v>7.4999999999999997E-3</v>
      </c>
      <c r="AD134" s="32">
        <f>AB134*AC134*AD$7</f>
        <v>0</v>
      </c>
      <c r="AE134" s="455">
        <v>0</v>
      </c>
      <c r="AF134" s="748">
        <f>$G134</f>
        <v>7.4999999999999997E-3</v>
      </c>
      <c r="AG134" s="32">
        <f>AE134*AF134*AG$7</f>
        <v>0</v>
      </c>
      <c r="AH134" s="455">
        <v>0</v>
      </c>
      <c r="AI134" s="748">
        <f>$G134</f>
        <v>7.4999999999999997E-3</v>
      </c>
      <c r="AJ134" s="32">
        <f>AH134*AI134*AJ$7</f>
        <v>0</v>
      </c>
      <c r="AK134" s="455">
        <v>0</v>
      </c>
      <c r="AL134" s="748">
        <f>$G134</f>
        <v>7.4999999999999997E-3</v>
      </c>
      <c r="AM134" s="32">
        <f>AK134*AL134*AM$7</f>
        <v>0</v>
      </c>
      <c r="AN134" s="455">
        <f>$F134</f>
        <v>-400000</v>
      </c>
      <c r="AO134" s="748">
        <f>$G134</f>
        <v>7.4999999999999997E-3</v>
      </c>
      <c r="AP134" s="32">
        <f>AN134*AO134*AP$7</f>
        <v>-90000</v>
      </c>
      <c r="AQ134" s="455">
        <f>$F134</f>
        <v>-400000</v>
      </c>
      <c r="AR134" s="748">
        <f>$G134</f>
        <v>7.4999999999999997E-3</v>
      </c>
      <c r="AS134" s="32">
        <f>AQ134*AR134*AS$7</f>
        <v>-93000</v>
      </c>
      <c r="AT134" s="32"/>
      <c r="AV134" s="33">
        <f>AS134+AP134+AM134+AJ134+AG134+AD134+AA134+X134+U134+R134+O134+L134</f>
        <v>-183000</v>
      </c>
    </row>
    <row r="135" spans="1:52" x14ac:dyDescent="0.2">
      <c r="A135" s="504">
        <v>27161</v>
      </c>
      <c r="B135" s="956" t="s">
        <v>316</v>
      </c>
      <c r="D135" s="489">
        <v>36617</v>
      </c>
      <c r="E135" s="181">
        <v>37711</v>
      </c>
      <c r="F135" s="839">
        <v>400000</v>
      </c>
      <c r="G135" s="748">
        <v>2.5000000000000001E-2</v>
      </c>
      <c r="H135" s="170">
        <v>9.2999999999999992E-3</v>
      </c>
      <c r="I135" s="748">
        <f>SUM(G135:H135)</f>
        <v>3.4299999999999997E-2</v>
      </c>
      <c r="J135" s="455">
        <f>$F135</f>
        <v>400000</v>
      </c>
      <c r="K135" s="748">
        <f>$G135</f>
        <v>2.5000000000000001E-2</v>
      </c>
      <c r="L135" s="32">
        <f>J135*K135*L$7</f>
        <v>310000</v>
      </c>
      <c r="M135" s="455">
        <f>$F135</f>
        <v>400000</v>
      </c>
      <c r="N135" s="748">
        <f>$G135</f>
        <v>2.5000000000000001E-2</v>
      </c>
      <c r="O135" s="32">
        <f>M135*N135*O$7</f>
        <v>280000</v>
      </c>
      <c r="P135" s="455">
        <f>$F135</f>
        <v>400000</v>
      </c>
      <c r="Q135" s="748">
        <f>$G135</f>
        <v>2.5000000000000001E-2</v>
      </c>
      <c r="R135" s="32">
        <f>P135*Q135*R$7</f>
        <v>310000</v>
      </c>
      <c r="S135" s="455">
        <f>$F135</f>
        <v>400000</v>
      </c>
      <c r="T135" s="748">
        <f>$G135</f>
        <v>2.5000000000000001E-2</v>
      </c>
      <c r="U135" s="32">
        <f>S135*T135*U$7</f>
        <v>300000</v>
      </c>
      <c r="V135" s="455">
        <f>$F135</f>
        <v>400000</v>
      </c>
      <c r="W135" s="748">
        <f>$G135</f>
        <v>2.5000000000000001E-2</v>
      </c>
      <c r="X135" s="32">
        <f>V135*W135*X$7</f>
        <v>310000</v>
      </c>
      <c r="Y135" s="455">
        <f>$F135</f>
        <v>400000</v>
      </c>
      <c r="Z135" s="748">
        <f>$G135</f>
        <v>2.5000000000000001E-2</v>
      </c>
      <c r="AA135" s="32">
        <f>Y135*Z135*AA$7</f>
        <v>300000</v>
      </c>
      <c r="AB135" s="455">
        <f>$F135</f>
        <v>400000</v>
      </c>
      <c r="AC135" s="748">
        <f>$G135</f>
        <v>2.5000000000000001E-2</v>
      </c>
      <c r="AD135" s="32">
        <f>AB135*AC135*AD$7</f>
        <v>310000</v>
      </c>
      <c r="AE135" s="455">
        <f>$F135</f>
        <v>400000</v>
      </c>
      <c r="AF135" s="748">
        <f>$G135</f>
        <v>2.5000000000000001E-2</v>
      </c>
      <c r="AG135" s="32">
        <f>AE135*AF135*AG$7</f>
        <v>310000</v>
      </c>
      <c r="AH135" s="455">
        <f>$F135</f>
        <v>400000</v>
      </c>
      <c r="AI135" s="748">
        <f>$G135</f>
        <v>2.5000000000000001E-2</v>
      </c>
      <c r="AJ135" s="32">
        <f>AH135*AI135*AJ$7</f>
        <v>300000</v>
      </c>
      <c r="AK135" s="455">
        <f>$F135</f>
        <v>400000</v>
      </c>
      <c r="AL135" s="748">
        <f>$G135</f>
        <v>2.5000000000000001E-2</v>
      </c>
      <c r="AM135" s="32">
        <f>AK135*AL135*AM$7</f>
        <v>310000</v>
      </c>
      <c r="AN135" s="455">
        <f>$F135</f>
        <v>400000</v>
      </c>
      <c r="AO135" s="748">
        <f>$G135</f>
        <v>2.5000000000000001E-2</v>
      </c>
      <c r="AP135" s="32">
        <f>AN135*AO135*AP$7</f>
        <v>300000</v>
      </c>
      <c r="AQ135" s="455">
        <f>$F135</f>
        <v>400000</v>
      </c>
      <c r="AR135" s="748">
        <f>$G135</f>
        <v>2.5000000000000001E-2</v>
      </c>
      <c r="AS135" s="32">
        <f>AQ135*AR135*AS$7</f>
        <v>310000</v>
      </c>
      <c r="AT135" s="32"/>
      <c r="AV135" s="33">
        <f>AS135+AP135+AM135+AJ135+AG135+AD135+AA135+X135+U135+R135+O135+L135</f>
        <v>3650000</v>
      </c>
      <c r="AW135" s="960">
        <f>SUM(AV133:AV135)</f>
        <v>2555000</v>
      </c>
      <c r="AZ135" s="33">
        <f>AV135</f>
        <v>3650000</v>
      </c>
    </row>
    <row r="136" spans="1:52" x14ac:dyDescent="0.2">
      <c r="A136" s="175"/>
      <c r="B136" s="175"/>
      <c r="D136" s="5"/>
      <c r="E136" s="181"/>
      <c r="F136" s="833"/>
      <c r="G136" s="170"/>
      <c r="H136" s="170"/>
      <c r="J136" s="455"/>
      <c r="L136" s="32"/>
      <c r="M136" s="455"/>
      <c r="N136" s="748"/>
      <c r="O136" s="32"/>
      <c r="P136" s="455"/>
      <c r="Q136" s="748"/>
      <c r="R136" s="32"/>
      <c r="S136" s="455"/>
      <c r="T136" s="748"/>
      <c r="U136" s="32"/>
      <c r="V136" s="455"/>
      <c r="W136" s="748"/>
      <c r="X136" s="32"/>
      <c r="Y136" s="455"/>
      <c r="Z136" s="748"/>
      <c r="AA136" s="32"/>
      <c r="AB136" s="455"/>
      <c r="AC136" s="748"/>
      <c r="AD136" s="32"/>
      <c r="AE136" s="455"/>
      <c r="AF136" s="748"/>
      <c r="AG136" s="32"/>
      <c r="AH136" s="455"/>
      <c r="AI136" s="748"/>
      <c r="AJ136" s="32"/>
      <c r="AK136" s="455"/>
      <c r="AL136" s="748"/>
      <c r="AM136" s="32"/>
      <c r="AN136" s="455"/>
      <c r="AO136" s="748"/>
      <c r="AP136" s="32"/>
      <c r="AQ136" s="455"/>
      <c r="AR136" s="748"/>
      <c r="AS136" s="32"/>
      <c r="AT136" s="32"/>
      <c r="AV136" s="33"/>
    </row>
    <row r="137" spans="1:52" x14ac:dyDescent="0.2">
      <c r="A137" s="175" t="s">
        <v>317</v>
      </c>
      <c r="B137" s="175" t="s">
        <v>284</v>
      </c>
      <c r="C137">
        <v>2001</v>
      </c>
      <c r="D137" s="5"/>
      <c r="E137" s="181">
        <v>37195</v>
      </c>
      <c r="F137" s="833">
        <v>-40000</v>
      </c>
      <c r="G137" s="170">
        <v>5.0700000000000002E-2</v>
      </c>
      <c r="H137" s="170">
        <v>9.2999999999999992E-3</v>
      </c>
      <c r="I137" s="748">
        <f>SUM(G137:H137)</f>
        <v>0.06</v>
      </c>
      <c r="J137" s="455">
        <f>$F137</f>
        <v>-40000</v>
      </c>
      <c r="K137" s="748">
        <f>$G137</f>
        <v>5.0700000000000002E-2</v>
      </c>
      <c r="L137" s="32">
        <f>J137*K137*L$7</f>
        <v>-62868</v>
      </c>
      <c r="M137" s="455">
        <f>$F137</f>
        <v>-40000</v>
      </c>
      <c r="N137" s="748">
        <f>$G137</f>
        <v>5.0700000000000002E-2</v>
      </c>
      <c r="O137" s="32">
        <f>M137*N137*O$7</f>
        <v>-56784</v>
      </c>
      <c r="P137" s="455">
        <f>$F137</f>
        <v>-40000</v>
      </c>
      <c r="Q137" s="748">
        <f>$G137</f>
        <v>5.0700000000000002E-2</v>
      </c>
      <c r="R137" s="32">
        <f>P137*Q137*R$7</f>
        <v>-62868</v>
      </c>
      <c r="S137" s="455">
        <f>$F137</f>
        <v>-40000</v>
      </c>
      <c r="T137" s="748">
        <f>$G137</f>
        <v>5.0700000000000002E-2</v>
      </c>
      <c r="U137" s="32">
        <f>S137*T137*U$7</f>
        <v>-60840</v>
      </c>
      <c r="V137" s="455">
        <f>$F137</f>
        <v>-40000</v>
      </c>
      <c r="W137" s="748">
        <f>$G137</f>
        <v>5.0700000000000002E-2</v>
      </c>
      <c r="X137" s="32">
        <f>V137*W137*X$7</f>
        <v>-62868</v>
      </c>
      <c r="Y137" s="455">
        <f>$F137</f>
        <v>-40000</v>
      </c>
      <c r="Z137" s="748">
        <f>$G137</f>
        <v>5.0700000000000002E-2</v>
      </c>
      <c r="AA137" s="32">
        <f>Y137*Z137*AA$7</f>
        <v>-60840</v>
      </c>
      <c r="AB137" s="455">
        <f>$F137</f>
        <v>-40000</v>
      </c>
      <c r="AC137" s="748">
        <f>$G137</f>
        <v>5.0700000000000002E-2</v>
      </c>
      <c r="AD137" s="32">
        <f>AB137*AC137*AD$7</f>
        <v>-62868</v>
      </c>
      <c r="AE137" s="455">
        <f>$F137</f>
        <v>-40000</v>
      </c>
      <c r="AF137" s="748">
        <f>$G137</f>
        <v>5.0700000000000002E-2</v>
      </c>
      <c r="AG137" s="32">
        <f>AE137*AF137*AG$7</f>
        <v>-62868</v>
      </c>
      <c r="AH137" s="455">
        <f>$F137</f>
        <v>-40000</v>
      </c>
      <c r="AI137" s="748">
        <f>$G137</f>
        <v>5.0700000000000002E-2</v>
      </c>
      <c r="AJ137" s="32">
        <f>AH137*AI137*AJ$7</f>
        <v>-60840</v>
      </c>
      <c r="AK137" s="455">
        <f>$F137</f>
        <v>-40000</v>
      </c>
      <c r="AL137" s="748">
        <f>$G137</f>
        <v>5.0700000000000002E-2</v>
      </c>
      <c r="AM137" s="32">
        <f>AK137*AL137*AM$7</f>
        <v>-62868</v>
      </c>
      <c r="AN137" s="455">
        <v>0</v>
      </c>
      <c r="AO137" s="748">
        <f>$G137</f>
        <v>5.0700000000000002E-2</v>
      </c>
      <c r="AP137" s="32">
        <f>AN137*AO137*AP$7</f>
        <v>0</v>
      </c>
      <c r="AQ137" s="455">
        <v>0</v>
      </c>
      <c r="AR137" s="748">
        <f>$G137</f>
        <v>5.0700000000000002E-2</v>
      </c>
      <c r="AS137" s="32">
        <f>AQ137*AR137*AS$7</f>
        <v>0</v>
      </c>
      <c r="AT137" s="32"/>
      <c r="AV137" s="33">
        <f>AS137+AP137+AM137+AJ137+AG137+AD137+AA137+X137+U137+R137+O137+L137</f>
        <v>-616512</v>
      </c>
    </row>
    <row r="138" spans="1:52" x14ac:dyDescent="0.2">
      <c r="A138" s="169">
        <v>26490</v>
      </c>
      <c r="B138" s="48" t="s">
        <v>284</v>
      </c>
      <c r="C138">
        <v>2001</v>
      </c>
      <c r="D138" s="48" t="s">
        <v>303</v>
      </c>
      <c r="E138" s="167"/>
      <c r="F138" s="817">
        <v>-40000</v>
      </c>
      <c r="G138" s="171">
        <v>6.0699999999999997E-2</v>
      </c>
      <c r="H138" s="171">
        <v>9.2999999999999992E-3</v>
      </c>
      <c r="I138" s="748">
        <f>SUM(G138:H138)</f>
        <v>6.9999999999999993E-2</v>
      </c>
      <c r="J138" s="455">
        <v>0</v>
      </c>
      <c r="K138" s="748">
        <f>$G138</f>
        <v>6.0699999999999997E-2</v>
      </c>
      <c r="L138" s="32">
        <f>J138*K138*L$7</f>
        <v>0</v>
      </c>
      <c r="M138" s="455">
        <v>0</v>
      </c>
      <c r="N138" s="748">
        <f>$G138</f>
        <v>6.0699999999999997E-2</v>
      </c>
      <c r="O138" s="32">
        <f>M138*N138*O$7</f>
        <v>0</v>
      </c>
      <c r="P138" s="455">
        <v>0</v>
      </c>
      <c r="Q138" s="748">
        <f>$G138</f>
        <v>6.0699999999999997E-2</v>
      </c>
      <c r="R138" s="32">
        <f>P138*Q138*R$7</f>
        <v>0</v>
      </c>
      <c r="S138" s="455">
        <v>0</v>
      </c>
      <c r="T138" s="748">
        <f>$G138</f>
        <v>6.0699999999999997E-2</v>
      </c>
      <c r="U138" s="32">
        <f>S138*T138*U$7</f>
        <v>0</v>
      </c>
      <c r="V138" s="455">
        <v>0</v>
      </c>
      <c r="W138" s="748">
        <f>$G138</f>
        <v>6.0699999999999997E-2</v>
      </c>
      <c r="X138" s="32">
        <f>V138*W138*X$7</f>
        <v>0</v>
      </c>
      <c r="Y138" s="455">
        <v>0</v>
      </c>
      <c r="Z138" s="748">
        <f>$G138</f>
        <v>6.0699999999999997E-2</v>
      </c>
      <c r="AA138" s="32">
        <f>Y138*Z138*AA$7</f>
        <v>0</v>
      </c>
      <c r="AB138" s="455">
        <v>0</v>
      </c>
      <c r="AC138" s="748">
        <f>$G138</f>
        <v>6.0699999999999997E-2</v>
      </c>
      <c r="AD138" s="32">
        <f>AB138*AC138*AD$7</f>
        <v>0</v>
      </c>
      <c r="AE138" s="455">
        <v>0</v>
      </c>
      <c r="AF138" s="748">
        <f>$G138</f>
        <v>6.0699999999999997E-2</v>
      </c>
      <c r="AG138" s="32">
        <f>AE138*AF138*AG$7</f>
        <v>0</v>
      </c>
      <c r="AH138" s="455">
        <v>0</v>
      </c>
      <c r="AI138" s="748">
        <f>$G138</f>
        <v>6.0699999999999997E-2</v>
      </c>
      <c r="AJ138" s="32">
        <f>AH138*AI138*AJ$7</f>
        <v>0</v>
      </c>
      <c r="AK138" s="455">
        <v>0</v>
      </c>
      <c r="AL138" s="748">
        <f>$G138</f>
        <v>6.0699999999999997E-2</v>
      </c>
      <c r="AM138" s="32">
        <f>AK138*AL138*AM$7</f>
        <v>0</v>
      </c>
      <c r="AN138" s="455">
        <f>$F138</f>
        <v>-40000</v>
      </c>
      <c r="AO138" s="748">
        <f>$G138</f>
        <v>6.0699999999999997E-2</v>
      </c>
      <c r="AP138" s="32">
        <f>AN138*AO138*AP$7</f>
        <v>-72840</v>
      </c>
      <c r="AQ138" s="455">
        <f>$F138</f>
        <v>-40000</v>
      </c>
      <c r="AR138" s="748">
        <f>$G138</f>
        <v>6.0699999999999997E-2</v>
      </c>
      <c r="AS138" s="32">
        <f>AQ138*AR138*AS$7</f>
        <v>-75268</v>
      </c>
      <c r="AT138" s="32"/>
      <c r="AV138" s="33">
        <f>AS138+AP138+AM138+AJ138+AG138+AD138+AA138+X138+U138+R138+O138+L138</f>
        <v>-148108</v>
      </c>
      <c r="AW138" s="11"/>
    </row>
    <row r="139" spans="1:52" x14ac:dyDescent="0.2">
      <c r="A139" s="629">
        <v>26490</v>
      </c>
      <c r="B139" s="389" t="s">
        <v>284</v>
      </c>
      <c r="C139" t="s">
        <v>450</v>
      </c>
      <c r="D139" s="745">
        <v>37196</v>
      </c>
      <c r="E139" s="745">
        <v>37925</v>
      </c>
      <c r="F139" s="824">
        <v>40000</v>
      </c>
      <c r="G139" s="748">
        <v>6.0699999999999997E-2</v>
      </c>
      <c r="H139" s="170">
        <v>9.2999999999999992E-3</v>
      </c>
      <c r="I139" s="748">
        <f>SUM(G139:H139)</f>
        <v>6.9999999999999993E-2</v>
      </c>
      <c r="J139" s="455">
        <f>$F139</f>
        <v>40000</v>
      </c>
      <c r="K139" s="748">
        <f>$G139</f>
        <v>6.0699999999999997E-2</v>
      </c>
      <c r="L139" s="32">
        <f>J139*K139*L$7</f>
        <v>75268</v>
      </c>
      <c r="M139" s="455">
        <f>$F139</f>
        <v>40000</v>
      </c>
      <c r="N139" s="748">
        <f>$G139</f>
        <v>6.0699999999999997E-2</v>
      </c>
      <c r="O139" s="32">
        <f>M139*N139*O$7</f>
        <v>67984</v>
      </c>
      <c r="P139" s="455">
        <f>$F139</f>
        <v>40000</v>
      </c>
      <c r="Q139" s="748">
        <f>$G139</f>
        <v>6.0699999999999997E-2</v>
      </c>
      <c r="R139" s="32">
        <f>P139*Q139*R$7</f>
        <v>75268</v>
      </c>
      <c r="S139" s="455">
        <f>$F139</f>
        <v>40000</v>
      </c>
      <c r="T139" s="748">
        <f>$G139</f>
        <v>6.0699999999999997E-2</v>
      </c>
      <c r="U139" s="32">
        <f>S139*T139*U$7</f>
        <v>72840</v>
      </c>
      <c r="V139" s="455">
        <f>$F139</f>
        <v>40000</v>
      </c>
      <c r="W139" s="748">
        <f>$G139</f>
        <v>6.0699999999999997E-2</v>
      </c>
      <c r="X139" s="32">
        <f>V139*W139*X$7</f>
        <v>75268</v>
      </c>
      <c r="Y139" s="455">
        <f>$F139</f>
        <v>40000</v>
      </c>
      <c r="Z139" s="748">
        <f>$G139</f>
        <v>6.0699999999999997E-2</v>
      </c>
      <c r="AA139" s="32">
        <f>Y139*Z139*AA$7</f>
        <v>72840</v>
      </c>
      <c r="AB139" s="455">
        <f>$F139</f>
        <v>40000</v>
      </c>
      <c r="AC139" s="748">
        <f>$G139</f>
        <v>6.0699999999999997E-2</v>
      </c>
      <c r="AD139" s="32">
        <f>AB139*AC139*AD$7</f>
        <v>75268</v>
      </c>
      <c r="AE139" s="455">
        <f>$F139</f>
        <v>40000</v>
      </c>
      <c r="AF139" s="748">
        <f>$G139</f>
        <v>6.0699999999999997E-2</v>
      </c>
      <c r="AG139" s="32">
        <f>AE139*AF139*AG$7</f>
        <v>75268</v>
      </c>
      <c r="AH139" s="455">
        <f>$F139</f>
        <v>40000</v>
      </c>
      <c r="AI139" s="748">
        <f>$G139</f>
        <v>6.0699999999999997E-2</v>
      </c>
      <c r="AJ139" s="32">
        <f>AH139*AI139*AJ$7</f>
        <v>72840</v>
      </c>
      <c r="AK139" s="455">
        <f>$F139</f>
        <v>40000</v>
      </c>
      <c r="AL139" s="748">
        <f>$G139</f>
        <v>6.0699999999999997E-2</v>
      </c>
      <c r="AM139" s="32">
        <f>AK139*AL139*AM$7</f>
        <v>75268</v>
      </c>
      <c r="AN139" s="455">
        <f>$F139</f>
        <v>40000</v>
      </c>
      <c r="AO139" s="748">
        <f>$G139</f>
        <v>6.0699999999999997E-2</v>
      </c>
      <c r="AP139" s="32">
        <f>AN139*AO139*AP$7</f>
        <v>72840</v>
      </c>
      <c r="AQ139" s="455">
        <f>$F139</f>
        <v>40000</v>
      </c>
      <c r="AR139" s="748">
        <f>$G139</f>
        <v>6.0699999999999997E-2</v>
      </c>
      <c r="AS139" s="32">
        <f>AQ139*AR139*AS$7</f>
        <v>75268</v>
      </c>
      <c r="AT139" s="32"/>
      <c r="AV139" s="33">
        <f>AS139+AP139+AM139+AJ139+AG139+AD139+AA139+X139+U139+R139+O139+L139</f>
        <v>886220</v>
      </c>
      <c r="AW139" s="33">
        <f>SUM(AV137:AV139)</f>
        <v>121600</v>
      </c>
      <c r="AZ139" s="33">
        <f>AV139</f>
        <v>886220</v>
      </c>
    </row>
    <row r="140" spans="1:52" x14ac:dyDescent="0.2">
      <c r="A140" s="175"/>
      <c r="B140" s="175"/>
      <c r="D140" s="5"/>
      <c r="E140" s="181"/>
      <c r="F140" s="833"/>
      <c r="G140" s="170"/>
      <c r="H140" s="170"/>
      <c r="J140" s="455"/>
      <c r="L140" s="32"/>
      <c r="M140" s="455"/>
      <c r="N140" s="748"/>
      <c r="O140" s="32"/>
      <c r="P140" s="455"/>
      <c r="Q140" s="748"/>
      <c r="R140" s="32"/>
      <c r="S140" s="455"/>
      <c r="T140" s="748"/>
      <c r="U140" s="32"/>
      <c r="V140" s="455"/>
      <c r="W140" s="748"/>
      <c r="X140" s="32"/>
      <c r="Y140" s="455"/>
      <c r="Z140" s="748"/>
      <c r="AA140" s="32"/>
      <c r="AB140" s="455"/>
      <c r="AC140" s="748"/>
      <c r="AD140" s="32"/>
      <c r="AE140" s="455"/>
      <c r="AF140" s="748"/>
      <c r="AG140" s="32"/>
      <c r="AH140" s="455"/>
      <c r="AI140" s="748"/>
      <c r="AJ140" s="32"/>
      <c r="AK140" s="455"/>
      <c r="AL140" s="748"/>
      <c r="AM140" s="32"/>
      <c r="AN140" s="455"/>
      <c r="AO140" s="748"/>
      <c r="AP140" s="32"/>
      <c r="AQ140" s="455"/>
      <c r="AR140" s="748"/>
      <c r="AS140" s="32"/>
      <c r="AT140" s="32"/>
      <c r="AV140" s="33"/>
    </row>
    <row r="141" spans="1:52" x14ac:dyDescent="0.2">
      <c r="A141" s="175">
        <v>27104</v>
      </c>
      <c r="B141" s="175" t="s">
        <v>318</v>
      </c>
      <c r="C141">
        <v>2001</v>
      </c>
      <c r="D141" s="5"/>
      <c r="E141" s="181">
        <v>37652</v>
      </c>
      <c r="F141" s="833">
        <v>-1613</v>
      </c>
      <c r="G141" s="170">
        <v>4.07E-2</v>
      </c>
      <c r="H141" s="170">
        <v>3.3E-3</v>
      </c>
      <c r="I141" s="748">
        <f>SUM(G141:H141)</f>
        <v>4.3999999999999997E-2</v>
      </c>
      <c r="J141" s="455">
        <f>$F141</f>
        <v>-1613</v>
      </c>
      <c r="K141" s="748">
        <f>$G141</f>
        <v>4.07E-2</v>
      </c>
      <c r="L141" s="32">
        <f>J141*K141*L$7</f>
        <v>-2035.1221</v>
      </c>
      <c r="M141" s="455">
        <f>$F141</f>
        <v>-1613</v>
      </c>
      <c r="N141" s="748">
        <f>$G141</f>
        <v>4.07E-2</v>
      </c>
      <c r="O141" s="32">
        <f>M141*N141*O$7</f>
        <v>-1838.1748000000002</v>
      </c>
      <c r="P141" s="455">
        <f>$F141</f>
        <v>-1613</v>
      </c>
      <c r="Q141" s="748">
        <f>$G141</f>
        <v>4.07E-2</v>
      </c>
      <c r="R141" s="32">
        <f>P141*Q141*R$7</f>
        <v>-2035.1221</v>
      </c>
      <c r="S141" s="455">
        <f>$F141</f>
        <v>-1613</v>
      </c>
      <c r="T141" s="748">
        <f>$G141</f>
        <v>4.07E-2</v>
      </c>
      <c r="U141" s="32">
        <f>S141*T141*U$7</f>
        <v>-1969.4730000000002</v>
      </c>
      <c r="V141" s="455">
        <f>$F141</f>
        <v>-1613</v>
      </c>
      <c r="W141" s="748">
        <f>$G141</f>
        <v>4.07E-2</v>
      </c>
      <c r="X141" s="32">
        <f>V141*W141*X$7</f>
        <v>-2035.1221</v>
      </c>
      <c r="Y141" s="455">
        <f>$F141</f>
        <v>-1613</v>
      </c>
      <c r="Z141" s="748">
        <f>$G141</f>
        <v>4.07E-2</v>
      </c>
      <c r="AA141" s="32">
        <f>Y141*Z141*AA$7</f>
        <v>-1969.4730000000002</v>
      </c>
      <c r="AB141" s="455">
        <f>$F141</f>
        <v>-1613</v>
      </c>
      <c r="AC141" s="748">
        <f>$G141</f>
        <v>4.07E-2</v>
      </c>
      <c r="AD141" s="32">
        <f>AB141*AC141*AD$7</f>
        <v>-2035.1221</v>
      </c>
      <c r="AE141" s="455">
        <f>$F141</f>
        <v>-1613</v>
      </c>
      <c r="AF141" s="748">
        <f>$G141</f>
        <v>4.07E-2</v>
      </c>
      <c r="AG141" s="32">
        <f>AE141*AF141*AG$7</f>
        <v>-2035.1221</v>
      </c>
      <c r="AH141" s="455">
        <f>$F141</f>
        <v>-1613</v>
      </c>
      <c r="AI141" s="748">
        <f>$G141</f>
        <v>4.07E-2</v>
      </c>
      <c r="AJ141" s="32">
        <f>AH141*AI141*AJ$7</f>
        <v>-1969.4730000000002</v>
      </c>
      <c r="AK141" s="455">
        <f>$F141</f>
        <v>-1613</v>
      </c>
      <c r="AL141" s="748">
        <f>$G141</f>
        <v>4.07E-2</v>
      </c>
      <c r="AM141" s="32">
        <f>AK141*AL141*AM$7</f>
        <v>-2035.1221</v>
      </c>
      <c r="AN141" s="455">
        <f>$F141</f>
        <v>-1613</v>
      </c>
      <c r="AO141" s="748">
        <f>$G141</f>
        <v>4.07E-2</v>
      </c>
      <c r="AP141" s="32">
        <f>AN141*AO141*AP$7</f>
        <v>-1969.4730000000002</v>
      </c>
      <c r="AQ141" s="455">
        <f>$F141</f>
        <v>-1613</v>
      </c>
      <c r="AR141" s="748">
        <f>$G141</f>
        <v>4.07E-2</v>
      </c>
      <c r="AS141" s="32">
        <f>AQ141*AR141*AS$7</f>
        <v>-2035.1221</v>
      </c>
      <c r="AT141" s="32"/>
      <c r="AV141" s="33">
        <f>AS141+AP141+AM141+AJ141+AG141+AD141+AA141+X141+U141+R141+O141+L141</f>
        <v>-23961.921500000004</v>
      </c>
    </row>
    <row r="142" spans="1:52" x14ac:dyDescent="0.2">
      <c r="A142" s="504">
        <v>27104</v>
      </c>
      <c r="B142" s="956" t="s">
        <v>495</v>
      </c>
      <c r="D142" s="489">
        <v>36557</v>
      </c>
      <c r="E142" s="181">
        <v>38383</v>
      </c>
      <c r="F142" s="837">
        <f>35859/12</f>
        <v>2988.25</v>
      </c>
      <c r="G142" s="748">
        <v>4.07E-2</v>
      </c>
      <c r="H142" s="170">
        <v>9.2999999999999992E-3</v>
      </c>
      <c r="I142" s="748">
        <f>SUM(G142:H142)</f>
        <v>0.05</v>
      </c>
      <c r="J142" s="455">
        <v>0</v>
      </c>
      <c r="K142" s="748">
        <f>$G142</f>
        <v>4.07E-2</v>
      </c>
      <c r="L142" s="32">
        <f>J142*K142*L$7</f>
        <v>0</v>
      </c>
      <c r="M142" s="455">
        <v>0</v>
      </c>
      <c r="N142" s="748">
        <f>$G142</f>
        <v>4.07E-2</v>
      </c>
      <c r="O142" s="32">
        <f>M142*N142*O$7</f>
        <v>0</v>
      </c>
      <c r="P142" s="455">
        <v>0</v>
      </c>
      <c r="Q142" s="748">
        <f>$G142</f>
        <v>4.07E-2</v>
      </c>
      <c r="R142" s="32">
        <f>P142*Q142*R$7</f>
        <v>0</v>
      </c>
      <c r="S142" s="455">
        <v>0</v>
      </c>
      <c r="T142" s="748">
        <f>$G142</f>
        <v>4.07E-2</v>
      </c>
      <c r="U142" s="32">
        <f>S142*T142*U$7</f>
        <v>0</v>
      </c>
      <c r="V142" s="455">
        <v>1613</v>
      </c>
      <c r="W142" s="748">
        <f>$G142</f>
        <v>4.07E-2</v>
      </c>
      <c r="X142" s="32">
        <f>V142*W142*X$7</f>
        <v>2035.1221</v>
      </c>
      <c r="Y142" s="455">
        <v>8333</v>
      </c>
      <c r="Z142" s="748">
        <f>$G142</f>
        <v>4.07E-2</v>
      </c>
      <c r="AA142" s="32">
        <f>Y142*Z142*AA$7</f>
        <v>10174.593000000001</v>
      </c>
      <c r="AB142" s="455">
        <v>12903</v>
      </c>
      <c r="AC142" s="748">
        <f>$G142</f>
        <v>4.07E-2</v>
      </c>
      <c r="AD142" s="32">
        <f>AB142*AC142*AD$7</f>
        <v>16279.715100000001</v>
      </c>
      <c r="AE142" s="455">
        <v>9677</v>
      </c>
      <c r="AF142" s="748">
        <f>$G142</f>
        <v>4.07E-2</v>
      </c>
      <c r="AG142" s="32">
        <f>AE142*AF142*AG$7</f>
        <v>12209.4709</v>
      </c>
      <c r="AH142" s="455">
        <v>3333</v>
      </c>
      <c r="AI142" s="748">
        <f>$G142</f>
        <v>4.07E-2</v>
      </c>
      <c r="AJ142" s="32">
        <f>AH142*AI142*AJ$7</f>
        <v>4069.5929999999998</v>
      </c>
      <c r="AK142" s="455">
        <v>0</v>
      </c>
      <c r="AL142" s="748">
        <f>$G142</f>
        <v>4.07E-2</v>
      </c>
      <c r="AM142" s="32">
        <f>AK142*AL142*AM$7</f>
        <v>0</v>
      </c>
      <c r="AN142" s="455">
        <v>0</v>
      </c>
      <c r="AO142" s="748">
        <f>$G142</f>
        <v>4.07E-2</v>
      </c>
      <c r="AP142" s="32">
        <f>AN142*AO142*AP$7</f>
        <v>0</v>
      </c>
      <c r="AQ142" s="455">
        <v>0</v>
      </c>
      <c r="AR142" s="748">
        <f>$G142</f>
        <v>4.07E-2</v>
      </c>
      <c r="AS142" s="32">
        <f>AQ142*AR142*AS$7</f>
        <v>0</v>
      </c>
      <c r="AT142" s="32"/>
      <c r="AV142" s="33">
        <f>AS142+AP142+AM142+AJ142+AG142+AD142+AA142+X142+U142+R142+O142+L142</f>
        <v>44768.494100000004</v>
      </c>
      <c r="AW142" s="33">
        <f>SUM(AV141:AV142)</f>
        <v>20806.5726</v>
      </c>
      <c r="AZ142" s="33">
        <f>AV142</f>
        <v>44768.494100000004</v>
      </c>
    </row>
    <row r="144" spans="1:52" x14ac:dyDescent="0.2">
      <c r="A144" s="172">
        <v>24568</v>
      </c>
      <c r="B144" s="172" t="s">
        <v>323</v>
      </c>
      <c r="D144" s="185" t="s">
        <v>321</v>
      </c>
      <c r="E144" s="185">
        <v>37256</v>
      </c>
      <c r="F144" s="817">
        <v>-32000</v>
      </c>
      <c r="G144" s="171">
        <v>0.20399999999999999</v>
      </c>
      <c r="H144" s="171">
        <v>1.6E-2</v>
      </c>
      <c r="I144" s="748">
        <f>SUM(G144:H144)</f>
        <v>0.21999999999999997</v>
      </c>
      <c r="J144" s="455">
        <f>$F144</f>
        <v>-32000</v>
      </c>
      <c r="K144" s="748">
        <f>$G144</f>
        <v>0.20399999999999999</v>
      </c>
      <c r="L144" s="32">
        <f>J144*K144*L$7</f>
        <v>-202368</v>
      </c>
      <c r="M144" s="455">
        <f>$F144</f>
        <v>-32000</v>
      </c>
      <c r="N144" s="748">
        <f>$G144</f>
        <v>0.20399999999999999</v>
      </c>
      <c r="O144" s="32">
        <f>M144*N144*O$7</f>
        <v>-182784</v>
      </c>
      <c r="P144" s="455">
        <f>$F144</f>
        <v>-32000</v>
      </c>
      <c r="Q144" s="748">
        <f>$G144</f>
        <v>0.20399999999999999</v>
      </c>
      <c r="R144" s="32">
        <f>P144*Q144*R$7</f>
        <v>-202368</v>
      </c>
      <c r="S144" s="455">
        <f>$F144</f>
        <v>-32000</v>
      </c>
      <c r="T144" s="748">
        <f>$G144</f>
        <v>0.20399999999999999</v>
      </c>
      <c r="U144" s="32">
        <f>S144*T144*U$7</f>
        <v>-195840</v>
      </c>
      <c r="V144" s="455">
        <f>$F144</f>
        <v>-32000</v>
      </c>
      <c r="W144" s="748">
        <f>$G144</f>
        <v>0.20399999999999999</v>
      </c>
      <c r="X144" s="32">
        <f>V144*W144*X$7</f>
        <v>-202368</v>
      </c>
      <c r="Y144" s="455">
        <f>$F144</f>
        <v>-32000</v>
      </c>
      <c r="Z144" s="748">
        <f>$G144</f>
        <v>0.20399999999999999</v>
      </c>
      <c r="AA144" s="32">
        <f>Y144*Z144*AA$7</f>
        <v>-195840</v>
      </c>
      <c r="AB144" s="455">
        <f>$F144</f>
        <v>-32000</v>
      </c>
      <c r="AC144" s="748">
        <f>$G144</f>
        <v>0.20399999999999999</v>
      </c>
      <c r="AD144" s="32">
        <f>AB144*AC144*AD$7</f>
        <v>-202368</v>
      </c>
      <c r="AE144" s="455">
        <f>$F144</f>
        <v>-32000</v>
      </c>
      <c r="AF144" s="748">
        <f>$G144</f>
        <v>0.20399999999999999</v>
      </c>
      <c r="AG144" s="32">
        <f>AE144*AF144*AG$7</f>
        <v>-202368</v>
      </c>
      <c r="AH144" s="455">
        <f>$F144</f>
        <v>-32000</v>
      </c>
      <c r="AI144" s="748">
        <f>$G144</f>
        <v>0.20399999999999999</v>
      </c>
      <c r="AJ144" s="32">
        <f>AH144*AI144*AJ$7</f>
        <v>-195840</v>
      </c>
      <c r="AK144" s="455">
        <f>$F144</f>
        <v>-32000</v>
      </c>
      <c r="AL144" s="748">
        <f>$G144</f>
        <v>0.20399999999999999</v>
      </c>
      <c r="AM144" s="32">
        <f>AK144*AL144*AM$7</f>
        <v>-202368</v>
      </c>
      <c r="AN144" s="455">
        <f>$F144</f>
        <v>-32000</v>
      </c>
      <c r="AO144" s="748">
        <f>$G144</f>
        <v>0.20399999999999999</v>
      </c>
      <c r="AP144" s="32">
        <f>AN144*AO144*AP$7</f>
        <v>-195840</v>
      </c>
      <c r="AQ144" s="455">
        <f>$F144</f>
        <v>-32000</v>
      </c>
      <c r="AR144" s="748">
        <f>$G144</f>
        <v>0.20399999999999999</v>
      </c>
      <c r="AS144" s="32">
        <f>AQ144*AR144*AS$7</f>
        <v>-202368</v>
      </c>
      <c r="AT144" s="32"/>
      <c r="AV144" s="33">
        <f>AS144+AP144+AM144+AJ144+AG144+AD144+AA144+X144+U144+R144+O144+L144</f>
        <v>-2382720</v>
      </c>
      <c r="AW144" s="11"/>
    </row>
    <row r="145" spans="1:52" x14ac:dyDescent="0.2">
      <c r="A145" s="175">
        <v>24654</v>
      </c>
      <c r="B145" s="175" t="s">
        <v>302</v>
      </c>
      <c r="D145" s="181" t="s">
        <v>321</v>
      </c>
      <c r="E145" s="181">
        <v>37256</v>
      </c>
      <c r="F145" s="817">
        <v>-8000</v>
      </c>
      <c r="G145" s="171">
        <v>0.20399999999999999</v>
      </c>
      <c r="H145" s="171">
        <v>1.35E-2</v>
      </c>
      <c r="I145" s="748">
        <f>SUM(G145:H145)</f>
        <v>0.2175</v>
      </c>
      <c r="J145" s="455">
        <f>$F145</f>
        <v>-8000</v>
      </c>
      <c r="K145" s="748">
        <f>$G145</f>
        <v>0.20399999999999999</v>
      </c>
      <c r="L145" s="32">
        <f>J145*K145*L$7</f>
        <v>-50592</v>
      </c>
      <c r="M145" s="455">
        <f>$F145</f>
        <v>-8000</v>
      </c>
      <c r="N145" s="748">
        <f>$G145</f>
        <v>0.20399999999999999</v>
      </c>
      <c r="O145" s="32">
        <f>M145*N145*O$7</f>
        <v>-45696</v>
      </c>
      <c r="P145" s="455">
        <f>$F145</f>
        <v>-8000</v>
      </c>
      <c r="Q145" s="748">
        <f>$G145</f>
        <v>0.20399999999999999</v>
      </c>
      <c r="R145" s="32">
        <f>P145*Q145*R$7</f>
        <v>-50592</v>
      </c>
      <c r="S145" s="455">
        <f>$F145</f>
        <v>-8000</v>
      </c>
      <c r="T145" s="748">
        <f>$G145</f>
        <v>0.20399999999999999</v>
      </c>
      <c r="U145" s="32">
        <f>S145*T145*U$7</f>
        <v>-48960</v>
      </c>
      <c r="V145" s="455">
        <f>$F145</f>
        <v>-8000</v>
      </c>
      <c r="W145" s="748">
        <f>$G145</f>
        <v>0.20399999999999999</v>
      </c>
      <c r="X145" s="32">
        <f>V145*W145*X$7</f>
        <v>-50592</v>
      </c>
      <c r="Y145" s="455">
        <f>$F145</f>
        <v>-8000</v>
      </c>
      <c r="Z145" s="748">
        <f>$G145</f>
        <v>0.20399999999999999</v>
      </c>
      <c r="AA145" s="32">
        <f>Y145*Z145*AA$7</f>
        <v>-48960</v>
      </c>
      <c r="AB145" s="455">
        <f>$F145</f>
        <v>-8000</v>
      </c>
      <c r="AC145" s="748">
        <f>$G145</f>
        <v>0.20399999999999999</v>
      </c>
      <c r="AD145" s="32">
        <f>AB145*AC145*AD$7</f>
        <v>-50592</v>
      </c>
      <c r="AE145" s="455">
        <f>$F145</f>
        <v>-8000</v>
      </c>
      <c r="AF145" s="748">
        <f>$G145</f>
        <v>0.20399999999999999</v>
      </c>
      <c r="AG145" s="32">
        <f>AE145*AF145*AG$7</f>
        <v>-50592</v>
      </c>
      <c r="AH145" s="455">
        <f>$F145</f>
        <v>-8000</v>
      </c>
      <c r="AI145" s="748">
        <f>$G145</f>
        <v>0.20399999999999999</v>
      </c>
      <c r="AJ145" s="32">
        <f>AH145*AI145*AJ$7</f>
        <v>-48960</v>
      </c>
      <c r="AK145" s="455">
        <f>$F145</f>
        <v>-8000</v>
      </c>
      <c r="AL145" s="748">
        <f>$G145</f>
        <v>0.20399999999999999</v>
      </c>
      <c r="AM145" s="32">
        <f>AK145*AL145*AM$7</f>
        <v>-50592</v>
      </c>
      <c r="AN145" s="455">
        <f>$F145</f>
        <v>-8000</v>
      </c>
      <c r="AO145" s="748">
        <f>$G145</f>
        <v>0.20399999999999999</v>
      </c>
      <c r="AP145" s="32">
        <f>AN145*AO145*AP$7</f>
        <v>-48960</v>
      </c>
      <c r="AQ145" s="455">
        <f>$F145</f>
        <v>-8000</v>
      </c>
      <c r="AR145" s="748">
        <f>$G145</f>
        <v>0.20399999999999999</v>
      </c>
      <c r="AS145" s="32">
        <f>AQ145*AR145*AS$7</f>
        <v>-50592</v>
      </c>
      <c r="AT145" s="32"/>
      <c r="AV145" s="33">
        <f>AS145+AP145+AM145+AJ145+AG145+AD145+AA145+X145+U145+R145+O145+L145</f>
        <v>-595680</v>
      </c>
      <c r="AW145" s="11"/>
    </row>
    <row r="146" spans="1:52" x14ac:dyDescent="0.2">
      <c r="A146" s="504">
        <v>24809</v>
      </c>
      <c r="B146" s="504" t="s">
        <v>324</v>
      </c>
      <c r="D146" s="489" t="s">
        <v>325</v>
      </c>
      <c r="E146" s="185">
        <v>37225</v>
      </c>
      <c r="F146" s="817">
        <v>-20000</v>
      </c>
      <c r="G146" s="171">
        <v>0.20700000000000002</v>
      </c>
      <c r="H146" s="171">
        <v>1.9199999999999998E-2</v>
      </c>
      <c r="I146" s="748">
        <f>SUM(G146:H146)</f>
        <v>0.22620000000000001</v>
      </c>
      <c r="J146" s="455">
        <f>$F146</f>
        <v>-20000</v>
      </c>
      <c r="K146" s="748">
        <f>$G146</f>
        <v>0.20700000000000002</v>
      </c>
      <c r="L146" s="32">
        <f>J146*K146*L$7</f>
        <v>-128340</v>
      </c>
      <c r="M146" s="455">
        <f>$F146</f>
        <v>-20000</v>
      </c>
      <c r="N146" s="748">
        <f>$G146</f>
        <v>0.20700000000000002</v>
      </c>
      <c r="O146" s="32">
        <f>M146*N146*O$7</f>
        <v>-115920</v>
      </c>
      <c r="P146" s="455">
        <f>$F146</f>
        <v>-20000</v>
      </c>
      <c r="Q146" s="748">
        <f>$G146</f>
        <v>0.20700000000000002</v>
      </c>
      <c r="R146" s="32">
        <f>P146*Q146*R$7</f>
        <v>-128340</v>
      </c>
      <c r="S146" s="455">
        <f>$F146</f>
        <v>-20000</v>
      </c>
      <c r="T146" s="748">
        <f>$G146</f>
        <v>0.20700000000000002</v>
      </c>
      <c r="U146" s="32">
        <f>S146*T146*U$7</f>
        <v>-124200</v>
      </c>
      <c r="V146" s="455">
        <f>$F146</f>
        <v>-20000</v>
      </c>
      <c r="W146" s="748">
        <f>$G146</f>
        <v>0.20700000000000002</v>
      </c>
      <c r="X146" s="32">
        <f>V146*W146*X$7</f>
        <v>-128340</v>
      </c>
      <c r="Y146" s="455">
        <f>$F146</f>
        <v>-20000</v>
      </c>
      <c r="Z146" s="748">
        <f>$G146</f>
        <v>0.20700000000000002</v>
      </c>
      <c r="AA146" s="32">
        <f>Y146*Z146*AA$7</f>
        <v>-124200</v>
      </c>
      <c r="AB146" s="455">
        <f>$F146</f>
        <v>-20000</v>
      </c>
      <c r="AC146" s="748">
        <f>$G146</f>
        <v>0.20700000000000002</v>
      </c>
      <c r="AD146" s="32">
        <f>AB146*AC146*AD$7</f>
        <v>-128340</v>
      </c>
      <c r="AE146" s="455">
        <f>$F146</f>
        <v>-20000</v>
      </c>
      <c r="AF146" s="748">
        <f>$G146</f>
        <v>0.20700000000000002</v>
      </c>
      <c r="AG146" s="32">
        <f>AE146*AF146*AG$7</f>
        <v>-128340</v>
      </c>
      <c r="AH146" s="455">
        <f>$F146</f>
        <v>-20000</v>
      </c>
      <c r="AI146" s="748">
        <f>$G146</f>
        <v>0.20700000000000002</v>
      </c>
      <c r="AJ146" s="32">
        <f>AH146*AI146*AJ$7</f>
        <v>-124200</v>
      </c>
      <c r="AK146" s="455">
        <f>$F146</f>
        <v>-20000</v>
      </c>
      <c r="AL146" s="748">
        <f>$G146</f>
        <v>0.20700000000000002</v>
      </c>
      <c r="AM146" s="32">
        <f>AK146*AL146*AM$7</f>
        <v>-128340</v>
      </c>
      <c r="AN146" s="455">
        <f>$F146</f>
        <v>-20000</v>
      </c>
      <c r="AO146" s="748">
        <f>$G146</f>
        <v>0.20700000000000002</v>
      </c>
      <c r="AP146" s="32">
        <f>AN146*AO146*AP$7</f>
        <v>-124200</v>
      </c>
      <c r="AQ146" s="455">
        <v>0</v>
      </c>
      <c r="AR146" s="748">
        <f>$G146</f>
        <v>0.20700000000000002</v>
      </c>
      <c r="AS146" s="32">
        <f>AQ146*AR146*AS$7</f>
        <v>0</v>
      </c>
      <c r="AT146" s="32"/>
      <c r="AV146" s="33">
        <f>AS146+AP146+AM146+AJ146+AG146+AD146+AA146+X146+U146+R146+O146+L146</f>
        <v>-1382760</v>
      </c>
      <c r="AW146" s="907">
        <f>SUM(AV144:AV146)</f>
        <v>-4361160</v>
      </c>
    </row>
    <row r="147" spans="1:52" x14ac:dyDescent="0.2">
      <c r="A147" s="504"/>
      <c r="B147" s="504"/>
      <c r="D147" s="489"/>
      <c r="E147" s="185"/>
      <c r="F147" s="817"/>
      <c r="G147" s="171"/>
      <c r="H147" s="171"/>
      <c r="J147" s="821"/>
      <c r="L147" s="32"/>
      <c r="M147" s="821"/>
      <c r="N147" s="748"/>
      <c r="O147" s="32"/>
      <c r="P147" s="821"/>
      <c r="Q147" s="748"/>
      <c r="R147" s="32"/>
      <c r="S147" s="821"/>
      <c r="T147" s="748"/>
      <c r="U147" s="32"/>
      <c r="V147" s="821"/>
      <c r="W147" s="748"/>
      <c r="X147" s="32"/>
      <c r="Y147" s="821"/>
      <c r="Z147" s="748"/>
      <c r="AA147" s="32"/>
      <c r="AB147" s="821"/>
      <c r="AC147" s="748"/>
      <c r="AD147" s="32"/>
      <c r="AE147" s="821"/>
      <c r="AF147" s="748"/>
      <c r="AG147" s="32"/>
      <c r="AH147" s="821"/>
      <c r="AI147" s="748"/>
      <c r="AJ147" s="32"/>
      <c r="AK147" s="821"/>
      <c r="AL147" s="748"/>
      <c r="AM147" s="32"/>
      <c r="AN147" s="821"/>
      <c r="AO147" s="748"/>
      <c r="AP147" s="32"/>
      <c r="AQ147" s="821"/>
      <c r="AR147" s="748"/>
      <c r="AS147" s="32"/>
      <c r="AT147" s="32"/>
      <c r="AV147" s="33"/>
      <c r="AW147" s="11"/>
    </row>
    <row r="148" spans="1:52" s="11" customFormat="1" x14ac:dyDescent="0.2">
      <c r="A148" s="504">
        <v>25025</v>
      </c>
      <c r="B148" s="504" t="s">
        <v>314</v>
      </c>
      <c r="D148" s="489" t="s">
        <v>327</v>
      </c>
      <c r="E148" s="489">
        <v>39051</v>
      </c>
      <c r="F148" s="817">
        <v>-80000</v>
      </c>
      <c r="G148" s="171">
        <v>0.1346</v>
      </c>
      <c r="H148" s="171">
        <v>1.04E-2</v>
      </c>
      <c r="I148" s="15">
        <f>SUM(G148:H148)</f>
        <v>0.14499999999999999</v>
      </c>
      <c r="J148" s="821">
        <f>$F148</f>
        <v>-80000</v>
      </c>
      <c r="K148" s="15">
        <f>$G148</f>
        <v>0.1346</v>
      </c>
      <c r="L148" s="822">
        <f>J148*K148*L$7</f>
        <v>-333808</v>
      </c>
      <c r="M148" s="821">
        <f>$F148</f>
        <v>-80000</v>
      </c>
      <c r="N148" s="15">
        <f>$G148</f>
        <v>0.1346</v>
      </c>
      <c r="O148" s="822">
        <f>M148*N148*O$7</f>
        <v>-301504</v>
      </c>
      <c r="P148" s="821">
        <f>$F148</f>
        <v>-80000</v>
      </c>
      <c r="Q148" s="15">
        <f>$G148</f>
        <v>0.1346</v>
      </c>
      <c r="R148" s="822">
        <f>P148*Q148*R$7</f>
        <v>-333808</v>
      </c>
      <c r="S148" s="821">
        <f>$F148</f>
        <v>-80000</v>
      </c>
      <c r="T148" s="15">
        <f>$G148</f>
        <v>0.1346</v>
      </c>
      <c r="U148" s="822">
        <f>S148*T148*U$7</f>
        <v>-323040</v>
      </c>
      <c r="V148" s="821">
        <f>$F148</f>
        <v>-80000</v>
      </c>
      <c r="W148" s="15">
        <f>$G148</f>
        <v>0.1346</v>
      </c>
      <c r="X148" s="822">
        <f>V148*W148*X$7</f>
        <v>-333808</v>
      </c>
      <c r="Y148" s="821">
        <f>$F148</f>
        <v>-80000</v>
      </c>
      <c r="Z148" s="15">
        <f>$G148</f>
        <v>0.1346</v>
      </c>
      <c r="AA148" s="822">
        <f>Y148*Z148*AA$7</f>
        <v>-323040</v>
      </c>
      <c r="AB148" s="821">
        <f>$F148</f>
        <v>-80000</v>
      </c>
      <c r="AC148" s="15">
        <f>$G148</f>
        <v>0.1346</v>
      </c>
      <c r="AD148" s="822">
        <f>AB148*AC148*AD$7</f>
        <v>-333808</v>
      </c>
      <c r="AE148" s="821">
        <f>$F148</f>
        <v>-80000</v>
      </c>
      <c r="AF148" s="15">
        <f>$G148</f>
        <v>0.1346</v>
      </c>
      <c r="AG148" s="822">
        <f>AE148*AF148*AG$7</f>
        <v>-333808</v>
      </c>
      <c r="AH148" s="821">
        <f>$F148</f>
        <v>-80000</v>
      </c>
      <c r="AI148" s="15">
        <f>$G148</f>
        <v>0.1346</v>
      </c>
      <c r="AJ148" s="822">
        <f>AH148*AI148*AJ$7</f>
        <v>-323040</v>
      </c>
      <c r="AK148" s="821">
        <f>$F148</f>
        <v>-80000</v>
      </c>
      <c r="AL148" s="15">
        <f>$G148</f>
        <v>0.1346</v>
      </c>
      <c r="AM148" s="822">
        <f>AK148*AL148*AM$7</f>
        <v>-333808</v>
      </c>
      <c r="AN148" s="821">
        <f>$F148</f>
        <v>-80000</v>
      </c>
      <c r="AO148" s="15">
        <f>$G148</f>
        <v>0.1346</v>
      </c>
      <c r="AP148" s="822">
        <f>AN148*AO148*AP$7</f>
        <v>-323040</v>
      </c>
      <c r="AQ148" s="821">
        <f>$F148</f>
        <v>-80000</v>
      </c>
      <c r="AR148" s="15">
        <f>$G148</f>
        <v>0.1346</v>
      </c>
      <c r="AS148" s="822">
        <f>AQ148*AR148*AS$7</f>
        <v>-333808</v>
      </c>
      <c r="AT148" s="822"/>
      <c r="AV148" s="823">
        <f>AS148+AP148+AM148+AJ148+AG148+AD148+AA148+X148+U148+R148+O148+L148</f>
        <v>-3930320</v>
      </c>
    </row>
    <row r="149" spans="1:52" x14ac:dyDescent="0.2">
      <c r="A149" s="504">
        <v>25025</v>
      </c>
      <c r="B149" s="504" t="s">
        <v>314</v>
      </c>
      <c r="D149" s="489" t="s">
        <v>327</v>
      </c>
      <c r="E149" s="489">
        <v>39051</v>
      </c>
      <c r="F149" s="836">
        <v>80000</v>
      </c>
      <c r="G149" s="748">
        <v>0.1346</v>
      </c>
      <c r="H149" s="170">
        <v>1.04E-2</v>
      </c>
      <c r="I149" s="748">
        <f>SUM(G149:H149)</f>
        <v>0.14499999999999999</v>
      </c>
      <c r="J149" s="455">
        <f>$F149</f>
        <v>80000</v>
      </c>
      <c r="K149" s="748">
        <f>$G149</f>
        <v>0.1346</v>
      </c>
      <c r="L149" s="32">
        <f>J149*K149*L$7</f>
        <v>333808</v>
      </c>
      <c r="M149" s="455">
        <f>$F149</f>
        <v>80000</v>
      </c>
      <c r="N149" s="748">
        <f>$G149</f>
        <v>0.1346</v>
      </c>
      <c r="O149" s="32">
        <f>M149*N149*O$7</f>
        <v>301504</v>
      </c>
      <c r="P149" s="455">
        <f>$F149</f>
        <v>80000</v>
      </c>
      <c r="Q149" s="748">
        <f>$G149</f>
        <v>0.1346</v>
      </c>
      <c r="R149" s="32">
        <f>P149*Q149*R$7</f>
        <v>333808</v>
      </c>
      <c r="S149" s="455">
        <f>$F149</f>
        <v>80000</v>
      </c>
      <c r="T149" s="748">
        <f>$G149</f>
        <v>0.1346</v>
      </c>
      <c r="U149" s="32">
        <f>S149*T149*U$7</f>
        <v>323040</v>
      </c>
      <c r="V149" s="455">
        <f>$F149</f>
        <v>80000</v>
      </c>
      <c r="W149" s="748">
        <f>$G149</f>
        <v>0.1346</v>
      </c>
      <c r="X149" s="32">
        <f>V149*W149*X$7</f>
        <v>333808</v>
      </c>
      <c r="Y149" s="455">
        <f>$F149</f>
        <v>80000</v>
      </c>
      <c r="Z149" s="748">
        <f>$G149</f>
        <v>0.1346</v>
      </c>
      <c r="AA149" s="32">
        <f>Y149*Z149*AA$7</f>
        <v>323040</v>
      </c>
      <c r="AB149" s="455">
        <f>$F149</f>
        <v>80000</v>
      </c>
      <c r="AC149" s="748">
        <f>$G149</f>
        <v>0.1346</v>
      </c>
      <c r="AD149" s="32">
        <f>AB149*AC149*AD$7</f>
        <v>333808</v>
      </c>
      <c r="AE149" s="455">
        <f>$F149</f>
        <v>80000</v>
      </c>
      <c r="AF149" s="748">
        <f>$G149</f>
        <v>0.1346</v>
      </c>
      <c r="AG149" s="32">
        <f>AE149*AF149*AG$7</f>
        <v>333808</v>
      </c>
      <c r="AH149" s="455">
        <f>$F149</f>
        <v>80000</v>
      </c>
      <c r="AI149" s="748">
        <f>$G149</f>
        <v>0.1346</v>
      </c>
      <c r="AJ149" s="32">
        <f>AH149*AI149*AJ$7</f>
        <v>323040</v>
      </c>
      <c r="AK149" s="455">
        <f>$F149</f>
        <v>80000</v>
      </c>
      <c r="AL149" s="748">
        <f>$G149</f>
        <v>0.1346</v>
      </c>
      <c r="AM149" s="32">
        <f>AK149*AL149*AM$7</f>
        <v>333808</v>
      </c>
      <c r="AN149" s="455">
        <f>$F149</f>
        <v>80000</v>
      </c>
      <c r="AO149" s="748">
        <f>$G149</f>
        <v>0.1346</v>
      </c>
      <c r="AP149" s="32">
        <f>AN149*AO149*AP$7</f>
        <v>323040</v>
      </c>
      <c r="AQ149" s="455">
        <f>$F149</f>
        <v>80000</v>
      </c>
      <c r="AR149" s="748">
        <f>$G149+0.005</f>
        <v>0.1396</v>
      </c>
      <c r="AS149" s="32">
        <f>AQ149*AR149*AS$7</f>
        <v>346208</v>
      </c>
      <c r="AT149" s="32"/>
      <c r="AV149" s="33">
        <f>AS149+AP149+AM149+AJ149+AG149+AD149+AA149+X149+U149+R149+O149+L149</f>
        <v>3942720</v>
      </c>
      <c r="AW149" s="33">
        <f>SUM(AV148:AV149)</f>
        <v>12400</v>
      </c>
      <c r="AZ149" s="33">
        <f>AV149</f>
        <v>3942720</v>
      </c>
    </row>
    <row r="150" spans="1:52" x14ac:dyDescent="0.2">
      <c r="A150" s="743"/>
      <c r="J150" s="455"/>
      <c r="L150" s="32"/>
      <c r="M150" s="455"/>
      <c r="N150" s="748"/>
      <c r="O150" s="32"/>
      <c r="P150" s="455"/>
      <c r="Q150" s="748"/>
      <c r="R150" s="32"/>
      <c r="S150" s="455"/>
      <c r="T150" s="748"/>
      <c r="U150" s="32"/>
      <c r="V150" s="455"/>
      <c r="W150" s="748"/>
      <c r="X150" s="32"/>
      <c r="Y150" s="455"/>
      <c r="Z150" s="748"/>
      <c r="AA150" s="32"/>
      <c r="AB150" s="455"/>
      <c r="AC150" s="748"/>
      <c r="AD150" s="32"/>
      <c r="AE150" s="455"/>
      <c r="AF150" s="748"/>
      <c r="AG150" s="32"/>
      <c r="AH150" s="455"/>
      <c r="AI150" s="748"/>
      <c r="AJ150" s="32"/>
      <c r="AK150" s="455"/>
      <c r="AL150" s="748"/>
      <c r="AM150" s="32"/>
      <c r="AN150" s="455"/>
      <c r="AO150" s="748"/>
      <c r="AP150" s="32"/>
      <c r="AQ150" s="455"/>
      <c r="AR150" s="748"/>
      <c r="AS150" s="32"/>
      <c r="AT150" s="32"/>
    </row>
    <row r="151" spans="1:52" x14ac:dyDescent="0.2">
      <c r="A151" s="629">
        <v>27377</v>
      </c>
      <c r="B151" t="s">
        <v>284</v>
      </c>
      <c r="C151">
        <v>2002</v>
      </c>
      <c r="D151" s="745"/>
      <c r="E151" s="745"/>
      <c r="F151" s="824">
        <v>10000</v>
      </c>
      <c r="G151" s="748">
        <v>4.07E-2</v>
      </c>
      <c r="H151" s="170">
        <v>9.2999999999999992E-3</v>
      </c>
      <c r="I151" s="748">
        <f t="shared" ref="I151:I161" si="134">SUM(G151:H151)</f>
        <v>0.05</v>
      </c>
      <c r="J151" s="455">
        <f t="shared" ref="J151:J161" si="135">$F151</f>
        <v>10000</v>
      </c>
      <c r="K151" s="748">
        <f t="shared" ref="K151:K161" si="136">$G151</f>
        <v>4.07E-2</v>
      </c>
      <c r="L151" s="32">
        <f t="shared" ref="L151:L161" si="137">J151*K151*L$7</f>
        <v>12617</v>
      </c>
      <c r="M151" s="455">
        <f t="shared" ref="M151:M161" si="138">$F151</f>
        <v>10000</v>
      </c>
      <c r="N151" s="748">
        <f t="shared" ref="N151:N161" si="139">$G151</f>
        <v>4.07E-2</v>
      </c>
      <c r="O151" s="32">
        <f t="shared" ref="O151:O161" si="140">M151*N151*O$7</f>
        <v>11396</v>
      </c>
      <c r="P151" s="455">
        <v>0</v>
      </c>
      <c r="Q151" s="748">
        <f t="shared" ref="Q151:Q161" si="141">$G151</f>
        <v>4.07E-2</v>
      </c>
      <c r="R151" s="32">
        <f t="shared" ref="R151:R161" si="142">P151*Q151*R$7</f>
        <v>0</v>
      </c>
      <c r="S151" s="455">
        <v>0</v>
      </c>
      <c r="T151" s="748">
        <f t="shared" ref="T151:T161" si="143">$G151</f>
        <v>4.07E-2</v>
      </c>
      <c r="U151" s="32">
        <f t="shared" ref="U151:U161" si="144">S151*T151*U$7</f>
        <v>0</v>
      </c>
      <c r="V151" s="455">
        <v>0</v>
      </c>
      <c r="W151" s="748">
        <f t="shared" ref="W151:W161" si="145">$G151</f>
        <v>4.07E-2</v>
      </c>
      <c r="X151" s="32">
        <f t="shared" ref="X151:X161" si="146">V151*W151*X$7</f>
        <v>0</v>
      </c>
      <c r="Y151" s="455">
        <v>0</v>
      </c>
      <c r="Z151" s="748">
        <f t="shared" ref="Z151:Z161" si="147">$G151</f>
        <v>4.07E-2</v>
      </c>
      <c r="AA151" s="32">
        <f t="shared" ref="AA151:AA161" si="148">Y151*Z151*AA$7</f>
        <v>0</v>
      </c>
      <c r="AB151" s="455">
        <v>0</v>
      </c>
      <c r="AC151" s="748">
        <f t="shared" ref="AC151:AC161" si="149">$G151</f>
        <v>4.07E-2</v>
      </c>
      <c r="AD151" s="32">
        <f t="shared" ref="AD151:AD161" si="150">AB151*AC151*AD$7</f>
        <v>0</v>
      </c>
      <c r="AE151" s="455">
        <v>0</v>
      </c>
      <c r="AF151" s="748">
        <f t="shared" ref="AF151:AF161" si="151">$G151</f>
        <v>4.07E-2</v>
      </c>
      <c r="AG151" s="32">
        <f t="shared" ref="AG151:AG161" si="152">AE151*AF151*AG$7</f>
        <v>0</v>
      </c>
      <c r="AH151" s="455">
        <v>0</v>
      </c>
      <c r="AI151" s="748">
        <f t="shared" ref="AI151:AI161" si="153">$G151</f>
        <v>4.07E-2</v>
      </c>
      <c r="AJ151" s="32">
        <f t="shared" ref="AJ151:AJ161" si="154">AH151*AI151*AJ$7</f>
        <v>0</v>
      </c>
      <c r="AK151" s="455">
        <v>0</v>
      </c>
      <c r="AL151" s="748">
        <f t="shared" ref="AL151:AL161" si="155">$G151</f>
        <v>4.07E-2</v>
      </c>
      <c r="AM151" s="32">
        <f t="shared" ref="AM151:AM161" si="156">AK151*AL151*AM$7</f>
        <v>0</v>
      </c>
      <c r="AN151" s="455">
        <v>0</v>
      </c>
      <c r="AO151" s="748">
        <f t="shared" ref="AO151:AO161" si="157">$G151</f>
        <v>4.07E-2</v>
      </c>
      <c r="AP151" s="32">
        <f t="shared" ref="AP151:AP161" si="158">AN151*AO151*AP$7</f>
        <v>0</v>
      </c>
      <c r="AQ151" s="455">
        <v>0</v>
      </c>
      <c r="AR151" s="748">
        <f t="shared" ref="AR151:AR161" si="159">$G151</f>
        <v>4.07E-2</v>
      </c>
      <c r="AS151" s="32">
        <f t="shared" ref="AS151:AS161" si="160">AQ151*AR151*AS$7</f>
        <v>0</v>
      </c>
      <c r="AT151" s="32"/>
      <c r="AV151" s="33">
        <f t="shared" ref="AV151:AV161" si="161">AS151+AP151+AM151+AJ151+AG151+AD151+AA151+X151+U151+R151+O151+L151</f>
        <v>24013</v>
      </c>
      <c r="AW151" s="961">
        <f>AV151</f>
        <v>24013</v>
      </c>
      <c r="AZ151" s="33">
        <f>AV151</f>
        <v>24013</v>
      </c>
    </row>
    <row r="152" spans="1:52" x14ac:dyDescent="0.2">
      <c r="A152" s="629">
        <v>27377</v>
      </c>
      <c r="B152" s="389" t="s">
        <v>284</v>
      </c>
      <c r="C152">
        <v>2002</v>
      </c>
      <c r="D152" s="745" t="s">
        <v>745</v>
      </c>
      <c r="E152" s="745"/>
      <c r="F152" s="824">
        <v>10000</v>
      </c>
      <c r="G152" s="748">
        <v>4.07E-2</v>
      </c>
      <c r="H152" s="170">
        <v>9.2999999999999992E-3</v>
      </c>
      <c r="I152" s="748">
        <f>SUM(G152:H152)</f>
        <v>0.05</v>
      </c>
      <c r="J152" s="455">
        <v>0</v>
      </c>
      <c r="K152" s="748">
        <f t="shared" si="136"/>
        <v>4.07E-2</v>
      </c>
      <c r="L152" s="32">
        <f>J152*K152*L$7</f>
        <v>0</v>
      </c>
      <c r="M152" s="455">
        <v>0</v>
      </c>
      <c r="N152" s="748">
        <f t="shared" si="139"/>
        <v>4.07E-2</v>
      </c>
      <c r="O152" s="32">
        <f>M152*N152*O$7</f>
        <v>0</v>
      </c>
      <c r="P152" s="455">
        <f t="shared" ref="P152:P161" si="162">$F152</f>
        <v>10000</v>
      </c>
      <c r="Q152" s="748">
        <f t="shared" si="141"/>
        <v>4.07E-2</v>
      </c>
      <c r="R152" s="32">
        <f>P152*Q152*R$7</f>
        <v>12617</v>
      </c>
      <c r="S152" s="455">
        <f>$F152</f>
        <v>10000</v>
      </c>
      <c r="T152" s="748">
        <f t="shared" si="143"/>
        <v>4.07E-2</v>
      </c>
      <c r="U152" s="32">
        <f>S152*T152*U$7</f>
        <v>12210</v>
      </c>
      <c r="V152" s="455">
        <f>$F152</f>
        <v>10000</v>
      </c>
      <c r="W152" s="748">
        <f t="shared" si="145"/>
        <v>4.07E-2</v>
      </c>
      <c r="X152" s="32">
        <f>V152*W152*X$7</f>
        <v>12617</v>
      </c>
      <c r="Y152" s="455">
        <f>$F152</f>
        <v>10000</v>
      </c>
      <c r="Z152" s="748">
        <f t="shared" si="147"/>
        <v>4.07E-2</v>
      </c>
      <c r="AA152" s="32">
        <f>Y152*Z152*AA$7</f>
        <v>12210</v>
      </c>
      <c r="AB152" s="455">
        <f>$F152</f>
        <v>10000</v>
      </c>
      <c r="AC152" s="748">
        <f t="shared" si="149"/>
        <v>4.07E-2</v>
      </c>
      <c r="AD152" s="32">
        <f>AB152*AC152*AD$7</f>
        <v>12617</v>
      </c>
      <c r="AE152" s="455">
        <f>$F152</f>
        <v>10000</v>
      </c>
      <c r="AF152" s="748">
        <f t="shared" si="151"/>
        <v>4.07E-2</v>
      </c>
      <c r="AG152" s="32">
        <f>AE152*AF152*AG$7</f>
        <v>12617</v>
      </c>
      <c r="AH152" s="455">
        <f>$F152</f>
        <v>10000</v>
      </c>
      <c r="AI152" s="748">
        <f t="shared" si="153"/>
        <v>4.07E-2</v>
      </c>
      <c r="AJ152" s="32">
        <f>AH152*AI152*AJ$7</f>
        <v>12210</v>
      </c>
      <c r="AK152" s="455">
        <f>$F152</f>
        <v>10000</v>
      </c>
      <c r="AL152" s="748">
        <f t="shared" si="155"/>
        <v>4.07E-2</v>
      </c>
      <c r="AM152" s="32">
        <f>AK152*AL152*AM$7</f>
        <v>12617</v>
      </c>
      <c r="AN152" s="455">
        <f>$F152</f>
        <v>10000</v>
      </c>
      <c r="AO152" s="748">
        <f t="shared" si="157"/>
        <v>4.07E-2</v>
      </c>
      <c r="AP152" s="32">
        <f>AN152*AO152*AP$7</f>
        <v>12210</v>
      </c>
      <c r="AQ152" s="455">
        <f>$F152</f>
        <v>10000</v>
      </c>
      <c r="AR152" s="748">
        <f t="shared" si="159"/>
        <v>4.07E-2</v>
      </c>
      <c r="AS152" s="32">
        <f>AQ152*AR152*AS$7</f>
        <v>12617</v>
      </c>
      <c r="AT152" s="32"/>
      <c r="AV152" s="33">
        <f>AS152+AP152+AM152+AJ152+AG152+AD152+AA152+X152+U152+R152+O152+L152</f>
        <v>124542</v>
      </c>
      <c r="AW152" s="961">
        <f>AV152</f>
        <v>124542</v>
      </c>
      <c r="AZ152" s="33">
        <f>AV152</f>
        <v>124542</v>
      </c>
    </row>
    <row r="154" spans="1:52" x14ac:dyDescent="0.2">
      <c r="A154" s="176">
        <v>25374</v>
      </c>
      <c r="B154" s="957" t="s">
        <v>485</v>
      </c>
      <c r="C154">
        <v>2002</v>
      </c>
      <c r="D154" s="507">
        <v>35947</v>
      </c>
      <c r="E154" s="507">
        <v>37225</v>
      </c>
      <c r="F154" s="838">
        <v>23000</v>
      </c>
      <c r="G154" s="748">
        <v>4.07E-2</v>
      </c>
      <c r="H154" s="170">
        <v>9.2999999999999992E-3</v>
      </c>
      <c r="I154" s="748">
        <f t="shared" si="134"/>
        <v>0.05</v>
      </c>
      <c r="J154" s="455">
        <f t="shared" si="135"/>
        <v>23000</v>
      </c>
      <c r="K154" s="748">
        <f t="shared" si="136"/>
        <v>4.07E-2</v>
      </c>
      <c r="L154" s="32">
        <f t="shared" si="137"/>
        <v>29019.100000000002</v>
      </c>
      <c r="M154" s="455">
        <f t="shared" si="138"/>
        <v>23000</v>
      </c>
      <c r="N154" s="748">
        <f t="shared" si="139"/>
        <v>4.07E-2</v>
      </c>
      <c r="O154" s="32">
        <f t="shared" si="140"/>
        <v>26210.799999999999</v>
      </c>
      <c r="P154" s="455">
        <f t="shared" si="162"/>
        <v>23000</v>
      </c>
      <c r="Q154" s="748">
        <f t="shared" si="141"/>
        <v>4.07E-2</v>
      </c>
      <c r="R154" s="32">
        <f t="shared" si="142"/>
        <v>29019.100000000002</v>
      </c>
      <c r="S154" s="455">
        <f t="shared" ref="S154:S161" si="163">$F154</f>
        <v>23000</v>
      </c>
      <c r="T154" s="748">
        <f t="shared" si="143"/>
        <v>4.07E-2</v>
      </c>
      <c r="U154" s="32">
        <f t="shared" si="144"/>
        <v>28083</v>
      </c>
      <c r="V154" s="455">
        <f t="shared" ref="V154:V161" si="164">$F154</f>
        <v>23000</v>
      </c>
      <c r="W154" s="748">
        <f t="shared" si="145"/>
        <v>4.07E-2</v>
      </c>
      <c r="X154" s="32">
        <f t="shared" si="146"/>
        <v>29019.100000000002</v>
      </c>
      <c r="Y154" s="455">
        <f t="shared" ref="Y154:Y160" si="165">$F154</f>
        <v>23000</v>
      </c>
      <c r="Z154" s="748">
        <f t="shared" si="147"/>
        <v>4.07E-2</v>
      </c>
      <c r="AA154" s="32">
        <f t="shared" si="148"/>
        <v>28083</v>
      </c>
      <c r="AB154" s="455">
        <f t="shared" ref="AB154:AB160" si="166">$F154</f>
        <v>23000</v>
      </c>
      <c r="AC154" s="748">
        <f t="shared" si="149"/>
        <v>4.07E-2</v>
      </c>
      <c r="AD154" s="32">
        <f t="shared" si="150"/>
        <v>29019.100000000002</v>
      </c>
      <c r="AE154" s="455">
        <f t="shared" ref="AE154:AE160" si="167">$F154</f>
        <v>23000</v>
      </c>
      <c r="AF154" s="748">
        <f t="shared" si="151"/>
        <v>4.07E-2</v>
      </c>
      <c r="AG154" s="32">
        <f t="shared" si="152"/>
        <v>29019.100000000002</v>
      </c>
      <c r="AH154" s="455">
        <f t="shared" ref="AH154:AH160" si="168">$F154</f>
        <v>23000</v>
      </c>
      <c r="AI154" s="748">
        <f t="shared" si="153"/>
        <v>4.07E-2</v>
      </c>
      <c r="AJ154" s="32">
        <f t="shared" si="154"/>
        <v>28083</v>
      </c>
      <c r="AK154" s="455">
        <f t="shared" ref="AK154:AK160" si="169">$F154</f>
        <v>23000</v>
      </c>
      <c r="AL154" s="748">
        <f t="shared" si="155"/>
        <v>4.07E-2</v>
      </c>
      <c r="AM154" s="32">
        <f t="shared" si="156"/>
        <v>29019.100000000002</v>
      </c>
      <c r="AN154" s="455">
        <f t="shared" ref="AN154:AN160" si="170">$F154</f>
        <v>23000</v>
      </c>
      <c r="AO154" s="748">
        <f t="shared" si="157"/>
        <v>4.07E-2</v>
      </c>
      <c r="AP154" s="32">
        <f t="shared" si="158"/>
        <v>28083</v>
      </c>
      <c r="AQ154" s="455">
        <f t="shared" ref="AQ154:AQ160" si="171">$F154</f>
        <v>23000</v>
      </c>
      <c r="AR154" s="748">
        <f t="shared" si="159"/>
        <v>4.07E-2</v>
      </c>
      <c r="AS154" s="32">
        <f t="shared" si="160"/>
        <v>29019.100000000002</v>
      </c>
      <c r="AT154" s="32"/>
      <c r="AV154" s="33">
        <f t="shared" si="161"/>
        <v>341676.5</v>
      </c>
      <c r="AW154" s="961">
        <f>AV154</f>
        <v>341676.5</v>
      </c>
      <c r="AZ154" s="33">
        <f>AV154</f>
        <v>341676.5</v>
      </c>
    </row>
    <row r="155" spans="1:52" x14ac:dyDescent="0.2">
      <c r="A155" s="176"/>
      <c r="B155" s="176"/>
      <c r="D155" s="507"/>
      <c r="E155" s="507"/>
      <c r="F155" s="838"/>
      <c r="H155" s="170"/>
      <c r="J155" s="455"/>
      <c r="L155" s="32"/>
      <c r="M155" s="455"/>
      <c r="N155" s="748"/>
      <c r="O155" s="32"/>
      <c r="P155" s="455"/>
      <c r="Q155" s="748"/>
      <c r="R155" s="32"/>
      <c r="S155" s="455"/>
      <c r="T155" s="748"/>
      <c r="U155" s="32"/>
      <c r="V155" s="455"/>
      <c r="W155" s="748"/>
      <c r="X155" s="32"/>
      <c r="Y155" s="455"/>
      <c r="Z155" s="748"/>
      <c r="AA155" s="32"/>
      <c r="AB155" s="455"/>
      <c r="AC155" s="748"/>
      <c r="AD155" s="32"/>
      <c r="AE155" s="455"/>
      <c r="AF155" s="748"/>
      <c r="AG155" s="32"/>
      <c r="AH155" s="455"/>
      <c r="AI155" s="748"/>
      <c r="AJ155" s="32"/>
      <c r="AK155" s="455"/>
      <c r="AL155" s="748"/>
      <c r="AM155" s="32"/>
      <c r="AN155" s="455"/>
      <c r="AO155" s="748"/>
      <c r="AP155" s="32"/>
      <c r="AQ155" s="455"/>
      <c r="AR155" s="748"/>
      <c r="AS155" s="32"/>
      <c r="AT155" s="32"/>
      <c r="AV155" s="33"/>
      <c r="AW155" s="41"/>
    </row>
    <row r="156" spans="1:52" x14ac:dyDescent="0.2">
      <c r="A156" s="175">
        <v>25394</v>
      </c>
      <c r="B156" s="175" t="s">
        <v>621</v>
      </c>
      <c r="D156" s="181"/>
      <c r="E156" s="181"/>
      <c r="F156" s="839">
        <v>5000</v>
      </c>
      <c r="G156" s="748">
        <v>0</v>
      </c>
      <c r="H156" s="170">
        <v>0</v>
      </c>
      <c r="I156" s="748">
        <f t="shared" si="134"/>
        <v>0</v>
      </c>
      <c r="J156" s="455">
        <f t="shared" si="135"/>
        <v>5000</v>
      </c>
      <c r="K156" s="748">
        <f t="shared" si="136"/>
        <v>0</v>
      </c>
      <c r="L156" s="32">
        <f t="shared" si="137"/>
        <v>0</v>
      </c>
      <c r="M156" s="455">
        <f t="shared" si="138"/>
        <v>5000</v>
      </c>
      <c r="N156" s="748">
        <f t="shared" si="139"/>
        <v>0</v>
      </c>
      <c r="O156" s="32">
        <f t="shared" si="140"/>
        <v>0</v>
      </c>
      <c r="P156" s="455">
        <f t="shared" si="162"/>
        <v>5000</v>
      </c>
      <c r="Q156" s="748">
        <f t="shared" si="141"/>
        <v>0</v>
      </c>
      <c r="R156" s="32">
        <f t="shared" si="142"/>
        <v>0</v>
      </c>
      <c r="S156" s="455">
        <f t="shared" si="163"/>
        <v>5000</v>
      </c>
      <c r="T156" s="748">
        <f t="shared" si="143"/>
        <v>0</v>
      </c>
      <c r="U156" s="32">
        <f t="shared" si="144"/>
        <v>0</v>
      </c>
      <c r="V156" s="455">
        <f t="shared" si="164"/>
        <v>5000</v>
      </c>
      <c r="W156" s="748">
        <f t="shared" si="145"/>
        <v>0</v>
      </c>
      <c r="X156" s="32">
        <f t="shared" si="146"/>
        <v>0</v>
      </c>
      <c r="Y156" s="455">
        <f t="shared" si="165"/>
        <v>5000</v>
      </c>
      <c r="Z156" s="748">
        <f t="shared" si="147"/>
        <v>0</v>
      </c>
      <c r="AA156" s="32">
        <f t="shared" si="148"/>
        <v>0</v>
      </c>
      <c r="AB156" s="455">
        <f t="shared" si="166"/>
        <v>5000</v>
      </c>
      <c r="AC156" s="748">
        <f t="shared" si="149"/>
        <v>0</v>
      </c>
      <c r="AD156" s="32">
        <f t="shared" si="150"/>
        <v>0</v>
      </c>
      <c r="AE156" s="455">
        <f t="shared" si="167"/>
        <v>5000</v>
      </c>
      <c r="AF156" s="748">
        <f t="shared" si="151"/>
        <v>0</v>
      </c>
      <c r="AG156" s="32">
        <f t="shared" si="152"/>
        <v>0</v>
      </c>
      <c r="AH156" s="455">
        <f t="shared" si="168"/>
        <v>5000</v>
      </c>
      <c r="AI156" s="748">
        <f t="shared" si="153"/>
        <v>0</v>
      </c>
      <c r="AJ156" s="32">
        <f t="shared" si="154"/>
        <v>0</v>
      </c>
      <c r="AK156" s="455">
        <f t="shared" si="169"/>
        <v>5000</v>
      </c>
      <c r="AL156" s="748">
        <f t="shared" si="155"/>
        <v>0</v>
      </c>
      <c r="AM156" s="32">
        <f t="shared" si="156"/>
        <v>0</v>
      </c>
      <c r="AN156" s="455">
        <f t="shared" si="170"/>
        <v>5000</v>
      </c>
      <c r="AO156" s="748">
        <f t="shared" si="157"/>
        <v>0</v>
      </c>
      <c r="AP156" s="32">
        <f t="shared" si="158"/>
        <v>0</v>
      </c>
      <c r="AQ156" s="455">
        <f t="shared" si="171"/>
        <v>5000</v>
      </c>
      <c r="AR156" s="748">
        <f t="shared" si="159"/>
        <v>0</v>
      </c>
      <c r="AS156" s="32">
        <f t="shared" si="160"/>
        <v>0</v>
      </c>
      <c r="AT156" s="32"/>
      <c r="AV156" s="33">
        <f t="shared" si="161"/>
        <v>0</v>
      </c>
      <c r="AW156" s="33">
        <f>AV156</f>
        <v>0</v>
      </c>
    </row>
    <row r="158" spans="1:52" x14ac:dyDescent="0.2">
      <c r="A158" s="175">
        <v>27349</v>
      </c>
      <c r="B158" s="785" t="s">
        <v>499</v>
      </c>
      <c r="D158" s="181">
        <v>36892</v>
      </c>
      <c r="E158" s="181">
        <v>38717</v>
      </c>
      <c r="F158" s="840">
        <v>20000</v>
      </c>
      <c r="G158" s="748">
        <v>4.07E-2</v>
      </c>
      <c r="H158" s="748">
        <v>9.2999999999999992E-3</v>
      </c>
      <c r="I158" s="748">
        <f t="shared" si="134"/>
        <v>0.05</v>
      </c>
      <c r="J158" s="455">
        <f t="shared" si="135"/>
        <v>20000</v>
      </c>
      <c r="K158" s="748">
        <f t="shared" si="136"/>
        <v>4.07E-2</v>
      </c>
      <c r="L158" s="32">
        <f t="shared" si="137"/>
        <v>25234</v>
      </c>
      <c r="M158" s="455">
        <f t="shared" si="138"/>
        <v>20000</v>
      </c>
      <c r="N158" s="748">
        <f t="shared" si="139"/>
        <v>4.07E-2</v>
      </c>
      <c r="O158" s="32">
        <f t="shared" si="140"/>
        <v>22792</v>
      </c>
      <c r="P158" s="455">
        <f t="shared" si="162"/>
        <v>20000</v>
      </c>
      <c r="Q158" s="748">
        <f t="shared" si="141"/>
        <v>4.07E-2</v>
      </c>
      <c r="R158" s="32">
        <f t="shared" si="142"/>
        <v>25234</v>
      </c>
      <c r="S158" s="455">
        <f t="shared" si="163"/>
        <v>20000</v>
      </c>
      <c r="T158" s="748">
        <f t="shared" si="143"/>
        <v>4.07E-2</v>
      </c>
      <c r="U158" s="32">
        <f t="shared" si="144"/>
        <v>24420</v>
      </c>
      <c r="V158" s="455">
        <f t="shared" si="164"/>
        <v>20000</v>
      </c>
      <c r="W158" s="748">
        <f t="shared" si="145"/>
        <v>4.07E-2</v>
      </c>
      <c r="X158" s="32">
        <f t="shared" si="146"/>
        <v>25234</v>
      </c>
      <c r="Y158" s="455">
        <f t="shared" si="165"/>
        <v>20000</v>
      </c>
      <c r="Z158" s="748">
        <f t="shared" si="147"/>
        <v>4.07E-2</v>
      </c>
      <c r="AA158" s="32">
        <f t="shared" si="148"/>
        <v>24420</v>
      </c>
      <c r="AB158" s="455">
        <f t="shared" si="166"/>
        <v>20000</v>
      </c>
      <c r="AC158" s="748">
        <f t="shared" si="149"/>
        <v>4.07E-2</v>
      </c>
      <c r="AD158" s="32">
        <f t="shared" si="150"/>
        <v>25234</v>
      </c>
      <c r="AE158" s="455">
        <f t="shared" si="167"/>
        <v>20000</v>
      </c>
      <c r="AF158" s="748">
        <f t="shared" si="151"/>
        <v>4.07E-2</v>
      </c>
      <c r="AG158" s="32">
        <f t="shared" si="152"/>
        <v>25234</v>
      </c>
      <c r="AH158" s="455">
        <f t="shared" si="168"/>
        <v>20000</v>
      </c>
      <c r="AI158" s="748">
        <f t="shared" si="153"/>
        <v>4.07E-2</v>
      </c>
      <c r="AJ158" s="32">
        <f t="shared" si="154"/>
        <v>24420</v>
      </c>
      <c r="AK158" s="455">
        <f t="shared" si="169"/>
        <v>20000</v>
      </c>
      <c r="AL158" s="748">
        <f t="shared" si="155"/>
        <v>4.07E-2</v>
      </c>
      <c r="AM158" s="32">
        <f t="shared" si="156"/>
        <v>25234</v>
      </c>
      <c r="AN158" s="455">
        <f t="shared" si="170"/>
        <v>20000</v>
      </c>
      <c r="AO158" s="748">
        <f t="shared" si="157"/>
        <v>4.07E-2</v>
      </c>
      <c r="AP158" s="32">
        <f t="shared" si="158"/>
        <v>24420</v>
      </c>
      <c r="AQ158" s="455">
        <f t="shared" si="171"/>
        <v>20000</v>
      </c>
      <c r="AR158" s="748">
        <f t="shared" si="159"/>
        <v>4.07E-2</v>
      </c>
      <c r="AS158" s="32">
        <f t="shared" si="160"/>
        <v>25234</v>
      </c>
      <c r="AT158" s="32"/>
      <c r="AV158" s="33">
        <f t="shared" si="161"/>
        <v>297110</v>
      </c>
      <c r="AZ158" s="33">
        <f>AV158</f>
        <v>297110</v>
      </c>
    </row>
    <row r="159" spans="1:52" x14ac:dyDescent="0.2">
      <c r="A159" s="175">
        <v>27495</v>
      </c>
      <c r="B159" s="175" t="s">
        <v>320</v>
      </c>
      <c r="D159" s="181">
        <v>36951</v>
      </c>
      <c r="E159" s="181">
        <v>37711</v>
      </c>
      <c r="F159" s="839">
        <v>50000</v>
      </c>
      <c r="G159" s="748">
        <v>3.2500000000000001E-2</v>
      </c>
      <c r="H159" s="748">
        <v>0</v>
      </c>
      <c r="I159" s="748">
        <f t="shared" si="134"/>
        <v>3.2500000000000001E-2</v>
      </c>
      <c r="J159" s="455">
        <f t="shared" si="135"/>
        <v>50000</v>
      </c>
      <c r="K159" s="748">
        <f t="shared" si="136"/>
        <v>3.2500000000000001E-2</v>
      </c>
      <c r="L159" s="32">
        <f t="shared" si="137"/>
        <v>50375</v>
      </c>
      <c r="M159" s="455">
        <f t="shared" si="138"/>
        <v>50000</v>
      </c>
      <c r="N159" s="748">
        <f t="shared" si="139"/>
        <v>3.2500000000000001E-2</v>
      </c>
      <c r="O159" s="32">
        <f t="shared" si="140"/>
        <v>45500</v>
      </c>
      <c r="P159" s="455">
        <f t="shared" si="162"/>
        <v>50000</v>
      </c>
      <c r="Q159" s="748">
        <f t="shared" si="141"/>
        <v>3.2500000000000001E-2</v>
      </c>
      <c r="R159" s="32">
        <f t="shared" si="142"/>
        <v>50375</v>
      </c>
      <c r="S159" s="455">
        <f t="shared" si="163"/>
        <v>50000</v>
      </c>
      <c r="T159" s="748">
        <f t="shared" si="143"/>
        <v>3.2500000000000001E-2</v>
      </c>
      <c r="U159" s="32">
        <f t="shared" si="144"/>
        <v>48750</v>
      </c>
      <c r="V159" s="455">
        <f t="shared" si="164"/>
        <v>50000</v>
      </c>
      <c r="W159" s="748">
        <f t="shared" si="145"/>
        <v>3.2500000000000001E-2</v>
      </c>
      <c r="X159" s="32">
        <f t="shared" si="146"/>
        <v>50375</v>
      </c>
      <c r="Y159" s="455">
        <f t="shared" si="165"/>
        <v>50000</v>
      </c>
      <c r="Z159" s="748">
        <f t="shared" si="147"/>
        <v>3.2500000000000001E-2</v>
      </c>
      <c r="AA159" s="32">
        <f t="shared" si="148"/>
        <v>48750</v>
      </c>
      <c r="AB159" s="455">
        <f t="shared" si="166"/>
        <v>50000</v>
      </c>
      <c r="AC159" s="748">
        <f t="shared" si="149"/>
        <v>3.2500000000000001E-2</v>
      </c>
      <c r="AD159" s="32">
        <f t="shared" si="150"/>
        <v>50375</v>
      </c>
      <c r="AE159" s="455">
        <f t="shared" si="167"/>
        <v>50000</v>
      </c>
      <c r="AF159" s="748">
        <f t="shared" si="151"/>
        <v>3.2500000000000001E-2</v>
      </c>
      <c r="AG159" s="32">
        <f t="shared" si="152"/>
        <v>50375</v>
      </c>
      <c r="AH159" s="455">
        <f t="shared" si="168"/>
        <v>50000</v>
      </c>
      <c r="AI159" s="748">
        <f t="shared" si="153"/>
        <v>3.2500000000000001E-2</v>
      </c>
      <c r="AJ159" s="32">
        <f t="shared" si="154"/>
        <v>48750</v>
      </c>
      <c r="AK159" s="455">
        <f t="shared" si="169"/>
        <v>50000</v>
      </c>
      <c r="AL159" s="748">
        <f t="shared" si="155"/>
        <v>3.2500000000000001E-2</v>
      </c>
      <c r="AM159" s="32">
        <f t="shared" si="156"/>
        <v>50375</v>
      </c>
      <c r="AN159" s="455">
        <f t="shared" si="170"/>
        <v>50000</v>
      </c>
      <c r="AO159" s="748">
        <f t="shared" si="157"/>
        <v>3.2500000000000001E-2</v>
      </c>
      <c r="AP159" s="32">
        <f t="shared" si="158"/>
        <v>48750</v>
      </c>
      <c r="AQ159" s="455">
        <f t="shared" si="171"/>
        <v>50000</v>
      </c>
      <c r="AR159" s="748">
        <f t="shared" si="159"/>
        <v>3.2500000000000001E-2</v>
      </c>
      <c r="AS159" s="32">
        <f t="shared" si="160"/>
        <v>50375</v>
      </c>
      <c r="AT159" s="32"/>
      <c r="AV159" s="33">
        <f t="shared" si="161"/>
        <v>593125</v>
      </c>
      <c r="AZ159" s="33">
        <f>AV159</f>
        <v>593125</v>
      </c>
    </row>
    <row r="160" spans="1:52" x14ac:dyDescent="0.2">
      <c r="A160" s="175">
        <v>27579</v>
      </c>
      <c r="B160" s="175" t="s">
        <v>499</v>
      </c>
      <c r="D160" s="181">
        <v>37012</v>
      </c>
      <c r="E160" s="181">
        <v>37407</v>
      </c>
      <c r="F160" s="840">
        <v>20000</v>
      </c>
      <c r="G160" s="748">
        <v>5.0700000000000002E-2</v>
      </c>
      <c r="H160" s="748">
        <v>9.2999999999999992E-3</v>
      </c>
      <c r="I160" s="748">
        <f t="shared" si="134"/>
        <v>0.06</v>
      </c>
      <c r="J160" s="455">
        <f t="shared" si="135"/>
        <v>20000</v>
      </c>
      <c r="K160" s="748">
        <f t="shared" si="136"/>
        <v>5.0700000000000002E-2</v>
      </c>
      <c r="L160" s="32">
        <f t="shared" si="137"/>
        <v>31434</v>
      </c>
      <c r="M160" s="455">
        <f t="shared" si="138"/>
        <v>20000</v>
      </c>
      <c r="N160" s="748">
        <f t="shared" si="139"/>
        <v>5.0700000000000002E-2</v>
      </c>
      <c r="O160" s="32">
        <f t="shared" si="140"/>
        <v>28392</v>
      </c>
      <c r="P160" s="455">
        <f t="shared" si="162"/>
        <v>20000</v>
      </c>
      <c r="Q160" s="748">
        <f t="shared" si="141"/>
        <v>5.0700000000000002E-2</v>
      </c>
      <c r="R160" s="32">
        <f t="shared" si="142"/>
        <v>31434</v>
      </c>
      <c r="S160" s="455">
        <f t="shared" si="163"/>
        <v>20000</v>
      </c>
      <c r="T160" s="748">
        <f t="shared" si="143"/>
        <v>5.0700000000000002E-2</v>
      </c>
      <c r="U160" s="32">
        <f t="shared" si="144"/>
        <v>30420</v>
      </c>
      <c r="V160" s="455">
        <f t="shared" si="164"/>
        <v>20000</v>
      </c>
      <c r="W160" s="748">
        <f t="shared" si="145"/>
        <v>5.0700000000000002E-2</v>
      </c>
      <c r="X160" s="32">
        <f t="shared" si="146"/>
        <v>31434</v>
      </c>
      <c r="Y160" s="455">
        <f t="shared" si="165"/>
        <v>20000</v>
      </c>
      <c r="Z160" s="748">
        <f t="shared" si="147"/>
        <v>5.0700000000000002E-2</v>
      </c>
      <c r="AA160" s="32">
        <f t="shared" si="148"/>
        <v>30420</v>
      </c>
      <c r="AB160" s="455">
        <f t="shared" si="166"/>
        <v>20000</v>
      </c>
      <c r="AC160" s="748">
        <f t="shared" si="149"/>
        <v>5.0700000000000002E-2</v>
      </c>
      <c r="AD160" s="32">
        <f t="shared" si="150"/>
        <v>31434</v>
      </c>
      <c r="AE160" s="455">
        <f t="shared" si="167"/>
        <v>20000</v>
      </c>
      <c r="AF160" s="748">
        <f t="shared" si="151"/>
        <v>5.0700000000000002E-2</v>
      </c>
      <c r="AG160" s="32">
        <f t="shared" si="152"/>
        <v>31434</v>
      </c>
      <c r="AH160" s="455">
        <f t="shared" si="168"/>
        <v>20000</v>
      </c>
      <c r="AI160" s="748">
        <f t="shared" si="153"/>
        <v>5.0700000000000002E-2</v>
      </c>
      <c r="AJ160" s="32">
        <f t="shared" si="154"/>
        <v>30420</v>
      </c>
      <c r="AK160" s="455">
        <f t="shared" si="169"/>
        <v>20000</v>
      </c>
      <c r="AL160" s="748">
        <f t="shared" si="155"/>
        <v>5.0700000000000002E-2</v>
      </c>
      <c r="AM160" s="32">
        <f t="shared" si="156"/>
        <v>31434</v>
      </c>
      <c r="AN160" s="455">
        <f t="shared" si="170"/>
        <v>20000</v>
      </c>
      <c r="AO160" s="748">
        <f t="shared" si="157"/>
        <v>5.0700000000000002E-2</v>
      </c>
      <c r="AP160" s="32">
        <f t="shared" si="158"/>
        <v>30420</v>
      </c>
      <c r="AQ160" s="455">
        <f t="shared" si="171"/>
        <v>20000</v>
      </c>
      <c r="AR160" s="748">
        <f t="shared" si="159"/>
        <v>5.0700000000000002E-2</v>
      </c>
      <c r="AS160" s="32">
        <f t="shared" si="160"/>
        <v>31434</v>
      </c>
      <c r="AT160" s="32"/>
      <c r="AV160" s="33">
        <f t="shared" si="161"/>
        <v>370110</v>
      </c>
      <c r="AZ160" s="33">
        <f>AV160</f>
        <v>370110</v>
      </c>
    </row>
    <row r="161" spans="1:52" x14ac:dyDescent="0.2">
      <c r="A161" s="175">
        <v>27600</v>
      </c>
      <c r="B161" s="175" t="s">
        <v>503</v>
      </c>
      <c r="D161" s="181">
        <v>37043</v>
      </c>
      <c r="E161" s="181">
        <v>37407</v>
      </c>
      <c r="F161" s="840">
        <v>2500</v>
      </c>
      <c r="G161" s="748">
        <v>8.0699999999999994E-2</v>
      </c>
      <c r="H161" s="748">
        <v>9.2999999999999992E-3</v>
      </c>
      <c r="I161" s="748">
        <f t="shared" si="134"/>
        <v>0.09</v>
      </c>
      <c r="J161" s="455">
        <f t="shared" si="135"/>
        <v>2500</v>
      </c>
      <c r="K161" s="748">
        <f t="shared" si="136"/>
        <v>8.0699999999999994E-2</v>
      </c>
      <c r="L161" s="32">
        <f t="shared" si="137"/>
        <v>6254.2499999999991</v>
      </c>
      <c r="M161" s="455">
        <f t="shared" si="138"/>
        <v>2500</v>
      </c>
      <c r="N161" s="748">
        <f t="shared" si="139"/>
        <v>8.0699999999999994E-2</v>
      </c>
      <c r="O161" s="32">
        <f t="shared" si="140"/>
        <v>5648.9999999999991</v>
      </c>
      <c r="P161" s="455">
        <f t="shared" si="162"/>
        <v>2500</v>
      </c>
      <c r="Q161" s="748">
        <f t="shared" si="141"/>
        <v>8.0699999999999994E-2</v>
      </c>
      <c r="R161" s="32">
        <f t="shared" si="142"/>
        <v>6254.2499999999991</v>
      </c>
      <c r="S161" s="455">
        <f t="shared" si="163"/>
        <v>2500</v>
      </c>
      <c r="T161" s="748">
        <f t="shared" si="143"/>
        <v>8.0699999999999994E-2</v>
      </c>
      <c r="U161" s="32">
        <f t="shared" si="144"/>
        <v>6052.4999999999991</v>
      </c>
      <c r="V161" s="455">
        <f t="shared" si="164"/>
        <v>2500</v>
      </c>
      <c r="W161" s="748">
        <f t="shared" si="145"/>
        <v>8.0699999999999994E-2</v>
      </c>
      <c r="X161" s="32">
        <f t="shared" si="146"/>
        <v>6254.2499999999991</v>
      </c>
      <c r="Y161" s="455">
        <v>0</v>
      </c>
      <c r="Z161" s="748">
        <f t="shared" si="147"/>
        <v>8.0699999999999994E-2</v>
      </c>
      <c r="AA161" s="32">
        <f t="shared" si="148"/>
        <v>0</v>
      </c>
      <c r="AB161" s="455">
        <v>0</v>
      </c>
      <c r="AC161" s="748">
        <f t="shared" si="149"/>
        <v>8.0699999999999994E-2</v>
      </c>
      <c r="AD161" s="32">
        <f t="shared" si="150"/>
        <v>0</v>
      </c>
      <c r="AE161" s="455">
        <v>0</v>
      </c>
      <c r="AF161" s="748">
        <f t="shared" si="151"/>
        <v>8.0699999999999994E-2</v>
      </c>
      <c r="AG161" s="32">
        <f t="shared" si="152"/>
        <v>0</v>
      </c>
      <c r="AH161" s="455">
        <v>0</v>
      </c>
      <c r="AI161" s="748">
        <f t="shared" si="153"/>
        <v>8.0699999999999994E-2</v>
      </c>
      <c r="AJ161" s="32">
        <f t="shared" si="154"/>
        <v>0</v>
      </c>
      <c r="AK161" s="455">
        <v>0</v>
      </c>
      <c r="AL161" s="748">
        <f t="shared" si="155"/>
        <v>8.0699999999999994E-2</v>
      </c>
      <c r="AM161" s="32">
        <f t="shared" si="156"/>
        <v>0</v>
      </c>
      <c r="AN161" s="455">
        <v>0</v>
      </c>
      <c r="AO161" s="748">
        <f t="shared" si="157"/>
        <v>8.0699999999999994E-2</v>
      </c>
      <c r="AP161" s="32">
        <f t="shared" si="158"/>
        <v>0</v>
      </c>
      <c r="AQ161" s="455">
        <v>0</v>
      </c>
      <c r="AR161" s="748">
        <f t="shared" si="159"/>
        <v>8.0699999999999994E-2</v>
      </c>
      <c r="AS161" s="32">
        <f t="shared" si="160"/>
        <v>0</v>
      </c>
      <c r="AT161" s="32"/>
      <c r="AV161" s="33">
        <f t="shared" si="161"/>
        <v>30464.249999999996</v>
      </c>
      <c r="AW161" s="961">
        <f>SUM(AV158:AV161)</f>
        <v>1290809.25</v>
      </c>
      <c r="AZ161" s="33">
        <f>AV161</f>
        <v>30464.249999999996</v>
      </c>
    </row>
    <row r="162" spans="1:52" x14ac:dyDescent="0.2">
      <c r="A162" s="172"/>
      <c r="B162" s="172"/>
      <c r="D162" s="185"/>
      <c r="E162" s="185"/>
      <c r="F162" s="841"/>
      <c r="J162" s="455"/>
      <c r="L162" s="32"/>
      <c r="M162" s="455"/>
      <c r="N162" s="748"/>
      <c r="O162" s="32"/>
      <c r="P162" s="455"/>
      <c r="Q162" s="748"/>
      <c r="R162" s="32"/>
      <c r="S162" s="455"/>
      <c r="T162" s="748"/>
      <c r="U162" s="32"/>
      <c r="V162" s="455"/>
      <c r="W162" s="748"/>
      <c r="X162" s="32"/>
      <c r="Y162" s="455"/>
      <c r="Z162" s="748"/>
      <c r="AA162" s="32"/>
      <c r="AB162" s="455"/>
      <c r="AC162" s="748"/>
      <c r="AD162" s="32"/>
      <c r="AE162" s="455"/>
      <c r="AF162" s="748"/>
      <c r="AG162" s="32"/>
      <c r="AH162" s="455"/>
      <c r="AI162" s="748"/>
      <c r="AJ162" s="32"/>
      <c r="AK162" s="455"/>
      <c r="AL162" s="748"/>
      <c r="AM162" s="32"/>
      <c r="AN162" s="455"/>
      <c r="AO162" s="748"/>
      <c r="AP162" s="32"/>
      <c r="AQ162" s="455"/>
      <c r="AR162" s="748"/>
      <c r="AS162" s="32"/>
      <c r="AT162" s="32"/>
      <c r="AV162" s="33"/>
    </row>
    <row r="163" spans="1:52" x14ac:dyDescent="0.2">
      <c r="E163" s="745"/>
      <c r="F163" s="828"/>
      <c r="J163" s="777">
        <v>0</v>
      </c>
      <c r="K163" s="748">
        <f>IF(J163&gt;0,L163/J163/L$7,0)</f>
        <v>0</v>
      </c>
      <c r="L163" s="39">
        <v>0</v>
      </c>
      <c r="M163" s="777">
        <v>0</v>
      </c>
      <c r="N163" s="748">
        <f>IF(M163&gt;0,O163/M163/O$7,0)</f>
        <v>0</v>
      </c>
      <c r="O163" s="39">
        <v>0</v>
      </c>
      <c r="P163" s="777">
        <v>0</v>
      </c>
      <c r="Q163" s="748">
        <f>IF(P163&gt;0,R163/P163/R$7,0)</f>
        <v>0</v>
      </c>
      <c r="R163" s="39">
        <v>0</v>
      </c>
      <c r="S163" s="777">
        <v>0</v>
      </c>
      <c r="T163" s="748">
        <f>IF(S163&gt;0,U163/S163/U$7,0)</f>
        <v>0</v>
      </c>
      <c r="U163" s="39">
        <v>0</v>
      </c>
      <c r="V163" s="777">
        <v>0</v>
      </c>
      <c r="W163" s="748">
        <f>IF(V163&gt;0,X163/V163/X$7,0)</f>
        <v>0</v>
      </c>
      <c r="X163" s="39">
        <v>0</v>
      </c>
      <c r="Y163" s="777">
        <v>0</v>
      </c>
      <c r="Z163" s="748">
        <f>IF(Y163&gt;0,AA163/Y163/AA$7,0)</f>
        <v>0</v>
      </c>
      <c r="AA163" s="39">
        <v>0</v>
      </c>
      <c r="AB163" s="777">
        <v>0</v>
      </c>
      <c r="AC163" s="748">
        <f>IF(AB163&gt;0,AD163/AB163/AD$7,0)</f>
        <v>0</v>
      </c>
      <c r="AD163" s="39">
        <f>ROUND($F163*$G163*AD$7,0)</f>
        <v>0</v>
      </c>
      <c r="AE163" s="777">
        <v>0</v>
      </c>
      <c r="AF163" s="748">
        <f>IF(AE163&gt;0,AG163/AE163/AG$7,0)</f>
        <v>0</v>
      </c>
      <c r="AG163" s="39">
        <f>ROUND($F163*$G163*AG$7,0)</f>
        <v>0</v>
      </c>
      <c r="AH163" s="777">
        <v>0</v>
      </c>
      <c r="AI163" s="748">
        <f>IF(AH163&gt;0,AJ163/AH163/AJ$7,0)</f>
        <v>0</v>
      </c>
      <c r="AJ163" s="39">
        <f>ROUND($F163*$G163*AJ$7,0)</f>
        <v>0</v>
      </c>
      <c r="AK163" s="777">
        <v>0</v>
      </c>
      <c r="AL163" s="748">
        <f>IF(AK163&gt;0,AM163/AK163/AM$7,0)</f>
        <v>0</v>
      </c>
      <c r="AM163" s="39">
        <f>ROUND($F163*$G163*AM$7,0)</f>
        <v>0</v>
      </c>
      <c r="AN163" s="777">
        <v>0</v>
      </c>
      <c r="AO163" s="748">
        <f>IF(AN163&gt;0,AP163/AN163/AP$7,0)</f>
        <v>0</v>
      </c>
      <c r="AP163" s="39">
        <f>ROUND($F163*$G163*AP$7,0)</f>
        <v>0</v>
      </c>
      <c r="AQ163" s="777">
        <v>0</v>
      </c>
      <c r="AR163" s="748">
        <f>IF(AQ163&gt;0,AS163/AQ163/AS$7,0)</f>
        <v>0</v>
      </c>
      <c r="AS163" s="39">
        <f>ROUND($F163*$G163*AS$7,0)</f>
        <v>0</v>
      </c>
      <c r="AT163" s="32"/>
    </row>
    <row r="164" spans="1:52" s="42" customFormat="1" x14ac:dyDescent="0.2">
      <c r="A164" s="741" t="s">
        <v>744</v>
      </c>
      <c r="D164" s="3"/>
      <c r="E164" s="3"/>
      <c r="F164" s="829"/>
      <c r="G164" s="754"/>
      <c r="H164" s="754"/>
      <c r="I164" s="754"/>
      <c r="J164" s="795">
        <f>SUM(J107:J163)</f>
        <v>83901</v>
      </c>
      <c r="K164" s="818">
        <f>IF(J164&gt;0,L164/J164/L$7,0)</f>
        <v>8.4424106983230166E-3</v>
      </c>
      <c r="L164" s="819">
        <f>SUM(L107:L163)</f>
        <v>21958.127699999983</v>
      </c>
      <c r="M164" s="795">
        <f>SUM(M109:M163)</f>
        <v>123901</v>
      </c>
      <c r="N164" s="818">
        <f>IF(M164&gt;0,O164/M164/O$7,0)</f>
        <v>3.8226702770760533E-2</v>
      </c>
      <c r="O164" s="819">
        <f>SUM(O109:O163)</f>
        <v>132617.14760000003</v>
      </c>
      <c r="P164" s="795">
        <f>SUM(P109:P163)</f>
        <v>78901</v>
      </c>
      <c r="Q164" s="818">
        <f>IF(P164&gt;0,R164/P164/R$7,0)</f>
        <v>1.9072340021039042E-2</v>
      </c>
      <c r="R164" s="819">
        <f>SUM(R109:R163)</f>
        <v>46649.627700000041</v>
      </c>
      <c r="S164" s="795">
        <f>SUM(S109:S163)</f>
        <v>93901</v>
      </c>
      <c r="T164" s="818">
        <f>IF(S164&gt;0,U164/S164/U$7,0)</f>
        <v>2.5722055143182706E-2</v>
      </c>
      <c r="U164" s="819">
        <f>SUM(U109:U163)</f>
        <v>72459.800999999978</v>
      </c>
      <c r="V164" s="795">
        <f>SUM(V109:V163)</f>
        <v>80514</v>
      </c>
      <c r="W164" s="818">
        <f>IF(V164&gt;0,X164/V164/X$7,0)</f>
        <v>1.7642593834612624E-2</v>
      </c>
      <c r="X164" s="819">
        <f>SUM(X109:X163)</f>
        <v>44034.74980000002</v>
      </c>
      <c r="Y164" s="795">
        <f>SUM(Y109:Y163)</f>
        <v>120448</v>
      </c>
      <c r="Z164" s="818">
        <f>IF(Y164&gt;0,AA164/Y164/AA$7,0)</f>
        <v>2.4456940754516463E-2</v>
      </c>
      <c r="AA164" s="819">
        <f>SUM(AA109:AA163)</f>
        <v>88373.687999999966</v>
      </c>
      <c r="AB164" s="795">
        <f>SUM(AB109:AB163)</f>
        <v>160718</v>
      </c>
      <c r="AC164" s="818">
        <f>IF(AB164&gt;0,AD164/AB164/AD$7,0)</f>
        <v>4.0743902985353221E-2</v>
      </c>
      <c r="AD164" s="819">
        <f>SUM(AD109:AD163)</f>
        <v>202996.6366</v>
      </c>
      <c r="AE164" s="795">
        <f>SUM(AE109:AE163)</f>
        <v>157492</v>
      </c>
      <c r="AF164" s="818">
        <f>IF(AE164&gt;0,AG164/AE164/AG$7,0)</f>
        <v>3.9474896502679505E-2</v>
      </c>
      <c r="AG164" s="819">
        <f>SUM(AG109:AG163)</f>
        <v>192726.39240000004</v>
      </c>
      <c r="AH164" s="795">
        <f>SUM(AH109:AH163)</f>
        <v>151148</v>
      </c>
      <c r="AI164" s="818">
        <f>IF(AH164&gt;0,AJ164/AH164/AJ$7,0)</f>
        <v>3.942347632783761E-2</v>
      </c>
      <c r="AJ164" s="819">
        <f>SUM(AJ109:AJ163)</f>
        <v>178763.38799999998</v>
      </c>
      <c r="AK164" s="795">
        <f>SUM(AK109:AK163)</f>
        <v>127115</v>
      </c>
      <c r="AL164" s="818">
        <f>IF(AK164&gt;0,AM164/AK164/AM$7,0)</f>
        <v>2.7275589033552303E-2</v>
      </c>
      <c r="AM164" s="819">
        <f>SUM(AM109:AM163)</f>
        <v>107481.23150000002</v>
      </c>
      <c r="AN164" s="795">
        <f>SUM(AN109:AN163)</f>
        <v>172115</v>
      </c>
      <c r="AO164" s="818">
        <f>IF(AN164&gt;0,AP164/AN164/AP$7,0)</f>
        <v>3.6305008279348107E-2</v>
      </c>
      <c r="AP164" s="819">
        <f>SUM(AP109:AP163)</f>
        <v>187459.09499999997</v>
      </c>
      <c r="AQ164" s="795">
        <f>SUM(AQ109:AQ163)</f>
        <v>156401</v>
      </c>
      <c r="AR164" s="818">
        <f>IF(AQ164&gt;0,AS164/AQ164/AS$7,0)</f>
        <v>4.7355967672840969E-2</v>
      </c>
      <c r="AS164" s="819">
        <f>SUM(AS109:AS163)</f>
        <v>229602.14170000001</v>
      </c>
      <c r="AT164" s="31"/>
      <c r="AV164" s="820"/>
      <c r="AW164" s="820"/>
      <c r="AX164" s="33"/>
      <c r="AZ164" s="820"/>
    </row>
    <row r="165" spans="1:52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V165" s="802">
        <f>SUM(AV107:AV164)</f>
        <v>188847.33559999987</v>
      </c>
      <c r="AW165" s="802">
        <f>SUM(AW108:AW164)</f>
        <v>188847.33560000034</v>
      </c>
      <c r="AZ165" s="802">
        <f>SUM(AZ108:AZ164)</f>
        <v>13119413.218499999</v>
      </c>
    </row>
    <row r="166" spans="1:52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</row>
    <row r="168" spans="1:52" x14ac:dyDescent="0.2">
      <c r="AU168" t="s">
        <v>316</v>
      </c>
      <c r="AW168" s="960">
        <f>AW135</f>
        <v>2555000</v>
      </c>
    </row>
    <row r="169" spans="1:52" x14ac:dyDescent="0.2">
      <c r="AU169" t="s">
        <v>672</v>
      </c>
      <c r="AW169" s="33">
        <f>AW149+AW142+AW139+AW121+AW125+AW112+AW109</f>
        <v>461207.07260000001</v>
      </c>
    </row>
    <row r="170" spans="1:52" x14ac:dyDescent="0.2">
      <c r="AU170" t="s">
        <v>673</v>
      </c>
      <c r="AW170" s="907">
        <f>AW146</f>
        <v>-4361160</v>
      </c>
    </row>
    <row r="171" spans="1:52" x14ac:dyDescent="0.2">
      <c r="AU171" t="s">
        <v>674</v>
      </c>
      <c r="AW171" s="966">
        <f>AW118+AW131</f>
        <v>-136300</v>
      </c>
      <c r="AY171" s="33"/>
    </row>
    <row r="172" spans="1:52" x14ac:dyDescent="0.2">
      <c r="AU172" t="s">
        <v>675</v>
      </c>
      <c r="AW172" s="961">
        <f>AW161+AW154+AW151+AW152</f>
        <v>1781040.75</v>
      </c>
    </row>
    <row r="173" spans="1:52" x14ac:dyDescent="0.2">
      <c r="AU173" t="s">
        <v>676</v>
      </c>
      <c r="AW173" s="962">
        <f>AW116</f>
        <v>-110940.48699999985</v>
      </c>
    </row>
    <row r="174" spans="1:52" x14ac:dyDescent="0.2">
      <c r="AW174" s="33">
        <f>SUM(AW168:AW173)</f>
        <v>188847.33560000022</v>
      </c>
    </row>
  </sheetData>
  <mergeCells count="13">
    <mergeCell ref="F2:G2"/>
    <mergeCell ref="J8:L8"/>
    <mergeCell ref="M8:O8"/>
    <mergeCell ref="P8:R8"/>
    <mergeCell ref="S8:U8"/>
    <mergeCell ref="V8:X8"/>
    <mergeCell ref="AQ8:AS8"/>
    <mergeCell ref="AE8:AG8"/>
    <mergeCell ref="AH8:AJ8"/>
    <mergeCell ref="AK8:AM8"/>
    <mergeCell ref="AN8:AP8"/>
    <mergeCell ref="Y8:AA8"/>
    <mergeCell ref="AB8:AD8"/>
  </mergeCells>
  <phoneticPr fontId="10" type="noConversion"/>
  <pageMargins left="0.25" right="0.36" top="0.5" bottom="0.5" header="0.25" footer="0.25"/>
  <pageSetup paperSize="5" scale="54" fitToWidth="2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0"/>
  <sheetViews>
    <sheetView view="pageBreakPreview" topLeftCell="A7" zoomScale="60" zoomScaleNormal="75" workbookViewId="0">
      <pane xSplit="9" ySplit="4" topLeftCell="AX210" activePane="bottomRight" state="frozen"/>
      <selection activeCell="A7" sqref="A7"/>
      <selection pane="topRight" activeCell="J7" sqref="J7"/>
      <selection pane="bottomLeft" activeCell="A11" sqref="A11"/>
      <selection pane="bottomRight" activeCell="G194" sqref="G194"/>
    </sheetView>
  </sheetViews>
  <sheetFormatPr defaultRowHeight="12.75" x14ac:dyDescent="0.2"/>
  <cols>
    <col min="1" max="1" width="10.7109375" style="629" customWidth="1"/>
    <col min="2" max="2" width="24.28515625" customWidth="1"/>
    <col min="3" max="3" width="6.140625" hidden="1" customWidth="1"/>
    <col min="4" max="4" width="13" style="35" hidden="1" customWidth="1"/>
    <col min="5" max="5" width="12.140625" style="35" hidden="1" customWidth="1"/>
    <col min="6" max="6" width="10.7109375" style="871" customWidth="1"/>
    <col min="7" max="7" width="12.5703125" style="872" customWidth="1"/>
    <col min="8" max="8" width="10.85546875" style="872" hidden="1" customWidth="1"/>
    <col min="9" max="9" width="11.7109375" style="872" hidden="1" customWidth="1"/>
    <col min="10" max="10" width="14" style="873" hidden="1" customWidth="1"/>
    <col min="11" max="11" width="11" style="872" hidden="1" customWidth="1"/>
    <col min="12" max="12" width="15" hidden="1" customWidth="1"/>
    <col min="13" max="13" width="11.7109375" style="692" hidden="1" customWidth="1"/>
    <col min="14" max="15" width="11.7109375" hidden="1" customWidth="1"/>
    <col min="16" max="16" width="11.7109375" style="692" hidden="1" customWidth="1"/>
    <col min="17" max="18" width="11.7109375" hidden="1" customWidth="1"/>
    <col min="19" max="19" width="11.7109375" style="692" hidden="1" customWidth="1"/>
    <col min="20" max="21" width="11.7109375" hidden="1" customWidth="1"/>
    <col min="22" max="22" width="11.7109375" style="692" hidden="1" customWidth="1"/>
    <col min="23" max="24" width="11.7109375" hidden="1" customWidth="1"/>
    <col min="25" max="25" width="11.7109375" style="692" hidden="1" customWidth="1"/>
    <col min="26" max="26" width="11.7109375" hidden="1" customWidth="1"/>
    <col min="27" max="27" width="14.42578125" hidden="1" customWidth="1"/>
    <col min="28" max="28" width="14.42578125" style="692" hidden="1" customWidth="1"/>
    <col min="29" max="29" width="14.42578125" hidden="1" customWidth="1"/>
    <col min="30" max="30" width="14.5703125" hidden="1" customWidth="1"/>
    <col min="31" max="31" width="14.5703125" style="692" hidden="1" customWidth="1"/>
    <col min="32" max="32" width="14.5703125" hidden="1" customWidth="1"/>
    <col min="33" max="33" width="14" hidden="1" customWidth="1"/>
    <col min="34" max="34" width="14" style="692" hidden="1" customWidth="1"/>
    <col min="35" max="35" width="14" hidden="1" customWidth="1"/>
    <col min="36" max="36" width="13.85546875" hidden="1" customWidth="1"/>
    <col min="37" max="37" width="13.85546875" style="692" hidden="1" customWidth="1"/>
    <col min="38" max="38" width="13.85546875" hidden="1" customWidth="1"/>
    <col min="39" max="39" width="13.28515625" hidden="1" customWidth="1"/>
    <col min="40" max="40" width="13.28515625" style="692" hidden="1" customWidth="1"/>
    <col min="41" max="41" width="13.28515625" hidden="1" customWidth="1"/>
    <col min="42" max="42" width="14.7109375" hidden="1" customWidth="1"/>
    <col min="43" max="43" width="13" style="692" hidden="1" customWidth="1"/>
    <col min="44" max="44" width="13" hidden="1" customWidth="1"/>
    <col min="45" max="45" width="13.42578125" hidden="1" customWidth="1"/>
    <col min="46" max="46" width="4.5703125" hidden="1" customWidth="1"/>
    <col min="47" max="47" width="5.140625" hidden="1" customWidth="1"/>
    <col min="48" max="48" width="15.42578125" customWidth="1"/>
    <col min="49" max="49" width="2.85546875" customWidth="1"/>
    <col min="50" max="50" width="15" customWidth="1"/>
    <col min="51" max="51" width="2.85546875" customWidth="1"/>
    <col min="52" max="53" width="15.28515625" customWidth="1"/>
    <col min="54" max="54" width="2.85546875" customWidth="1"/>
    <col min="55" max="55" width="15.28515625" customWidth="1"/>
    <col min="56" max="56" width="14.85546875" customWidth="1"/>
    <col min="57" max="57" width="13.140625" customWidth="1"/>
    <col min="58" max="58" width="16.85546875" customWidth="1"/>
    <col min="59" max="59" width="12.28515625" bestFit="1" customWidth="1"/>
  </cols>
  <sheetData>
    <row r="1" spans="1:58" x14ac:dyDescent="0.2">
      <c r="A1" s="741" t="s">
        <v>0</v>
      </c>
    </row>
    <row r="2" spans="1:58" x14ac:dyDescent="0.2">
      <c r="A2" s="741" t="s">
        <v>662</v>
      </c>
      <c r="F2" s="1118">
        <f ca="1">NOW()</f>
        <v>41885.92788761574</v>
      </c>
      <c r="G2" s="1118"/>
    </row>
    <row r="3" spans="1:58" x14ac:dyDescent="0.2">
      <c r="A3" s="741" t="s">
        <v>661</v>
      </c>
    </row>
    <row r="5" spans="1:58" x14ac:dyDescent="0.2">
      <c r="A5" s="741"/>
      <c r="D5" s="805"/>
    </row>
    <row r="7" spans="1:58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8" x14ac:dyDescent="0.2">
      <c r="J8" s="1106" t="s">
        <v>57</v>
      </c>
      <c r="K8" s="1106"/>
      <c r="L8" s="1106"/>
      <c r="M8" s="1106" t="s">
        <v>58</v>
      </c>
      <c r="N8" s="1106"/>
      <c r="O8" s="1106"/>
      <c r="P8" s="1106" t="s">
        <v>59</v>
      </c>
      <c r="Q8" s="1106"/>
      <c r="R8" s="1106"/>
      <c r="S8" s="1106" t="s">
        <v>60</v>
      </c>
      <c r="T8" s="1106"/>
      <c r="U8" s="1106"/>
      <c r="V8" s="1106" t="s">
        <v>1</v>
      </c>
      <c r="W8" s="1106"/>
      <c r="X8" s="1106"/>
      <c r="Y8" s="1106" t="s">
        <v>61</v>
      </c>
      <c r="Z8" s="1106"/>
      <c r="AA8" s="1106"/>
      <c r="AB8" s="1106" t="s">
        <v>62</v>
      </c>
      <c r="AC8" s="1106"/>
      <c r="AD8" s="1106"/>
      <c r="AE8" s="1106" t="s">
        <v>63</v>
      </c>
      <c r="AF8" s="1106"/>
      <c r="AG8" s="1106"/>
      <c r="AH8" s="1106" t="s">
        <v>64</v>
      </c>
      <c r="AI8" s="1106"/>
      <c r="AJ8" s="1106"/>
      <c r="AK8" s="1106" t="s">
        <v>65</v>
      </c>
      <c r="AL8" s="1106"/>
      <c r="AM8" s="1106"/>
      <c r="AN8" s="1106" t="s">
        <v>66</v>
      </c>
      <c r="AO8" s="1106"/>
      <c r="AP8" s="1106"/>
      <c r="AQ8" s="1106" t="s">
        <v>67</v>
      </c>
      <c r="AR8" s="1106"/>
      <c r="AS8" s="1106"/>
    </row>
    <row r="9" spans="1:58" x14ac:dyDescent="0.2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/>
      <c r="AV9" s="3" t="s">
        <v>659</v>
      </c>
      <c r="AW9" s="874"/>
      <c r="AX9" s="3" t="s">
        <v>719</v>
      </c>
      <c r="AY9" s="874"/>
      <c r="AZ9" s="3" t="s">
        <v>720</v>
      </c>
      <c r="BA9" s="3" t="s">
        <v>720</v>
      </c>
      <c r="BB9" s="874"/>
      <c r="BC9" s="3" t="s">
        <v>280</v>
      </c>
      <c r="BD9" s="3" t="s">
        <v>721</v>
      </c>
      <c r="BE9" s="3" t="s">
        <v>616</v>
      </c>
      <c r="BF9" s="3" t="s">
        <v>722</v>
      </c>
    </row>
    <row r="10" spans="1:58" ht="13.5" thickBot="1" x14ac:dyDescent="0.25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/>
      <c r="AV10" s="803" t="s">
        <v>660</v>
      </c>
      <c r="AW10" s="875"/>
      <c r="AX10" s="803" t="s">
        <v>42</v>
      </c>
      <c r="AY10" s="875"/>
      <c r="AZ10" s="876" t="s">
        <v>723</v>
      </c>
      <c r="BA10" s="876" t="s">
        <v>724</v>
      </c>
      <c r="BB10" s="875"/>
      <c r="BC10" s="876" t="s">
        <v>725</v>
      </c>
      <c r="BD10" s="876" t="s">
        <v>726</v>
      </c>
      <c r="BE10" s="876" t="s">
        <v>727</v>
      </c>
      <c r="BF10" s="876" t="s">
        <v>727</v>
      </c>
    </row>
    <row r="11" spans="1:58" x14ac:dyDescent="0.2">
      <c r="A11" s="758"/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  <c r="AW11" s="877"/>
      <c r="AY11" s="877"/>
      <c r="BB11" s="877"/>
    </row>
    <row r="12" spans="1:58" x14ac:dyDescent="0.2">
      <c r="A12" s="812"/>
      <c r="B12" s="809"/>
      <c r="C12" s="809"/>
      <c r="D12" s="809"/>
      <c r="E12" s="809"/>
      <c r="F12" s="830"/>
      <c r="G12" s="810"/>
      <c r="H12" s="810"/>
      <c r="I12" s="810"/>
      <c r="J12" s="813"/>
      <c r="K12" s="810"/>
      <c r="L12" s="814"/>
      <c r="M12" s="815"/>
      <c r="N12" s="814"/>
      <c r="O12" s="814"/>
      <c r="P12" s="815"/>
      <c r="Q12" s="814"/>
      <c r="R12" s="814"/>
      <c r="S12" s="815"/>
      <c r="T12" s="814"/>
      <c r="U12" s="814"/>
      <c r="V12" s="815"/>
      <c r="W12" s="814"/>
      <c r="X12" s="814"/>
      <c r="Y12" s="815"/>
      <c r="Z12" s="814"/>
      <c r="AA12" s="814"/>
      <c r="AB12" s="815"/>
      <c r="AC12" s="814"/>
      <c r="AD12" s="814"/>
      <c r="AE12" s="815"/>
      <c r="AF12" s="814"/>
      <c r="AG12" s="814"/>
      <c r="AH12" s="815"/>
      <c r="AI12" s="814"/>
      <c r="AJ12" s="814"/>
      <c r="AK12" s="815"/>
      <c r="AL12" s="814"/>
      <c r="AM12" s="814"/>
      <c r="AN12" s="815"/>
      <c r="AO12" s="814"/>
      <c r="AP12" s="814"/>
      <c r="AQ12" s="815"/>
      <c r="AR12" s="814"/>
      <c r="AS12" s="814"/>
      <c r="AT12" s="389"/>
      <c r="AU12" s="389"/>
      <c r="AV12" s="389"/>
      <c r="AW12" s="389"/>
      <c r="AY12" s="389"/>
      <c r="BB12" s="389"/>
    </row>
    <row r="13" spans="1:58" hidden="1" x14ac:dyDescent="0.2">
      <c r="A13" s="758" t="s">
        <v>668</v>
      </c>
      <c r="B13" s="478"/>
      <c r="C13" s="478"/>
      <c r="D13" s="478"/>
      <c r="E13" s="478"/>
      <c r="F13" s="827"/>
      <c r="G13" s="757"/>
      <c r="H13" s="757"/>
      <c r="I13" s="757"/>
      <c r="J13" s="768"/>
      <c r="K13" s="757"/>
      <c r="L13" s="482"/>
      <c r="M13" s="771"/>
      <c r="N13" s="482"/>
      <c r="O13" s="482"/>
      <c r="P13" s="771"/>
      <c r="Q13" s="482"/>
      <c r="R13" s="482"/>
      <c r="S13" s="771"/>
      <c r="T13" s="482"/>
      <c r="U13" s="482"/>
      <c r="V13" s="771"/>
      <c r="W13" s="482"/>
      <c r="X13" s="482"/>
      <c r="Y13" s="771"/>
      <c r="Z13" s="482"/>
      <c r="AA13" s="482"/>
      <c r="AB13" s="771"/>
      <c r="AC13" s="482"/>
      <c r="AD13" s="482"/>
      <c r="AE13" s="771"/>
      <c r="AF13" s="482"/>
      <c r="AG13" s="482"/>
      <c r="AH13" s="771"/>
      <c r="AI13" s="482"/>
      <c r="AJ13" s="482"/>
      <c r="AK13" s="771"/>
      <c r="AL13" s="482"/>
      <c r="AM13" s="482"/>
      <c r="AN13" s="771"/>
      <c r="AO13" s="482"/>
      <c r="AP13" s="482"/>
      <c r="AQ13" s="771"/>
      <c r="AR13" s="482"/>
      <c r="AS13" s="482"/>
      <c r="AU13" s="52"/>
      <c r="AV13" s="52"/>
      <c r="AW13" s="877"/>
      <c r="AY13" s="877"/>
      <c r="BB13" s="877"/>
    </row>
    <row r="14" spans="1:58" hidden="1" x14ac:dyDescent="0.2">
      <c r="A14" s="743" t="s">
        <v>283</v>
      </c>
      <c r="J14" s="878"/>
      <c r="L14" s="879"/>
      <c r="M14" s="878"/>
      <c r="N14" s="872"/>
      <c r="O14" s="879"/>
      <c r="P14" s="878"/>
      <c r="Q14" s="872"/>
      <c r="R14" s="879"/>
      <c r="S14" s="878"/>
      <c r="T14" s="872"/>
      <c r="U14" s="879"/>
      <c r="V14" s="878"/>
      <c r="W14" s="872"/>
      <c r="X14" s="879"/>
      <c r="Y14" s="878"/>
      <c r="Z14" s="872"/>
      <c r="AA14" s="879"/>
      <c r="AB14" s="878"/>
      <c r="AC14" s="872"/>
      <c r="AD14" s="879"/>
      <c r="AE14" s="878"/>
      <c r="AF14" s="872"/>
      <c r="AG14" s="879"/>
      <c r="AH14" s="878"/>
      <c r="AI14" s="872"/>
      <c r="AJ14" s="879"/>
      <c r="AK14" s="878"/>
      <c r="AL14" s="872"/>
      <c r="AM14" s="879"/>
      <c r="AN14" s="878"/>
      <c r="AO14" s="872"/>
      <c r="AP14" s="879"/>
      <c r="AQ14" s="878"/>
      <c r="AR14" s="872"/>
      <c r="AS14" s="879"/>
      <c r="AT14" s="879"/>
      <c r="AW14" s="389"/>
      <c r="AY14" s="389"/>
      <c r="BB14" s="389"/>
    </row>
    <row r="15" spans="1:58" hidden="1" x14ac:dyDescent="0.2">
      <c r="A15" s="880">
        <v>26751</v>
      </c>
      <c r="B15" s="29" t="s">
        <v>728</v>
      </c>
      <c r="C15">
        <v>2001</v>
      </c>
      <c r="D15" s="881">
        <v>36557</v>
      </c>
      <c r="E15" s="882">
        <v>36922</v>
      </c>
      <c r="F15" s="831">
        <v>-20000</v>
      </c>
      <c r="G15" s="883">
        <v>0.10639999999999999</v>
      </c>
      <c r="H15" s="29">
        <v>2.46E-2</v>
      </c>
      <c r="I15" s="884">
        <f t="shared" ref="I15:I28" si="0">SUM(G15:H15)</f>
        <v>0.13100000000000001</v>
      </c>
      <c r="J15" s="885">
        <f t="shared" ref="J15:J20" si="1">$F15</f>
        <v>-20000</v>
      </c>
      <c r="K15" s="884">
        <f t="shared" ref="K15:K28" si="2">$G15</f>
        <v>0.10639999999999999</v>
      </c>
      <c r="L15" s="879">
        <f t="shared" ref="L15:L28" si="3">J15*K15*L$7</f>
        <v>-65968</v>
      </c>
      <c r="M15" s="885">
        <v>0</v>
      </c>
      <c r="N15" s="884">
        <f t="shared" ref="N15:N28" si="4">$G15</f>
        <v>0.10639999999999999</v>
      </c>
      <c r="O15" s="879">
        <f t="shared" ref="O15:O28" si="5">M15*N15*O$7</f>
        <v>0</v>
      </c>
      <c r="P15" s="885">
        <v>0</v>
      </c>
      <c r="Q15" s="884">
        <f t="shared" ref="Q15:Q28" si="6">$G15</f>
        <v>0.10639999999999999</v>
      </c>
      <c r="R15" s="879">
        <f t="shared" ref="R15:R28" si="7">P15*Q15*R$7</f>
        <v>0</v>
      </c>
      <c r="S15" s="885">
        <v>0</v>
      </c>
      <c r="T15" s="884">
        <f t="shared" ref="T15:T28" si="8">$G15</f>
        <v>0.10639999999999999</v>
      </c>
      <c r="U15" s="879">
        <f t="shared" ref="U15:U28" si="9">S15*T15*U$7</f>
        <v>0</v>
      </c>
      <c r="V15" s="885">
        <v>0</v>
      </c>
      <c r="W15" s="884">
        <f t="shared" ref="W15:W28" si="10">$G15</f>
        <v>0.10639999999999999</v>
      </c>
      <c r="X15" s="879">
        <f t="shared" ref="X15:X28" si="11">V15*W15*X$7</f>
        <v>0</v>
      </c>
      <c r="Y15" s="885">
        <v>0</v>
      </c>
      <c r="Z15" s="884">
        <f t="shared" ref="Z15:Z28" si="12">$G15</f>
        <v>0.10639999999999999</v>
      </c>
      <c r="AA15" s="879">
        <f t="shared" ref="AA15:AA28" si="13">Y15*Z15*AA$7</f>
        <v>0</v>
      </c>
      <c r="AB15" s="885">
        <v>0</v>
      </c>
      <c r="AC15" s="884">
        <f t="shared" ref="AC15:AC28" si="14">$G15</f>
        <v>0.10639999999999999</v>
      </c>
      <c r="AD15" s="879">
        <f t="shared" ref="AD15:AD28" si="15">AB15*AC15*AD$7</f>
        <v>0</v>
      </c>
      <c r="AE15" s="885">
        <v>0</v>
      </c>
      <c r="AF15" s="884">
        <f t="shared" ref="AF15:AF28" si="16">$G15</f>
        <v>0.10639999999999999</v>
      </c>
      <c r="AG15" s="879">
        <f t="shared" ref="AG15:AG28" si="17">AE15*AF15*AG$7</f>
        <v>0</v>
      </c>
      <c r="AH15" s="885">
        <v>0</v>
      </c>
      <c r="AI15" s="884">
        <f t="shared" ref="AI15:AI28" si="18">$G15</f>
        <v>0.10639999999999999</v>
      </c>
      <c r="AJ15" s="879">
        <f t="shared" ref="AJ15:AJ28" si="19">AH15*AI15*AJ$7</f>
        <v>0</v>
      </c>
      <c r="AK15" s="885">
        <v>0</v>
      </c>
      <c r="AL15" s="884">
        <f t="shared" ref="AL15:AL28" si="20">$G15</f>
        <v>0.10639999999999999</v>
      </c>
      <c r="AM15" s="879">
        <f t="shared" ref="AM15:AM28" si="21">AK15*AL15*AM$7</f>
        <v>0</v>
      </c>
      <c r="AN15" s="885">
        <v>0</v>
      </c>
      <c r="AO15" s="884">
        <f>$G15</f>
        <v>0.10639999999999999</v>
      </c>
      <c r="AP15" s="879">
        <f t="shared" ref="AP15:AP28" si="22">AN15*AO15*AP$7</f>
        <v>0</v>
      </c>
      <c r="AQ15" s="885">
        <v>0</v>
      </c>
      <c r="AR15" s="884">
        <f>$G15</f>
        <v>0.10639999999999999</v>
      </c>
      <c r="AS15" s="879">
        <f t="shared" ref="AS15:AS28" si="23">AQ15*AR15*AS$7</f>
        <v>0</v>
      </c>
      <c r="AT15" s="879"/>
      <c r="AV15" s="33">
        <f t="shared" ref="AV15:AV28" si="24">AS15+AP15+AM15+AJ15+AG15+AD15+AA15+X15+U15+R15+O15+L15</f>
        <v>-65968</v>
      </c>
      <c r="AW15" s="886"/>
      <c r="AY15" s="886"/>
      <c r="BB15" s="886"/>
    </row>
    <row r="16" spans="1:58" hidden="1" x14ac:dyDescent="0.2">
      <c r="A16" s="880">
        <v>27293</v>
      </c>
      <c r="B16" s="29" t="s">
        <v>27</v>
      </c>
      <c r="C16">
        <v>2001</v>
      </c>
      <c r="D16" s="881">
        <v>36831</v>
      </c>
      <c r="E16" s="882">
        <v>37560</v>
      </c>
      <c r="F16" s="831">
        <v>-49000</v>
      </c>
      <c r="G16" s="883">
        <v>0.25540000000000002</v>
      </c>
      <c r="H16" s="29">
        <v>2.46E-2</v>
      </c>
      <c r="I16" s="884">
        <f t="shared" si="0"/>
        <v>0.28000000000000003</v>
      </c>
      <c r="J16" s="885">
        <f t="shared" si="1"/>
        <v>-49000</v>
      </c>
      <c r="K16" s="884">
        <f t="shared" si="2"/>
        <v>0.25540000000000002</v>
      </c>
      <c r="L16" s="879">
        <f t="shared" si="3"/>
        <v>-387952.60000000003</v>
      </c>
      <c r="M16" s="885">
        <f t="shared" ref="M16:M24" si="25">$F16</f>
        <v>-49000</v>
      </c>
      <c r="N16" s="884">
        <f t="shared" si="4"/>
        <v>0.25540000000000002</v>
      </c>
      <c r="O16" s="879">
        <f t="shared" si="5"/>
        <v>-350408.8</v>
      </c>
      <c r="P16" s="885">
        <f t="shared" ref="P16:P24" si="26">$F16</f>
        <v>-49000</v>
      </c>
      <c r="Q16" s="884">
        <f t="shared" si="6"/>
        <v>0.25540000000000002</v>
      </c>
      <c r="R16" s="879">
        <f t="shared" si="7"/>
        <v>-387952.60000000003</v>
      </c>
      <c r="S16" s="885">
        <f>$F16</f>
        <v>-49000</v>
      </c>
      <c r="T16" s="884">
        <f t="shared" si="8"/>
        <v>0.25540000000000002</v>
      </c>
      <c r="U16" s="879">
        <f t="shared" si="9"/>
        <v>-375438</v>
      </c>
      <c r="V16" s="885">
        <f>$F16</f>
        <v>-49000</v>
      </c>
      <c r="W16" s="884">
        <f t="shared" si="10"/>
        <v>0.25540000000000002</v>
      </c>
      <c r="X16" s="879">
        <f t="shared" si="11"/>
        <v>-387952.60000000003</v>
      </c>
      <c r="Y16" s="885">
        <f>$F16</f>
        <v>-49000</v>
      </c>
      <c r="Z16" s="884">
        <f t="shared" si="12"/>
        <v>0.25540000000000002</v>
      </c>
      <c r="AA16" s="879">
        <f t="shared" si="13"/>
        <v>-375438</v>
      </c>
      <c r="AB16" s="885">
        <f>$F16</f>
        <v>-49000</v>
      </c>
      <c r="AC16" s="884">
        <f t="shared" si="14"/>
        <v>0.25540000000000002</v>
      </c>
      <c r="AD16" s="879">
        <f t="shared" si="15"/>
        <v>-387952.60000000003</v>
      </c>
      <c r="AE16" s="885">
        <f>$F16</f>
        <v>-49000</v>
      </c>
      <c r="AF16" s="884">
        <f t="shared" si="16"/>
        <v>0.25540000000000002</v>
      </c>
      <c r="AG16" s="879">
        <f t="shared" si="17"/>
        <v>-387952.60000000003</v>
      </c>
      <c r="AH16" s="885">
        <f>$F16</f>
        <v>-49000</v>
      </c>
      <c r="AI16" s="884">
        <f t="shared" si="18"/>
        <v>0.25540000000000002</v>
      </c>
      <c r="AJ16" s="879">
        <f t="shared" si="19"/>
        <v>-375438</v>
      </c>
      <c r="AK16" s="885">
        <f>$F16</f>
        <v>-49000</v>
      </c>
      <c r="AL16" s="884">
        <f t="shared" si="20"/>
        <v>0.25540000000000002</v>
      </c>
      <c r="AM16" s="879">
        <f t="shared" si="21"/>
        <v>-387952.60000000003</v>
      </c>
      <c r="AN16" s="885">
        <f>$F16</f>
        <v>-49000</v>
      </c>
      <c r="AO16" s="884">
        <f>$G16</f>
        <v>0.25540000000000002</v>
      </c>
      <c r="AP16" s="879">
        <f t="shared" si="22"/>
        <v>-375438</v>
      </c>
      <c r="AQ16" s="885">
        <f>$F16</f>
        <v>-49000</v>
      </c>
      <c r="AR16" s="884">
        <f>$G16</f>
        <v>0.25540000000000002</v>
      </c>
      <c r="AS16" s="879">
        <f t="shared" si="23"/>
        <v>-387952.60000000003</v>
      </c>
      <c r="AT16" s="879"/>
      <c r="AV16" s="33">
        <f t="shared" si="24"/>
        <v>-4567829</v>
      </c>
      <c r="AW16" s="886"/>
      <c r="AY16" s="886"/>
      <c r="BB16" s="886"/>
    </row>
    <row r="17" spans="1:54" hidden="1" x14ac:dyDescent="0.2">
      <c r="A17" s="880">
        <v>27252</v>
      </c>
      <c r="B17" s="29" t="s">
        <v>729</v>
      </c>
      <c r="C17">
        <v>2001</v>
      </c>
      <c r="D17" s="887">
        <v>36831</v>
      </c>
      <c r="E17" s="882">
        <v>40482</v>
      </c>
      <c r="F17" s="831">
        <v>-14000</v>
      </c>
      <c r="G17" s="883">
        <v>0.12540000000000001</v>
      </c>
      <c r="H17" s="29">
        <v>2.46E-2</v>
      </c>
      <c r="I17" s="884">
        <f t="shared" si="0"/>
        <v>0.15000000000000002</v>
      </c>
      <c r="J17" s="885">
        <f t="shared" si="1"/>
        <v>-14000</v>
      </c>
      <c r="K17" s="884">
        <f t="shared" si="2"/>
        <v>0.12540000000000001</v>
      </c>
      <c r="L17" s="879">
        <f t="shared" si="3"/>
        <v>-54423.600000000006</v>
      </c>
      <c r="M17" s="885">
        <f t="shared" si="25"/>
        <v>-14000</v>
      </c>
      <c r="N17" s="884">
        <f t="shared" si="4"/>
        <v>0.12540000000000001</v>
      </c>
      <c r="O17" s="879">
        <f t="shared" si="5"/>
        <v>-49156.800000000003</v>
      </c>
      <c r="P17" s="885">
        <f t="shared" si="26"/>
        <v>-14000</v>
      </c>
      <c r="Q17" s="884">
        <f t="shared" si="6"/>
        <v>0.12540000000000001</v>
      </c>
      <c r="R17" s="879">
        <f t="shared" si="7"/>
        <v>-54423.600000000006</v>
      </c>
      <c r="S17" s="885">
        <v>0</v>
      </c>
      <c r="T17" s="884">
        <f t="shared" si="8"/>
        <v>0.12540000000000001</v>
      </c>
      <c r="U17" s="879">
        <f t="shared" si="9"/>
        <v>0</v>
      </c>
      <c r="V17" s="885">
        <v>0</v>
      </c>
      <c r="W17" s="884">
        <f t="shared" si="10"/>
        <v>0.12540000000000001</v>
      </c>
      <c r="X17" s="879">
        <f t="shared" si="11"/>
        <v>0</v>
      </c>
      <c r="Y17" s="885">
        <v>0</v>
      </c>
      <c r="Z17" s="884">
        <f t="shared" si="12"/>
        <v>0.12540000000000001</v>
      </c>
      <c r="AA17" s="879">
        <f t="shared" si="13"/>
        <v>0</v>
      </c>
      <c r="AB17" s="885">
        <v>0</v>
      </c>
      <c r="AC17" s="884">
        <f t="shared" si="14"/>
        <v>0.12540000000000001</v>
      </c>
      <c r="AD17" s="879">
        <f t="shared" si="15"/>
        <v>0</v>
      </c>
      <c r="AE17" s="885">
        <v>0</v>
      </c>
      <c r="AF17" s="884">
        <f t="shared" si="16"/>
        <v>0.12540000000000001</v>
      </c>
      <c r="AG17" s="879">
        <f t="shared" si="17"/>
        <v>0</v>
      </c>
      <c r="AH17" s="885">
        <v>0</v>
      </c>
      <c r="AI17" s="884">
        <f t="shared" si="18"/>
        <v>0.12540000000000001</v>
      </c>
      <c r="AJ17" s="879">
        <f t="shared" si="19"/>
        <v>0</v>
      </c>
      <c r="AK17" s="885">
        <v>0</v>
      </c>
      <c r="AL17" s="884">
        <f t="shared" si="20"/>
        <v>0.12540000000000001</v>
      </c>
      <c r="AM17" s="879">
        <f t="shared" si="21"/>
        <v>0</v>
      </c>
      <c r="AN17" s="885">
        <f>$F17</f>
        <v>-14000</v>
      </c>
      <c r="AO17" s="884">
        <f>$G17</f>
        <v>0.12540000000000001</v>
      </c>
      <c r="AP17" s="879">
        <f t="shared" si="22"/>
        <v>-52668.000000000007</v>
      </c>
      <c r="AQ17" s="885">
        <f>$F17</f>
        <v>-14000</v>
      </c>
      <c r="AR17" s="884">
        <f>$G17</f>
        <v>0.12540000000000001</v>
      </c>
      <c r="AS17" s="879">
        <f t="shared" si="23"/>
        <v>-54423.600000000006</v>
      </c>
      <c r="AT17" s="879"/>
      <c r="AV17" s="33">
        <f t="shared" si="24"/>
        <v>-265095.59999999998</v>
      </c>
      <c r="AW17" s="886"/>
      <c r="AY17" s="886"/>
      <c r="BB17" s="886"/>
    </row>
    <row r="18" spans="1:54" hidden="1" x14ac:dyDescent="0.2">
      <c r="A18" s="880">
        <v>26490</v>
      </c>
      <c r="B18" s="29" t="s">
        <v>284</v>
      </c>
      <c r="C18">
        <v>2001</v>
      </c>
      <c r="D18" s="881">
        <v>36100</v>
      </c>
      <c r="E18" s="882">
        <v>37195</v>
      </c>
      <c r="F18" s="832">
        <v>-70000</v>
      </c>
      <c r="G18" s="883">
        <v>0.1154</v>
      </c>
      <c r="H18" s="29">
        <v>2.46E-2</v>
      </c>
      <c r="I18" s="884">
        <f t="shared" si="0"/>
        <v>0.14000000000000001</v>
      </c>
      <c r="J18" s="885">
        <f t="shared" si="1"/>
        <v>-70000</v>
      </c>
      <c r="K18" s="884">
        <f t="shared" si="2"/>
        <v>0.1154</v>
      </c>
      <c r="L18" s="879">
        <f t="shared" si="3"/>
        <v>-250418</v>
      </c>
      <c r="M18" s="885">
        <f t="shared" si="25"/>
        <v>-70000</v>
      </c>
      <c r="N18" s="884">
        <f t="shared" si="4"/>
        <v>0.1154</v>
      </c>
      <c r="O18" s="879">
        <f t="shared" si="5"/>
        <v>-226184</v>
      </c>
      <c r="P18" s="885">
        <f t="shared" si="26"/>
        <v>-70000</v>
      </c>
      <c r="Q18" s="884">
        <f t="shared" si="6"/>
        <v>0.1154</v>
      </c>
      <c r="R18" s="879">
        <f t="shared" si="7"/>
        <v>-250418</v>
      </c>
      <c r="S18" s="885">
        <f>$F18</f>
        <v>-70000</v>
      </c>
      <c r="T18" s="884">
        <f t="shared" si="8"/>
        <v>0.1154</v>
      </c>
      <c r="U18" s="879">
        <f t="shared" si="9"/>
        <v>-242340</v>
      </c>
      <c r="V18" s="885">
        <f>$F18</f>
        <v>-70000</v>
      </c>
      <c r="W18" s="884">
        <f t="shared" si="10"/>
        <v>0.1154</v>
      </c>
      <c r="X18" s="879">
        <f t="shared" si="11"/>
        <v>-250418</v>
      </c>
      <c r="Y18" s="885">
        <f>$F18</f>
        <v>-70000</v>
      </c>
      <c r="Z18" s="884">
        <f t="shared" si="12"/>
        <v>0.1154</v>
      </c>
      <c r="AA18" s="879">
        <f t="shared" si="13"/>
        <v>-242340</v>
      </c>
      <c r="AB18" s="885">
        <f>$F18</f>
        <v>-70000</v>
      </c>
      <c r="AC18" s="884">
        <f t="shared" si="14"/>
        <v>0.1154</v>
      </c>
      <c r="AD18" s="879">
        <f t="shared" si="15"/>
        <v>-250418</v>
      </c>
      <c r="AE18" s="885">
        <f>$F18</f>
        <v>-70000</v>
      </c>
      <c r="AF18" s="884">
        <f t="shared" si="16"/>
        <v>0.1154</v>
      </c>
      <c r="AG18" s="879">
        <f t="shared" si="17"/>
        <v>-250418</v>
      </c>
      <c r="AH18" s="885">
        <f>$F18</f>
        <v>-70000</v>
      </c>
      <c r="AI18" s="884">
        <f t="shared" si="18"/>
        <v>0.1154</v>
      </c>
      <c r="AJ18" s="879">
        <f t="shared" si="19"/>
        <v>-242340</v>
      </c>
      <c r="AK18" s="885">
        <f>$F18</f>
        <v>-70000</v>
      </c>
      <c r="AL18" s="884">
        <f t="shared" si="20"/>
        <v>0.1154</v>
      </c>
      <c r="AM18" s="879">
        <f t="shared" si="21"/>
        <v>-250418</v>
      </c>
      <c r="AN18" s="885">
        <v>0</v>
      </c>
      <c r="AO18" s="884">
        <f>$G18</f>
        <v>0.1154</v>
      </c>
      <c r="AP18" s="879">
        <f t="shared" si="22"/>
        <v>0</v>
      </c>
      <c r="AQ18" s="885">
        <v>0</v>
      </c>
      <c r="AR18" s="884">
        <f>$G18</f>
        <v>0.1154</v>
      </c>
      <c r="AS18" s="879">
        <f t="shared" si="23"/>
        <v>0</v>
      </c>
      <c r="AT18" s="879"/>
      <c r="AV18" s="33">
        <f t="shared" si="24"/>
        <v>-2455712</v>
      </c>
      <c r="AW18" s="886"/>
      <c r="AY18" s="886"/>
      <c r="BB18" s="886"/>
    </row>
    <row r="19" spans="1:54" hidden="1" x14ac:dyDescent="0.2">
      <c r="A19" s="888">
        <v>8255</v>
      </c>
      <c r="B19" s="29" t="s">
        <v>285</v>
      </c>
      <c r="C19">
        <v>2001</v>
      </c>
      <c r="D19" s="29"/>
      <c r="E19" s="882">
        <v>38656</v>
      </c>
      <c r="F19" s="832">
        <v>-306000</v>
      </c>
      <c r="G19" s="883">
        <f>0.3232+0.0686+0.003+0.0051+0.0007</f>
        <v>0.40059999999999996</v>
      </c>
      <c r="H19" s="29">
        <v>3.4299999999999997E-2</v>
      </c>
      <c r="I19" s="884">
        <f t="shared" si="0"/>
        <v>0.43489999999999995</v>
      </c>
      <c r="J19" s="885">
        <f t="shared" si="1"/>
        <v>-306000</v>
      </c>
      <c r="K19" s="884">
        <f t="shared" si="2"/>
        <v>0.40059999999999996</v>
      </c>
      <c r="L19" s="879">
        <f t="shared" si="3"/>
        <v>-3800091.5999999996</v>
      </c>
      <c r="M19" s="885">
        <f t="shared" si="25"/>
        <v>-306000</v>
      </c>
      <c r="N19" s="884">
        <f t="shared" si="4"/>
        <v>0.40059999999999996</v>
      </c>
      <c r="O19" s="879">
        <f t="shared" si="5"/>
        <v>-3432340.8</v>
      </c>
      <c r="P19" s="885">
        <f t="shared" si="26"/>
        <v>-306000</v>
      </c>
      <c r="Q19" s="884">
        <f t="shared" si="6"/>
        <v>0.40059999999999996</v>
      </c>
      <c r="R19" s="879">
        <f t="shared" si="7"/>
        <v>-3800091.5999999996</v>
      </c>
      <c r="S19" s="885">
        <f>$F19</f>
        <v>-306000</v>
      </c>
      <c r="T19" s="884">
        <f t="shared" si="8"/>
        <v>0.40059999999999996</v>
      </c>
      <c r="U19" s="879">
        <f t="shared" si="9"/>
        <v>-3677507.9999999995</v>
      </c>
      <c r="V19" s="885">
        <f>$F19</f>
        <v>-306000</v>
      </c>
      <c r="W19" s="884">
        <f t="shared" si="10"/>
        <v>0.40059999999999996</v>
      </c>
      <c r="X19" s="879">
        <f t="shared" si="11"/>
        <v>-3800091.5999999996</v>
      </c>
      <c r="Y19" s="885">
        <f>$F19</f>
        <v>-306000</v>
      </c>
      <c r="Z19" s="884">
        <f t="shared" si="12"/>
        <v>0.40059999999999996</v>
      </c>
      <c r="AA19" s="879">
        <f t="shared" si="13"/>
        <v>-3677507.9999999995</v>
      </c>
      <c r="AB19" s="885">
        <f>$F19</f>
        <v>-306000</v>
      </c>
      <c r="AC19" s="884">
        <f t="shared" si="14"/>
        <v>0.40059999999999996</v>
      </c>
      <c r="AD19" s="879">
        <f t="shared" si="15"/>
        <v>-3800091.5999999996</v>
      </c>
      <c r="AE19" s="885">
        <f>$F19</f>
        <v>-306000</v>
      </c>
      <c r="AF19" s="884">
        <f t="shared" si="16"/>
        <v>0.40059999999999996</v>
      </c>
      <c r="AG19" s="879">
        <f t="shared" si="17"/>
        <v>-3800091.5999999996</v>
      </c>
      <c r="AH19" s="885">
        <f>$F19</f>
        <v>-306000</v>
      </c>
      <c r="AI19" s="884">
        <f t="shared" si="18"/>
        <v>0.40059999999999996</v>
      </c>
      <c r="AJ19" s="879">
        <f t="shared" si="19"/>
        <v>-3677507.9999999995</v>
      </c>
      <c r="AK19" s="885">
        <f>$F19</f>
        <v>-306000</v>
      </c>
      <c r="AL19" s="884">
        <f t="shared" si="20"/>
        <v>0.40059999999999996</v>
      </c>
      <c r="AM19" s="879">
        <f t="shared" si="21"/>
        <v>-3800091.5999999996</v>
      </c>
      <c r="AN19" s="885">
        <f>$F19</f>
        <v>-306000</v>
      </c>
      <c r="AO19" s="884">
        <f>$G19-0.0686+0.0065</f>
        <v>0.33849999999999997</v>
      </c>
      <c r="AP19" s="879">
        <f t="shared" si="22"/>
        <v>-3107429.9999999995</v>
      </c>
      <c r="AQ19" s="885">
        <f>$F19</f>
        <v>-306000</v>
      </c>
      <c r="AR19" s="884">
        <f>$G19-0.0686+0.0065</f>
        <v>0.33849999999999997</v>
      </c>
      <c r="AS19" s="879">
        <f t="shared" si="23"/>
        <v>-3211010.9999999995</v>
      </c>
      <c r="AT19" s="879"/>
      <c r="AV19" s="33">
        <f t="shared" si="24"/>
        <v>-43583855.399999999</v>
      </c>
      <c r="AW19" s="886"/>
      <c r="AY19" s="886"/>
      <c r="BB19" s="886"/>
    </row>
    <row r="20" spans="1:54" hidden="1" x14ac:dyDescent="0.2">
      <c r="A20" s="888">
        <v>25841</v>
      </c>
      <c r="B20" s="29" t="s">
        <v>286</v>
      </c>
      <c r="C20">
        <v>2001</v>
      </c>
      <c r="D20" s="881">
        <v>36557</v>
      </c>
      <c r="E20" s="882">
        <v>37560</v>
      </c>
      <c r="F20" s="832">
        <v>-40000</v>
      </c>
      <c r="G20" s="883">
        <v>8.2900000000000001E-2</v>
      </c>
      <c r="H20" s="29">
        <v>2.46E-2</v>
      </c>
      <c r="I20" s="884">
        <f t="shared" si="0"/>
        <v>0.1075</v>
      </c>
      <c r="J20" s="885">
        <f t="shared" si="1"/>
        <v>-40000</v>
      </c>
      <c r="K20" s="884">
        <f t="shared" si="2"/>
        <v>8.2900000000000001E-2</v>
      </c>
      <c r="L20" s="879">
        <f t="shared" si="3"/>
        <v>-102796</v>
      </c>
      <c r="M20" s="885">
        <f t="shared" si="25"/>
        <v>-40000</v>
      </c>
      <c r="N20" s="884">
        <f t="shared" si="4"/>
        <v>8.2900000000000001E-2</v>
      </c>
      <c r="O20" s="879">
        <f t="shared" si="5"/>
        <v>-92848</v>
      </c>
      <c r="P20" s="885">
        <f t="shared" si="26"/>
        <v>-40000</v>
      </c>
      <c r="Q20" s="884">
        <f t="shared" si="6"/>
        <v>8.2900000000000001E-2</v>
      </c>
      <c r="R20" s="879">
        <f t="shared" si="7"/>
        <v>-102796</v>
      </c>
      <c r="S20" s="885">
        <f>$F20</f>
        <v>-40000</v>
      </c>
      <c r="T20" s="884">
        <f t="shared" si="8"/>
        <v>8.2900000000000001E-2</v>
      </c>
      <c r="U20" s="879">
        <f t="shared" si="9"/>
        <v>-99480</v>
      </c>
      <c r="V20" s="885">
        <f>$F20</f>
        <v>-40000</v>
      </c>
      <c r="W20" s="884">
        <f t="shared" si="10"/>
        <v>8.2900000000000001E-2</v>
      </c>
      <c r="X20" s="879">
        <f t="shared" si="11"/>
        <v>-102796</v>
      </c>
      <c r="Y20" s="885">
        <f>$F20</f>
        <v>-40000</v>
      </c>
      <c r="Z20" s="884">
        <f t="shared" si="12"/>
        <v>8.2900000000000001E-2</v>
      </c>
      <c r="AA20" s="879">
        <f t="shared" si="13"/>
        <v>-99480</v>
      </c>
      <c r="AB20" s="885">
        <f>$F20</f>
        <v>-40000</v>
      </c>
      <c r="AC20" s="884">
        <f t="shared" si="14"/>
        <v>8.2900000000000001E-2</v>
      </c>
      <c r="AD20" s="879">
        <f t="shared" si="15"/>
        <v>-102796</v>
      </c>
      <c r="AE20" s="885">
        <f>$F20</f>
        <v>-40000</v>
      </c>
      <c r="AF20" s="884">
        <f t="shared" si="16"/>
        <v>8.2900000000000001E-2</v>
      </c>
      <c r="AG20" s="879">
        <f t="shared" si="17"/>
        <v>-102796</v>
      </c>
      <c r="AH20" s="885">
        <f>$F20</f>
        <v>-40000</v>
      </c>
      <c r="AI20" s="884">
        <f t="shared" si="18"/>
        <v>8.2900000000000001E-2</v>
      </c>
      <c r="AJ20" s="879">
        <f t="shared" si="19"/>
        <v>-99480</v>
      </c>
      <c r="AK20" s="885">
        <f>$F20</f>
        <v>-40000</v>
      </c>
      <c r="AL20" s="884">
        <f t="shared" si="20"/>
        <v>8.2900000000000001E-2</v>
      </c>
      <c r="AM20" s="879">
        <f t="shared" si="21"/>
        <v>-102796</v>
      </c>
      <c r="AN20" s="885">
        <f>$F20</f>
        <v>-40000</v>
      </c>
      <c r="AO20" s="884">
        <f t="shared" ref="AO20:AO28" si="27">$G20</f>
        <v>8.2900000000000001E-2</v>
      </c>
      <c r="AP20" s="879">
        <f t="shared" si="22"/>
        <v>-99480</v>
      </c>
      <c r="AQ20" s="885">
        <f>$F20</f>
        <v>-40000</v>
      </c>
      <c r="AR20" s="884">
        <f t="shared" ref="AR20:AR28" si="28">$G20</f>
        <v>8.2900000000000001E-2</v>
      </c>
      <c r="AS20" s="879">
        <f t="shared" si="23"/>
        <v>-102796</v>
      </c>
      <c r="AT20" s="879"/>
      <c r="AV20" s="33">
        <f t="shared" si="24"/>
        <v>-1210340</v>
      </c>
      <c r="AW20" s="886"/>
      <c r="AY20" s="886"/>
      <c r="BB20" s="886"/>
    </row>
    <row r="21" spans="1:54" hidden="1" x14ac:dyDescent="0.2">
      <c r="A21" s="889">
        <v>26751</v>
      </c>
      <c r="B21" s="48" t="s">
        <v>728</v>
      </c>
      <c r="C21">
        <v>2001</v>
      </c>
      <c r="D21" s="48" t="s">
        <v>303</v>
      </c>
      <c r="E21" s="889"/>
      <c r="F21" s="832">
        <v>-20000</v>
      </c>
      <c r="G21" s="890">
        <v>0.12540000000000001</v>
      </c>
      <c r="H21" s="48">
        <v>2.46E-2</v>
      </c>
      <c r="I21" s="884">
        <f t="shared" si="0"/>
        <v>0.15000000000000002</v>
      </c>
      <c r="J21" s="885">
        <v>0</v>
      </c>
      <c r="K21" s="884">
        <f t="shared" si="2"/>
        <v>0.12540000000000001</v>
      </c>
      <c r="L21" s="879">
        <f t="shared" si="3"/>
        <v>0</v>
      </c>
      <c r="M21" s="885">
        <f t="shared" si="25"/>
        <v>-20000</v>
      </c>
      <c r="N21" s="884">
        <f t="shared" si="4"/>
        <v>0.12540000000000001</v>
      </c>
      <c r="O21" s="879">
        <f t="shared" si="5"/>
        <v>-70224.000000000015</v>
      </c>
      <c r="P21" s="885">
        <f t="shared" si="26"/>
        <v>-20000</v>
      </c>
      <c r="Q21" s="884">
        <f t="shared" si="6"/>
        <v>0.12540000000000001</v>
      </c>
      <c r="R21" s="879">
        <f t="shared" si="7"/>
        <v>-77748.000000000015</v>
      </c>
      <c r="S21" s="885">
        <f>$F21</f>
        <v>-20000</v>
      </c>
      <c r="T21" s="884">
        <f t="shared" si="8"/>
        <v>0.12540000000000001</v>
      </c>
      <c r="U21" s="879">
        <f t="shared" si="9"/>
        <v>-75240.000000000015</v>
      </c>
      <c r="V21" s="885">
        <f>$F21</f>
        <v>-20000</v>
      </c>
      <c r="W21" s="884">
        <f t="shared" si="10"/>
        <v>0.12540000000000001</v>
      </c>
      <c r="X21" s="879">
        <f t="shared" si="11"/>
        <v>-77748.000000000015</v>
      </c>
      <c r="Y21" s="885">
        <f>$F21</f>
        <v>-20000</v>
      </c>
      <c r="Z21" s="884">
        <f t="shared" si="12"/>
        <v>0.12540000000000001</v>
      </c>
      <c r="AA21" s="879">
        <f t="shared" si="13"/>
        <v>-75240.000000000015</v>
      </c>
      <c r="AB21" s="885">
        <f>$F21</f>
        <v>-20000</v>
      </c>
      <c r="AC21" s="884">
        <f t="shared" si="14"/>
        <v>0.12540000000000001</v>
      </c>
      <c r="AD21" s="879">
        <f t="shared" si="15"/>
        <v>-77748.000000000015</v>
      </c>
      <c r="AE21" s="885">
        <f>$F21</f>
        <v>-20000</v>
      </c>
      <c r="AF21" s="884">
        <f t="shared" si="16"/>
        <v>0.12540000000000001</v>
      </c>
      <c r="AG21" s="879">
        <f t="shared" si="17"/>
        <v>-77748.000000000015</v>
      </c>
      <c r="AH21" s="885">
        <f>$F21</f>
        <v>-20000</v>
      </c>
      <c r="AI21" s="884">
        <f t="shared" si="18"/>
        <v>0.12540000000000001</v>
      </c>
      <c r="AJ21" s="879">
        <f t="shared" si="19"/>
        <v>-75240.000000000015</v>
      </c>
      <c r="AK21" s="885">
        <f>$F21</f>
        <v>-20000</v>
      </c>
      <c r="AL21" s="884">
        <f t="shared" si="20"/>
        <v>0.12540000000000001</v>
      </c>
      <c r="AM21" s="879">
        <f t="shared" si="21"/>
        <v>-77748.000000000015</v>
      </c>
      <c r="AN21" s="885">
        <f>$F21</f>
        <v>-20000</v>
      </c>
      <c r="AO21" s="884">
        <f t="shared" si="27"/>
        <v>0.12540000000000001</v>
      </c>
      <c r="AP21" s="879">
        <f t="shared" si="22"/>
        <v>-75240.000000000015</v>
      </c>
      <c r="AQ21" s="885">
        <f>$F21</f>
        <v>-20000</v>
      </c>
      <c r="AR21" s="884">
        <f t="shared" si="28"/>
        <v>0.12540000000000001</v>
      </c>
      <c r="AS21" s="879">
        <f t="shared" si="23"/>
        <v>-77748.000000000015</v>
      </c>
      <c r="AT21" s="879"/>
      <c r="AV21" s="33">
        <f t="shared" si="24"/>
        <v>-837672.00000000012</v>
      </c>
      <c r="AW21" s="886"/>
      <c r="AY21" s="886"/>
      <c r="BB21" s="886"/>
    </row>
    <row r="22" spans="1:54" hidden="1" x14ac:dyDescent="0.2">
      <c r="A22" s="888">
        <v>26511</v>
      </c>
      <c r="B22" s="29" t="s">
        <v>286</v>
      </c>
      <c r="C22">
        <v>2001</v>
      </c>
      <c r="D22" s="881">
        <v>36465</v>
      </c>
      <c r="E22" s="882">
        <v>37560</v>
      </c>
      <c r="F22" s="832">
        <v>-21000</v>
      </c>
      <c r="G22" s="883">
        <v>8.2900000000000001E-2</v>
      </c>
      <c r="H22" s="29">
        <v>2.46E-2</v>
      </c>
      <c r="I22" s="884">
        <f t="shared" si="0"/>
        <v>0.1075</v>
      </c>
      <c r="J22" s="885">
        <f>$F22</f>
        <v>-21000</v>
      </c>
      <c r="K22" s="884">
        <f t="shared" si="2"/>
        <v>8.2900000000000001E-2</v>
      </c>
      <c r="L22" s="879">
        <f t="shared" si="3"/>
        <v>-53967.9</v>
      </c>
      <c r="M22" s="885">
        <f t="shared" si="25"/>
        <v>-21000</v>
      </c>
      <c r="N22" s="884">
        <f t="shared" si="4"/>
        <v>8.2900000000000001E-2</v>
      </c>
      <c r="O22" s="879">
        <f t="shared" si="5"/>
        <v>-48745.200000000004</v>
      </c>
      <c r="P22" s="885">
        <f t="shared" si="26"/>
        <v>-21000</v>
      </c>
      <c r="Q22" s="884">
        <f t="shared" si="6"/>
        <v>8.2900000000000001E-2</v>
      </c>
      <c r="R22" s="879">
        <f t="shared" si="7"/>
        <v>-53967.9</v>
      </c>
      <c r="S22" s="885">
        <f>$F22</f>
        <v>-21000</v>
      </c>
      <c r="T22" s="884">
        <f t="shared" si="8"/>
        <v>8.2900000000000001E-2</v>
      </c>
      <c r="U22" s="879">
        <f t="shared" si="9"/>
        <v>-52227</v>
      </c>
      <c r="V22" s="885">
        <f>$F22</f>
        <v>-21000</v>
      </c>
      <c r="W22" s="884">
        <f t="shared" si="10"/>
        <v>8.2900000000000001E-2</v>
      </c>
      <c r="X22" s="879">
        <f t="shared" si="11"/>
        <v>-53967.9</v>
      </c>
      <c r="Y22" s="885">
        <f>$F22</f>
        <v>-21000</v>
      </c>
      <c r="Z22" s="884">
        <f t="shared" si="12"/>
        <v>8.2900000000000001E-2</v>
      </c>
      <c r="AA22" s="879">
        <f t="shared" si="13"/>
        <v>-52227</v>
      </c>
      <c r="AB22" s="885">
        <f>$F22</f>
        <v>-21000</v>
      </c>
      <c r="AC22" s="884">
        <f t="shared" si="14"/>
        <v>8.2900000000000001E-2</v>
      </c>
      <c r="AD22" s="879">
        <f t="shared" si="15"/>
        <v>-53967.9</v>
      </c>
      <c r="AE22" s="885">
        <f>$F22</f>
        <v>-21000</v>
      </c>
      <c r="AF22" s="884">
        <f t="shared" si="16"/>
        <v>8.2900000000000001E-2</v>
      </c>
      <c r="AG22" s="879">
        <f t="shared" si="17"/>
        <v>-53967.9</v>
      </c>
      <c r="AH22" s="885">
        <f>$F22</f>
        <v>-21000</v>
      </c>
      <c r="AI22" s="884">
        <f t="shared" si="18"/>
        <v>8.2900000000000001E-2</v>
      </c>
      <c r="AJ22" s="879">
        <f t="shared" si="19"/>
        <v>-52227</v>
      </c>
      <c r="AK22" s="885">
        <f>$F22</f>
        <v>-21000</v>
      </c>
      <c r="AL22" s="884">
        <f t="shared" si="20"/>
        <v>8.2900000000000001E-2</v>
      </c>
      <c r="AM22" s="879">
        <f t="shared" si="21"/>
        <v>-53967.9</v>
      </c>
      <c r="AN22" s="885">
        <f>$F22</f>
        <v>-21000</v>
      </c>
      <c r="AO22" s="884">
        <f t="shared" si="27"/>
        <v>8.2900000000000001E-2</v>
      </c>
      <c r="AP22" s="879">
        <f t="shared" si="22"/>
        <v>-52227</v>
      </c>
      <c r="AQ22" s="885">
        <f>$F22</f>
        <v>-21000</v>
      </c>
      <c r="AR22" s="884">
        <f t="shared" si="28"/>
        <v>8.2900000000000001E-2</v>
      </c>
      <c r="AS22" s="879">
        <f t="shared" si="23"/>
        <v>-53967.9</v>
      </c>
      <c r="AT22" s="879"/>
      <c r="AV22" s="33">
        <f t="shared" si="24"/>
        <v>-635428.5</v>
      </c>
      <c r="AW22" s="886"/>
      <c r="AY22" s="886"/>
      <c r="BB22" s="886"/>
    </row>
    <row r="23" spans="1:54" hidden="1" x14ac:dyDescent="0.2">
      <c r="A23" s="888">
        <v>26683</v>
      </c>
      <c r="B23" s="29" t="s">
        <v>287</v>
      </c>
      <c r="C23">
        <v>2001</v>
      </c>
      <c r="D23" s="881">
        <v>36220</v>
      </c>
      <c r="E23" s="882">
        <v>36981</v>
      </c>
      <c r="F23" s="833">
        <v>-8000</v>
      </c>
      <c r="G23" s="883">
        <v>0.12740000000000001</v>
      </c>
      <c r="H23" s="29">
        <v>2.46E-2</v>
      </c>
      <c r="I23" s="884">
        <f t="shared" si="0"/>
        <v>0.15200000000000002</v>
      </c>
      <c r="J23" s="885">
        <f>$F23</f>
        <v>-8000</v>
      </c>
      <c r="K23" s="884">
        <f t="shared" si="2"/>
        <v>0.12740000000000001</v>
      </c>
      <c r="L23" s="879">
        <f t="shared" si="3"/>
        <v>-31595.200000000004</v>
      </c>
      <c r="M23" s="885">
        <f t="shared" si="25"/>
        <v>-8000</v>
      </c>
      <c r="N23" s="884">
        <f t="shared" si="4"/>
        <v>0.12740000000000001</v>
      </c>
      <c r="O23" s="879">
        <f t="shared" si="5"/>
        <v>-28537.600000000006</v>
      </c>
      <c r="P23" s="885">
        <f t="shared" si="26"/>
        <v>-8000</v>
      </c>
      <c r="Q23" s="884">
        <f t="shared" si="6"/>
        <v>0.12740000000000001</v>
      </c>
      <c r="R23" s="879">
        <f t="shared" si="7"/>
        <v>-31595.200000000004</v>
      </c>
      <c r="S23" s="885">
        <v>0</v>
      </c>
      <c r="T23" s="884">
        <f t="shared" si="8"/>
        <v>0.12740000000000001</v>
      </c>
      <c r="U23" s="879">
        <f t="shared" si="9"/>
        <v>0</v>
      </c>
      <c r="V23" s="885">
        <v>0</v>
      </c>
      <c r="W23" s="884">
        <f t="shared" si="10"/>
        <v>0.12740000000000001</v>
      </c>
      <c r="X23" s="879">
        <f t="shared" si="11"/>
        <v>0</v>
      </c>
      <c r="Y23" s="885">
        <v>0</v>
      </c>
      <c r="Z23" s="884">
        <f t="shared" si="12"/>
        <v>0.12740000000000001</v>
      </c>
      <c r="AA23" s="879">
        <f t="shared" si="13"/>
        <v>0</v>
      </c>
      <c r="AB23" s="885">
        <v>0</v>
      </c>
      <c r="AC23" s="884">
        <f t="shared" si="14"/>
        <v>0.12740000000000001</v>
      </c>
      <c r="AD23" s="879">
        <f t="shared" si="15"/>
        <v>0</v>
      </c>
      <c r="AE23" s="885">
        <v>0</v>
      </c>
      <c r="AF23" s="884">
        <f t="shared" si="16"/>
        <v>0.12740000000000001</v>
      </c>
      <c r="AG23" s="879">
        <f t="shared" si="17"/>
        <v>0</v>
      </c>
      <c r="AH23" s="885">
        <v>0</v>
      </c>
      <c r="AI23" s="884">
        <f t="shared" si="18"/>
        <v>0.12740000000000001</v>
      </c>
      <c r="AJ23" s="879">
        <f t="shared" si="19"/>
        <v>0</v>
      </c>
      <c r="AK23" s="885">
        <v>0</v>
      </c>
      <c r="AL23" s="884">
        <f t="shared" si="20"/>
        <v>0.12740000000000001</v>
      </c>
      <c r="AM23" s="879">
        <f t="shared" si="21"/>
        <v>0</v>
      </c>
      <c r="AN23" s="885">
        <v>0</v>
      </c>
      <c r="AO23" s="884">
        <f t="shared" si="27"/>
        <v>0.12740000000000001</v>
      </c>
      <c r="AP23" s="879">
        <f t="shared" si="22"/>
        <v>0</v>
      </c>
      <c r="AQ23" s="885">
        <v>0</v>
      </c>
      <c r="AR23" s="884">
        <f t="shared" si="28"/>
        <v>0.12740000000000001</v>
      </c>
      <c r="AS23" s="879">
        <f t="shared" si="23"/>
        <v>0</v>
      </c>
      <c r="AT23" s="879"/>
      <c r="AV23" s="33">
        <f t="shared" si="24"/>
        <v>-91728.000000000015</v>
      </c>
      <c r="AW23" s="886"/>
      <c r="AY23" s="886"/>
      <c r="BB23" s="886"/>
    </row>
    <row r="24" spans="1:54" hidden="1" x14ac:dyDescent="0.2">
      <c r="A24" s="888">
        <v>26758</v>
      </c>
      <c r="B24" s="29" t="s">
        <v>288</v>
      </c>
      <c r="C24">
        <v>2001</v>
      </c>
      <c r="D24" s="881">
        <v>36647</v>
      </c>
      <c r="E24" s="882">
        <v>38472</v>
      </c>
      <c r="F24" s="833">
        <v>-40000</v>
      </c>
      <c r="G24" s="883">
        <v>8.6599999999999996E-2</v>
      </c>
      <c r="H24" s="29">
        <v>2.46E-2</v>
      </c>
      <c r="I24" s="884">
        <f t="shared" si="0"/>
        <v>0.11119999999999999</v>
      </c>
      <c r="J24" s="885">
        <f>$F24</f>
        <v>-40000</v>
      </c>
      <c r="K24" s="884">
        <f t="shared" si="2"/>
        <v>8.6599999999999996E-2</v>
      </c>
      <c r="L24" s="879">
        <f t="shared" si="3"/>
        <v>-107384</v>
      </c>
      <c r="M24" s="885">
        <f t="shared" si="25"/>
        <v>-40000</v>
      </c>
      <c r="N24" s="884">
        <f t="shared" si="4"/>
        <v>8.6599999999999996E-2</v>
      </c>
      <c r="O24" s="879">
        <f t="shared" si="5"/>
        <v>-96992</v>
      </c>
      <c r="P24" s="885">
        <f t="shared" si="26"/>
        <v>-40000</v>
      </c>
      <c r="Q24" s="884">
        <f t="shared" si="6"/>
        <v>8.6599999999999996E-2</v>
      </c>
      <c r="R24" s="879">
        <f t="shared" si="7"/>
        <v>-107384</v>
      </c>
      <c r="S24" s="885">
        <f>$F24</f>
        <v>-40000</v>
      </c>
      <c r="T24" s="884">
        <f t="shared" si="8"/>
        <v>8.6599999999999996E-2</v>
      </c>
      <c r="U24" s="879">
        <f t="shared" si="9"/>
        <v>-103920</v>
      </c>
      <c r="V24" s="885">
        <f>$F24</f>
        <v>-40000</v>
      </c>
      <c r="W24" s="884">
        <f t="shared" si="10"/>
        <v>8.6599999999999996E-2</v>
      </c>
      <c r="X24" s="879">
        <f t="shared" si="11"/>
        <v>-107384</v>
      </c>
      <c r="Y24" s="885">
        <f>$F24</f>
        <v>-40000</v>
      </c>
      <c r="Z24" s="884">
        <f t="shared" si="12"/>
        <v>8.6599999999999996E-2</v>
      </c>
      <c r="AA24" s="879">
        <f t="shared" si="13"/>
        <v>-103920</v>
      </c>
      <c r="AB24" s="885">
        <f>$F24</f>
        <v>-40000</v>
      </c>
      <c r="AC24" s="884">
        <f t="shared" si="14"/>
        <v>8.6599999999999996E-2</v>
      </c>
      <c r="AD24" s="879">
        <f t="shared" si="15"/>
        <v>-107384</v>
      </c>
      <c r="AE24" s="885">
        <f>$F24</f>
        <v>-40000</v>
      </c>
      <c r="AF24" s="884">
        <f t="shared" si="16"/>
        <v>8.6599999999999996E-2</v>
      </c>
      <c r="AG24" s="879">
        <f t="shared" si="17"/>
        <v>-107384</v>
      </c>
      <c r="AH24" s="885">
        <f>$F24</f>
        <v>-40000</v>
      </c>
      <c r="AI24" s="884">
        <f t="shared" si="18"/>
        <v>8.6599999999999996E-2</v>
      </c>
      <c r="AJ24" s="879">
        <f t="shared" si="19"/>
        <v>-103920</v>
      </c>
      <c r="AK24" s="885">
        <f>$F24</f>
        <v>-40000</v>
      </c>
      <c r="AL24" s="884">
        <f t="shared" si="20"/>
        <v>8.6599999999999996E-2</v>
      </c>
      <c r="AM24" s="879">
        <f t="shared" si="21"/>
        <v>-107384</v>
      </c>
      <c r="AN24" s="885">
        <f>$F24</f>
        <v>-40000</v>
      </c>
      <c r="AO24" s="884">
        <f t="shared" si="27"/>
        <v>8.6599999999999996E-2</v>
      </c>
      <c r="AP24" s="891">
        <f t="shared" si="22"/>
        <v>-103920</v>
      </c>
      <c r="AQ24" s="892">
        <f>$F24</f>
        <v>-40000</v>
      </c>
      <c r="AR24" s="884">
        <f t="shared" si="28"/>
        <v>8.6599999999999996E-2</v>
      </c>
      <c r="AS24" s="879">
        <f t="shared" si="23"/>
        <v>-107384</v>
      </c>
      <c r="AT24" s="879"/>
      <c r="AV24" s="33">
        <f t="shared" si="24"/>
        <v>-1264360</v>
      </c>
      <c r="AW24" s="886"/>
      <c r="AY24" s="886"/>
      <c r="BB24" s="886"/>
    </row>
    <row r="25" spans="1:54" hidden="1" x14ac:dyDescent="0.2">
      <c r="A25" s="889">
        <v>26490</v>
      </c>
      <c r="B25" s="48" t="s">
        <v>284</v>
      </c>
      <c r="C25">
        <v>2001</v>
      </c>
      <c r="D25" s="48" t="s">
        <v>303</v>
      </c>
      <c r="E25" s="889"/>
      <c r="F25" s="833">
        <v>-70000</v>
      </c>
      <c r="G25" s="890">
        <v>0.12540000000000001</v>
      </c>
      <c r="H25" s="48">
        <v>2.46E-2</v>
      </c>
      <c r="I25" s="884">
        <f t="shared" si="0"/>
        <v>0.15000000000000002</v>
      </c>
      <c r="J25" s="885">
        <v>0</v>
      </c>
      <c r="K25" s="884">
        <f t="shared" si="2"/>
        <v>0.12540000000000001</v>
      </c>
      <c r="L25" s="879">
        <f t="shared" si="3"/>
        <v>0</v>
      </c>
      <c r="M25" s="885">
        <v>0</v>
      </c>
      <c r="N25" s="884">
        <f t="shared" si="4"/>
        <v>0.12540000000000001</v>
      </c>
      <c r="O25" s="879">
        <f t="shared" si="5"/>
        <v>0</v>
      </c>
      <c r="P25" s="885">
        <v>0</v>
      </c>
      <c r="Q25" s="884">
        <f t="shared" si="6"/>
        <v>0.12540000000000001</v>
      </c>
      <c r="R25" s="879">
        <f t="shared" si="7"/>
        <v>0</v>
      </c>
      <c r="S25" s="885">
        <v>0</v>
      </c>
      <c r="T25" s="884">
        <f t="shared" si="8"/>
        <v>0.12540000000000001</v>
      </c>
      <c r="U25" s="879">
        <f t="shared" si="9"/>
        <v>0</v>
      </c>
      <c r="V25" s="885">
        <v>0</v>
      </c>
      <c r="W25" s="884">
        <f t="shared" si="10"/>
        <v>0.12540000000000001</v>
      </c>
      <c r="X25" s="879">
        <f t="shared" si="11"/>
        <v>0</v>
      </c>
      <c r="Y25" s="885">
        <v>0</v>
      </c>
      <c r="Z25" s="884">
        <f t="shared" si="12"/>
        <v>0.12540000000000001</v>
      </c>
      <c r="AA25" s="879">
        <f t="shared" si="13"/>
        <v>0</v>
      </c>
      <c r="AB25" s="885">
        <v>0</v>
      </c>
      <c r="AC25" s="884">
        <f t="shared" si="14"/>
        <v>0.12540000000000001</v>
      </c>
      <c r="AD25" s="879">
        <f t="shared" si="15"/>
        <v>0</v>
      </c>
      <c r="AE25" s="885">
        <v>0</v>
      </c>
      <c r="AF25" s="884">
        <f t="shared" si="16"/>
        <v>0.12540000000000001</v>
      </c>
      <c r="AG25" s="879">
        <f t="shared" si="17"/>
        <v>0</v>
      </c>
      <c r="AH25" s="885">
        <v>0</v>
      </c>
      <c r="AI25" s="884">
        <f t="shared" si="18"/>
        <v>0.12540000000000001</v>
      </c>
      <c r="AJ25" s="879">
        <f t="shared" si="19"/>
        <v>0</v>
      </c>
      <c r="AK25" s="885">
        <v>0</v>
      </c>
      <c r="AL25" s="884">
        <f t="shared" si="20"/>
        <v>0.12540000000000001</v>
      </c>
      <c r="AM25" s="879">
        <f t="shared" si="21"/>
        <v>0</v>
      </c>
      <c r="AN25" s="885">
        <f>$F25</f>
        <v>-70000</v>
      </c>
      <c r="AO25" s="884">
        <f t="shared" si="27"/>
        <v>0.12540000000000001</v>
      </c>
      <c r="AP25" s="879">
        <f t="shared" si="22"/>
        <v>-263340</v>
      </c>
      <c r="AQ25" s="885">
        <f>$F25</f>
        <v>-70000</v>
      </c>
      <c r="AR25" s="884">
        <f t="shared" si="28"/>
        <v>0.12540000000000001</v>
      </c>
      <c r="AS25" s="879">
        <f t="shared" si="23"/>
        <v>-272118</v>
      </c>
      <c r="AT25" s="879"/>
      <c r="AV25" s="33">
        <f t="shared" si="24"/>
        <v>-535458</v>
      </c>
      <c r="AW25" s="886"/>
      <c r="AY25" s="886"/>
      <c r="BB25" s="886"/>
    </row>
    <row r="26" spans="1:54" hidden="1" x14ac:dyDescent="0.2">
      <c r="A26" s="889">
        <v>26683</v>
      </c>
      <c r="B26" s="48" t="s">
        <v>287</v>
      </c>
      <c r="C26">
        <v>2001</v>
      </c>
      <c r="D26" s="48" t="s">
        <v>303</v>
      </c>
      <c r="E26" s="889"/>
      <c r="F26" s="834">
        <v>-8000</v>
      </c>
      <c r="G26" s="890">
        <v>0.12540000000000001</v>
      </c>
      <c r="H26" s="48">
        <v>2.46E-2</v>
      </c>
      <c r="I26" s="884">
        <f t="shared" si="0"/>
        <v>0.15000000000000002</v>
      </c>
      <c r="J26" s="885">
        <v>0</v>
      </c>
      <c r="K26" s="884">
        <f t="shared" si="2"/>
        <v>0.12540000000000001</v>
      </c>
      <c r="L26" s="879">
        <f t="shared" si="3"/>
        <v>0</v>
      </c>
      <c r="M26" s="885">
        <v>0</v>
      </c>
      <c r="N26" s="884">
        <f t="shared" si="4"/>
        <v>0.12540000000000001</v>
      </c>
      <c r="O26" s="879">
        <f t="shared" si="5"/>
        <v>0</v>
      </c>
      <c r="P26" s="885">
        <v>0</v>
      </c>
      <c r="Q26" s="884">
        <f t="shared" si="6"/>
        <v>0.12540000000000001</v>
      </c>
      <c r="R26" s="879">
        <f t="shared" si="7"/>
        <v>0</v>
      </c>
      <c r="S26" s="885">
        <f>$F26</f>
        <v>-8000</v>
      </c>
      <c r="T26" s="884">
        <f t="shared" si="8"/>
        <v>0.12540000000000001</v>
      </c>
      <c r="U26" s="879">
        <f t="shared" si="9"/>
        <v>-30096</v>
      </c>
      <c r="V26" s="885">
        <f>$F26</f>
        <v>-8000</v>
      </c>
      <c r="W26" s="884">
        <f t="shared" si="10"/>
        <v>0.12540000000000001</v>
      </c>
      <c r="X26" s="879">
        <f t="shared" si="11"/>
        <v>-31099.200000000001</v>
      </c>
      <c r="Y26" s="885">
        <f>$F26</f>
        <v>-8000</v>
      </c>
      <c r="Z26" s="884">
        <f t="shared" si="12"/>
        <v>0.12540000000000001</v>
      </c>
      <c r="AA26" s="879">
        <f t="shared" si="13"/>
        <v>-30096</v>
      </c>
      <c r="AB26" s="885">
        <f>$F26</f>
        <v>-8000</v>
      </c>
      <c r="AC26" s="884">
        <f t="shared" si="14"/>
        <v>0.12540000000000001</v>
      </c>
      <c r="AD26" s="879">
        <f t="shared" si="15"/>
        <v>-31099.200000000001</v>
      </c>
      <c r="AE26" s="885">
        <f>$F26</f>
        <v>-8000</v>
      </c>
      <c r="AF26" s="884">
        <f t="shared" si="16"/>
        <v>0.12540000000000001</v>
      </c>
      <c r="AG26" s="879">
        <f t="shared" si="17"/>
        <v>-31099.200000000001</v>
      </c>
      <c r="AH26" s="885">
        <f>$F26</f>
        <v>-8000</v>
      </c>
      <c r="AI26" s="884">
        <f t="shared" si="18"/>
        <v>0.12540000000000001</v>
      </c>
      <c r="AJ26" s="879">
        <f t="shared" si="19"/>
        <v>-30096</v>
      </c>
      <c r="AK26" s="885">
        <f>$F26</f>
        <v>-8000</v>
      </c>
      <c r="AL26" s="884">
        <f t="shared" si="20"/>
        <v>0.12540000000000001</v>
      </c>
      <c r="AM26" s="879">
        <f t="shared" si="21"/>
        <v>-31099.200000000001</v>
      </c>
      <c r="AN26" s="885">
        <f>$F26</f>
        <v>-8000</v>
      </c>
      <c r="AO26" s="884">
        <f t="shared" si="27"/>
        <v>0.12540000000000001</v>
      </c>
      <c r="AP26" s="879">
        <f t="shared" si="22"/>
        <v>-30096</v>
      </c>
      <c r="AQ26" s="885">
        <f>$F26</f>
        <v>-8000</v>
      </c>
      <c r="AR26" s="884">
        <f t="shared" si="28"/>
        <v>0.12540000000000001</v>
      </c>
      <c r="AS26" s="879">
        <f t="shared" si="23"/>
        <v>-31099.200000000001</v>
      </c>
      <c r="AT26" s="879"/>
      <c r="AV26" s="33">
        <f t="shared" si="24"/>
        <v>-275880</v>
      </c>
      <c r="AW26" s="886"/>
      <c r="AY26" s="886"/>
      <c r="BB26" s="886"/>
    </row>
    <row r="27" spans="1:54" hidden="1" x14ac:dyDescent="0.2">
      <c r="A27" s="889"/>
      <c r="B27" s="41" t="s">
        <v>287</v>
      </c>
      <c r="C27">
        <v>2001</v>
      </c>
      <c r="D27" s="41"/>
      <c r="E27" s="893"/>
      <c r="F27" s="834">
        <v>-14000</v>
      </c>
      <c r="G27" s="894">
        <v>0.2054</v>
      </c>
      <c r="H27" s="41">
        <v>2.46E-2</v>
      </c>
      <c r="I27" s="884">
        <f t="shared" si="0"/>
        <v>0.23</v>
      </c>
      <c r="J27" s="885">
        <v>0</v>
      </c>
      <c r="K27" s="884">
        <f t="shared" si="2"/>
        <v>0.2054</v>
      </c>
      <c r="L27" s="879">
        <f t="shared" si="3"/>
        <v>0</v>
      </c>
      <c r="M27" s="885">
        <v>0</v>
      </c>
      <c r="N27" s="884">
        <f t="shared" si="4"/>
        <v>0.2054</v>
      </c>
      <c r="O27" s="879">
        <f t="shared" si="5"/>
        <v>0</v>
      </c>
      <c r="P27" s="885">
        <v>0</v>
      </c>
      <c r="Q27" s="884">
        <f t="shared" si="6"/>
        <v>0.2054</v>
      </c>
      <c r="R27" s="879">
        <f t="shared" si="7"/>
        <v>0</v>
      </c>
      <c r="S27" s="885">
        <f>$F27</f>
        <v>-14000</v>
      </c>
      <c r="T27" s="884">
        <f t="shared" si="8"/>
        <v>0.2054</v>
      </c>
      <c r="U27" s="879">
        <f t="shared" si="9"/>
        <v>-86268</v>
      </c>
      <c r="V27" s="885">
        <f>$F27</f>
        <v>-14000</v>
      </c>
      <c r="W27" s="884">
        <f t="shared" si="10"/>
        <v>0.2054</v>
      </c>
      <c r="X27" s="879">
        <f t="shared" si="11"/>
        <v>-89143.599999999991</v>
      </c>
      <c r="Y27" s="885">
        <f>$F27</f>
        <v>-14000</v>
      </c>
      <c r="Z27" s="884">
        <f t="shared" si="12"/>
        <v>0.2054</v>
      </c>
      <c r="AA27" s="879">
        <f t="shared" si="13"/>
        <v>-86268</v>
      </c>
      <c r="AB27" s="885">
        <f>$F27</f>
        <v>-14000</v>
      </c>
      <c r="AC27" s="884">
        <f t="shared" si="14"/>
        <v>0.2054</v>
      </c>
      <c r="AD27" s="879">
        <f t="shared" si="15"/>
        <v>-89143.599999999991</v>
      </c>
      <c r="AE27" s="885">
        <f>$F27</f>
        <v>-14000</v>
      </c>
      <c r="AF27" s="884">
        <f t="shared" si="16"/>
        <v>0.2054</v>
      </c>
      <c r="AG27" s="879">
        <f t="shared" si="17"/>
        <v>-89143.599999999991</v>
      </c>
      <c r="AH27" s="885">
        <f>$F27</f>
        <v>-14000</v>
      </c>
      <c r="AI27" s="884">
        <f t="shared" si="18"/>
        <v>0.2054</v>
      </c>
      <c r="AJ27" s="879">
        <f t="shared" si="19"/>
        <v>-86268</v>
      </c>
      <c r="AK27" s="885">
        <f>$F27</f>
        <v>-14000</v>
      </c>
      <c r="AL27" s="884">
        <f t="shared" si="20"/>
        <v>0.2054</v>
      </c>
      <c r="AM27" s="879">
        <f t="shared" si="21"/>
        <v>-89143.599999999991</v>
      </c>
      <c r="AN27" s="885">
        <v>0</v>
      </c>
      <c r="AO27" s="884">
        <f t="shared" si="27"/>
        <v>0.2054</v>
      </c>
      <c r="AP27" s="879">
        <f t="shared" si="22"/>
        <v>0</v>
      </c>
      <c r="AQ27" s="885">
        <v>0</v>
      </c>
      <c r="AR27" s="884">
        <f t="shared" si="28"/>
        <v>0.2054</v>
      </c>
      <c r="AS27" s="879">
        <f t="shared" si="23"/>
        <v>0</v>
      </c>
      <c r="AT27" s="879"/>
      <c r="AV27" s="33">
        <f t="shared" si="24"/>
        <v>-615378.39999999991</v>
      </c>
      <c r="AW27" s="886"/>
      <c r="AY27" s="886"/>
      <c r="BB27" s="886"/>
    </row>
    <row r="28" spans="1:54" hidden="1" x14ac:dyDescent="0.2">
      <c r="A28" s="888">
        <v>26819</v>
      </c>
      <c r="B28" s="29" t="s">
        <v>289</v>
      </c>
      <c r="C28">
        <v>2001</v>
      </c>
      <c r="D28" s="881">
        <v>36647</v>
      </c>
      <c r="E28" s="882">
        <v>38472</v>
      </c>
      <c r="F28" s="834">
        <v>-10000</v>
      </c>
      <c r="G28" s="883">
        <v>9.5399999999999999E-2</v>
      </c>
      <c r="H28" s="29">
        <v>2.46E-2</v>
      </c>
      <c r="I28" s="884">
        <f t="shared" si="0"/>
        <v>0.12</v>
      </c>
      <c r="J28" s="885">
        <f>$F28</f>
        <v>-10000</v>
      </c>
      <c r="K28" s="884">
        <f t="shared" si="2"/>
        <v>9.5399999999999999E-2</v>
      </c>
      <c r="L28" s="879">
        <f t="shared" si="3"/>
        <v>-29574</v>
      </c>
      <c r="M28" s="885">
        <f>$F28</f>
        <v>-10000</v>
      </c>
      <c r="N28" s="884">
        <f t="shared" si="4"/>
        <v>9.5399999999999999E-2</v>
      </c>
      <c r="O28" s="879">
        <f t="shared" si="5"/>
        <v>-26712</v>
      </c>
      <c r="P28" s="885">
        <f>$F28</f>
        <v>-10000</v>
      </c>
      <c r="Q28" s="884">
        <f t="shared" si="6"/>
        <v>9.5399999999999999E-2</v>
      </c>
      <c r="R28" s="879">
        <f t="shared" si="7"/>
        <v>-29574</v>
      </c>
      <c r="S28" s="885">
        <f>$F28</f>
        <v>-10000</v>
      </c>
      <c r="T28" s="884">
        <f t="shared" si="8"/>
        <v>9.5399999999999999E-2</v>
      </c>
      <c r="U28" s="879">
        <f t="shared" si="9"/>
        <v>-28620</v>
      </c>
      <c r="V28" s="885">
        <f>$F28</f>
        <v>-10000</v>
      </c>
      <c r="W28" s="884">
        <f t="shared" si="10"/>
        <v>9.5399999999999999E-2</v>
      </c>
      <c r="X28" s="879">
        <f t="shared" si="11"/>
        <v>-29574</v>
      </c>
      <c r="Y28" s="885">
        <f>$F28</f>
        <v>-10000</v>
      </c>
      <c r="Z28" s="884">
        <f t="shared" si="12"/>
        <v>9.5399999999999999E-2</v>
      </c>
      <c r="AA28" s="879">
        <f t="shared" si="13"/>
        <v>-28620</v>
      </c>
      <c r="AB28" s="885">
        <f>$F28</f>
        <v>-10000</v>
      </c>
      <c r="AC28" s="884">
        <f t="shared" si="14"/>
        <v>9.5399999999999999E-2</v>
      </c>
      <c r="AD28" s="879">
        <f t="shared" si="15"/>
        <v>-29574</v>
      </c>
      <c r="AE28" s="885">
        <f>$F28</f>
        <v>-10000</v>
      </c>
      <c r="AF28" s="884">
        <f t="shared" si="16"/>
        <v>9.5399999999999999E-2</v>
      </c>
      <c r="AG28" s="879">
        <f t="shared" si="17"/>
        <v>-29574</v>
      </c>
      <c r="AH28" s="885">
        <f>$F28</f>
        <v>-10000</v>
      </c>
      <c r="AI28" s="884">
        <f t="shared" si="18"/>
        <v>9.5399999999999999E-2</v>
      </c>
      <c r="AJ28" s="879">
        <f t="shared" si="19"/>
        <v>-28620</v>
      </c>
      <c r="AK28" s="885">
        <f>$F28</f>
        <v>-10000</v>
      </c>
      <c r="AL28" s="884">
        <f t="shared" si="20"/>
        <v>9.5399999999999999E-2</v>
      </c>
      <c r="AM28" s="879">
        <f t="shared" si="21"/>
        <v>-29574</v>
      </c>
      <c r="AN28" s="885">
        <f>$F28</f>
        <v>-10000</v>
      </c>
      <c r="AO28" s="884">
        <f t="shared" si="27"/>
        <v>9.5399999999999999E-2</v>
      </c>
      <c r="AP28" s="879">
        <f t="shared" si="22"/>
        <v>-28620</v>
      </c>
      <c r="AQ28" s="885">
        <f>$F28</f>
        <v>-10000</v>
      </c>
      <c r="AR28" s="884">
        <f t="shared" si="28"/>
        <v>9.5399999999999999E-2</v>
      </c>
      <c r="AS28" s="879">
        <f t="shared" si="23"/>
        <v>-29574</v>
      </c>
      <c r="AT28" s="879"/>
      <c r="AV28" s="33">
        <f t="shared" si="24"/>
        <v>-348210</v>
      </c>
      <c r="AW28" s="886"/>
      <c r="AY28" s="886"/>
      <c r="BB28" s="886"/>
    </row>
    <row r="29" spans="1:54" hidden="1" x14ac:dyDescent="0.2">
      <c r="A29" s="895" t="s">
        <v>730</v>
      </c>
      <c r="B29" s="48"/>
      <c r="D29" s="48"/>
      <c r="E29" s="167"/>
      <c r="F29" s="835"/>
      <c r="G29" s="171"/>
      <c r="H29" s="171"/>
      <c r="I29" s="884"/>
      <c r="J29" s="885"/>
      <c r="K29" s="884"/>
      <c r="L29" s="879"/>
      <c r="M29" s="885"/>
      <c r="N29" s="884"/>
      <c r="O29" s="879"/>
      <c r="P29" s="885"/>
      <c r="Q29" s="884"/>
      <c r="R29" s="879"/>
      <c r="S29" s="885"/>
      <c r="T29" s="884"/>
      <c r="U29" s="879"/>
      <c r="V29" s="885"/>
      <c r="W29" s="884"/>
      <c r="X29" s="879"/>
      <c r="Y29" s="885"/>
      <c r="Z29" s="884"/>
      <c r="AA29" s="879"/>
      <c r="AB29" s="885"/>
      <c r="AC29" s="884"/>
      <c r="AD29" s="879"/>
      <c r="AE29" s="885"/>
      <c r="AF29" s="884"/>
      <c r="AG29" s="879"/>
      <c r="AH29" s="885"/>
      <c r="AI29" s="884"/>
      <c r="AJ29" s="879"/>
      <c r="AK29" s="885"/>
      <c r="AL29" s="884"/>
      <c r="AM29" s="879"/>
      <c r="AN29" s="885"/>
      <c r="AO29" s="884"/>
      <c r="AP29" s="879"/>
      <c r="AQ29" s="885"/>
      <c r="AR29" s="884"/>
      <c r="AS29" s="879"/>
      <c r="AT29" s="879"/>
      <c r="AV29" s="33"/>
      <c r="AW29" s="886"/>
      <c r="AY29" s="886"/>
      <c r="BB29" s="886"/>
    </row>
    <row r="30" spans="1:54" hidden="1" x14ac:dyDescent="0.2">
      <c r="A30" s="888">
        <v>25924</v>
      </c>
      <c r="B30" s="29" t="s">
        <v>731</v>
      </c>
      <c r="C30">
        <v>2001</v>
      </c>
      <c r="D30" s="29"/>
      <c r="E30" s="882">
        <v>39141</v>
      </c>
      <c r="F30" s="896">
        <v>-20000</v>
      </c>
      <c r="G30" s="883">
        <f>0.2605+0.0443+0.0053+0.0007</f>
        <v>0.31080000000000002</v>
      </c>
      <c r="H30" s="29">
        <v>2.69E-2</v>
      </c>
      <c r="I30" s="884">
        <f t="shared" ref="I30:I36" si="29">SUM(G30:H30)</f>
        <v>0.3377</v>
      </c>
      <c r="J30" s="885">
        <f t="shared" ref="J30:J36" si="30">$F30</f>
        <v>-20000</v>
      </c>
      <c r="K30" s="884">
        <f t="shared" ref="K30:K36" si="31">$G30</f>
        <v>0.31080000000000002</v>
      </c>
      <c r="L30" s="879">
        <f t="shared" ref="L30:L36" si="32">J30*K30*L$7</f>
        <v>-192696</v>
      </c>
      <c r="M30" s="885">
        <f t="shared" ref="M30:M36" si="33">$F30</f>
        <v>-20000</v>
      </c>
      <c r="N30" s="884">
        <f t="shared" ref="N30:N36" si="34">$G30</f>
        <v>0.31080000000000002</v>
      </c>
      <c r="O30" s="879">
        <f t="shared" ref="O30:O36" si="35">M30*N30*O$7</f>
        <v>-174048</v>
      </c>
      <c r="P30" s="885">
        <f t="shared" ref="P30:P36" si="36">$F30</f>
        <v>-20000</v>
      </c>
      <c r="Q30" s="884">
        <f t="shared" ref="Q30:Q36" si="37">$G30</f>
        <v>0.31080000000000002</v>
      </c>
      <c r="R30" s="879">
        <f t="shared" ref="R30:R36" si="38">P30*Q30*R$7</f>
        <v>-192696</v>
      </c>
      <c r="S30" s="885">
        <f t="shared" ref="S30:S36" si="39">$F30</f>
        <v>-20000</v>
      </c>
      <c r="T30" s="884">
        <f t="shared" ref="T30:T36" si="40">$G30</f>
        <v>0.31080000000000002</v>
      </c>
      <c r="U30" s="879">
        <f t="shared" ref="U30:U36" si="41">S30*T30*U$7</f>
        <v>-186480</v>
      </c>
      <c r="V30" s="885">
        <f t="shared" ref="V30:V36" si="42">$F30</f>
        <v>-20000</v>
      </c>
      <c r="W30" s="884">
        <f t="shared" ref="W30:W36" si="43">$G30</f>
        <v>0.31080000000000002</v>
      </c>
      <c r="X30" s="879">
        <f t="shared" ref="X30:X36" si="44">V30*W30*X$7</f>
        <v>-192696</v>
      </c>
      <c r="Y30" s="885">
        <f t="shared" ref="Y30:Y36" si="45">$F30</f>
        <v>-20000</v>
      </c>
      <c r="Z30" s="884">
        <f t="shared" ref="Z30:Z36" si="46">$G30</f>
        <v>0.31080000000000002</v>
      </c>
      <c r="AA30" s="879">
        <f t="shared" ref="AA30:AA36" si="47">Y30*Z30*AA$7</f>
        <v>-186480</v>
      </c>
      <c r="AB30" s="885">
        <f t="shared" ref="AB30:AB36" si="48">$F30</f>
        <v>-20000</v>
      </c>
      <c r="AC30" s="884">
        <f t="shared" ref="AC30:AC36" si="49">$G30</f>
        <v>0.31080000000000002</v>
      </c>
      <c r="AD30" s="879">
        <f t="shared" ref="AD30:AD36" si="50">AB30*AC30*AD$7</f>
        <v>-192696</v>
      </c>
      <c r="AE30" s="885">
        <f t="shared" ref="AE30:AE36" si="51">$F30</f>
        <v>-20000</v>
      </c>
      <c r="AF30" s="884">
        <f t="shared" ref="AF30:AF36" si="52">$G30</f>
        <v>0.31080000000000002</v>
      </c>
      <c r="AG30" s="879">
        <f t="shared" ref="AG30:AG36" si="53">AE30*AF30*AG$7</f>
        <v>-192696</v>
      </c>
      <c r="AH30" s="885">
        <f t="shared" ref="AH30:AH36" si="54">$F30</f>
        <v>-20000</v>
      </c>
      <c r="AI30" s="884">
        <f t="shared" ref="AI30:AI36" si="55">$G30</f>
        <v>0.31080000000000002</v>
      </c>
      <c r="AJ30" s="879">
        <f t="shared" ref="AJ30:AJ36" si="56">AH30*AI30*AJ$7</f>
        <v>-186480</v>
      </c>
      <c r="AK30" s="885">
        <f t="shared" ref="AK30:AK36" si="57">$F30</f>
        <v>-20000</v>
      </c>
      <c r="AL30" s="884">
        <f t="shared" ref="AL30:AL36" si="58">$G30</f>
        <v>0.31080000000000002</v>
      </c>
      <c r="AM30" s="879">
        <f t="shared" ref="AM30:AM36" si="59">AK30*AL30*AM$7</f>
        <v>-192696</v>
      </c>
      <c r="AN30" s="885">
        <f t="shared" ref="AN30:AN36" si="60">$F30</f>
        <v>-20000</v>
      </c>
      <c r="AO30" s="884">
        <f>$G30-0.0443+0.0053</f>
        <v>0.27180000000000004</v>
      </c>
      <c r="AP30" s="879">
        <f t="shared" ref="AP30:AP36" si="61">AN30*AO30*AP$7</f>
        <v>-163080.00000000003</v>
      </c>
      <c r="AQ30" s="885">
        <f t="shared" ref="AQ30:AQ36" si="62">$F30</f>
        <v>-20000</v>
      </c>
      <c r="AR30" s="884">
        <f>$G30-0.0443+0.0053</f>
        <v>0.27180000000000004</v>
      </c>
      <c r="AS30" s="879">
        <f t="shared" ref="AS30:AS36" si="63">AQ30*AR30*AS$7</f>
        <v>-168516.00000000003</v>
      </c>
      <c r="AT30" s="879"/>
      <c r="AV30" s="33">
        <f t="shared" ref="AV30:AV36" si="64">AS30+AP30+AM30+AJ30+AG30+AD30+AA30+X30+U30+R30+O30+L30</f>
        <v>-2221260</v>
      </c>
      <c r="AW30" s="886"/>
      <c r="AY30" s="886"/>
      <c r="BB30" s="886"/>
    </row>
    <row r="31" spans="1:54" hidden="1" x14ac:dyDescent="0.2">
      <c r="A31" s="888">
        <v>20747</v>
      </c>
      <c r="B31" s="29" t="s">
        <v>293</v>
      </c>
      <c r="C31">
        <v>2001</v>
      </c>
      <c r="D31" s="29"/>
      <c r="E31" s="882">
        <v>37315</v>
      </c>
      <c r="F31" s="896">
        <v>-10000</v>
      </c>
      <c r="G31" s="883">
        <f>0.2605+0.0369+0.003+0.0052+0.0007</f>
        <v>0.30629999999999996</v>
      </c>
      <c r="H31" s="29">
        <v>2.69E-2</v>
      </c>
      <c r="I31" s="884">
        <f t="shared" si="29"/>
        <v>0.33319999999999994</v>
      </c>
      <c r="J31" s="885">
        <f t="shared" si="30"/>
        <v>-10000</v>
      </c>
      <c r="K31" s="884">
        <f t="shared" si="31"/>
        <v>0.30629999999999996</v>
      </c>
      <c r="L31" s="879">
        <f t="shared" si="32"/>
        <v>-94952.999999999985</v>
      </c>
      <c r="M31" s="885">
        <f t="shared" si="33"/>
        <v>-10000</v>
      </c>
      <c r="N31" s="884">
        <f t="shared" si="34"/>
        <v>0.30629999999999996</v>
      </c>
      <c r="O31" s="879">
        <f t="shared" si="35"/>
        <v>-85763.999999999985</v>
      </c>
      <c r="P31" s="885">
        <f t="shared" si="36"/>
        <v>-10000</v>
      </c>
      <c r="Q31" s="884">
        <f t="shared" si="37"/>
        <v>0.30629999999999996</v>
      </c>
      <c r="R31" s="879">
        <f t="shared" si="38"/>
        <v>-94952.999999999985</v>
      </c>
      <c r="S31" s="885">
        <f t="shared" si="39"/>
        <v>-10000</v>
      </c>
      <c r="T31" s="884">
        <f t="shared" si="40"/>
        <v>0.30629999999999996</v>
      </c>
      <c r="U31" s="879">
        <f t="shared" si="41"/>
        <v>-91889.999999999985</v>
      </c>
      <c r="V31" s="885">
        <f t="shared" si="42"/>
        <v>-10000</v>
      </c>
      <c r="W31" s="884">
        <f t="shared" si="43"/>
        <v>0.30629999999999996</v>
      </c>
      <c r="X31" s="879">
        <f t="shared" si="44"/>
        <v>-94952.999999999985</v>
      </c>
      <c r="Y31" s="885">
        <f t="shared" si="45"/>
        <v>-10000</v>
      </c>
      <c r="Z31" s="884">
        <f t="shared" si="46"/>
        <v>0.30629999999999996</v>
      </c>
      <c r="AA31" s="879">
        <f t="shared" si="47"/>
        <v>-91889.999999999985</v>
      </c>
      <c r="AB31" s="885">
        <f t="shared" si="48"/>
        <v>-10000</v>
      </c>
      <c r="AC31" s="884">
        <f t="shared" si="49"/>
        <v>0.30629999999999996</v>
      </c>
      <c r="AD31" s="879">
        <f t="shared" si="50"/>
        <v>-94952.999999999985</v>
      </c>
      <c r="AE31" s="885">
        <f t="shared" si="51"/>
        <v>-10000</v>
      </c>
      <c r="AF31" s="884">
        <f t="shared" si="52"/>
        <v>0.30629999999999996</v>
      </c>
      <c r="AG31" s="879">
        <f t="shared" si="53"/>
        <v>-94952.999999999985</v>
      </c>
      <c r="AH31" s="885">
        <f t="shared" si="54"/>
        <v>-10000</v>
      </c>
      <c r="AI31" s="884">
        <f t="shared" si="55"/>
        <v>0.30629999999999996</v>
      </c>
      <c r="AJ31" s="879">
        <f t="shared" si="56"/>
        <v>-91889.999999999985</v>
      </c>
      <c r="AK31" s="885">
        <f t="shared" si="57"/>
        <v>-10000</v>
      </c>
      <c r="AL31" s="884">
        <f t="shared" si="58"/>
        <v>0.30629999999999996</v>
      </c>
      <c r="AM31" s="879">
        <f t="shared" si="59"/>
        <v>-94952.999999999985</v>
      </c>
      <c r="AN31" s="885">
        <f t="shared" si="60"/>
        <v>-10000</v>
      </c>
      <c r="AO31" s="884">
        <f>$G31-0.0369+0.0053</f>
        <v>0.2747</v>
      </c>
      <c r="AP31" s="879">
        <f t="shared" si="61"/>
        <v>-82410</v>
      </c>
      <c r="AQ31" s="885">
        <f t="shared" si="62"/>
        <v>-10000</v>
      </c>
      <c r="AR31" s="884">
        <f>$G31-0.0369+0.0053</f>
        <v>0.2747</v>
      </c>
      <c r="AS31" s="879">
        <f t="shared" si="63"/>
        <v>-85157</v>
      </c>
      <c r="AT31" s="879"/>
      <c r="AV31" s="33">
        <f t="shared" si="64"/>
        <v>-1098719</v>
      </c>
      <c r="AW31" s="886"/>
      <c r="AY31" s="886"/>
      <c r="BB31" s="886"/>
    </row>
    <row r="32" spans="1:54" hidden="1" x14ac:dyDescent="0.2">
      <c r="A32" s="888">
        <v>20748</v>
      </c>
      <c r="B32" s="29" t="s">
        <v>293</v>
      </c>
      <c r="C32">
        <v>2001</v>
      </c>
      <c r="D32" s="29"/>
      <c r="E32" s="882">
        <v>37315</v>
      </c>
      <c r="F32" s="896">
        <v>-10000</v>
      </c>
      <c r="G32" s="883">
        <f>0.2605+0.002+0.0369+0.0052+0.0007</f>
        <v>0.30529999999999996</v>
      </c>
      <c r="H32" s="29">
        <v>2.69E-2</v>
      </c>
      <c r="I32" s="884">
        <f t="shared" si="29"/>
        <v>0.33219999999999994</v>
      </c>
      <c r="J32" s="885">
        <f t="shared" si="30"/>
        <v>-10000</v>
      </c>
      <c r="K32" s="884">
        <f t="shared" si="31"/>
        <v>0.30529999999999996</v>
      </c>
      <c r="L32" s="879">
        <f t="shared" si="32"/>
        <v>-94642.999999999985</v>
      </c>
      <c r="M32" s="885">
        <f t="shared" si="33"/>
        <v>-10000</v>
      </c>
      <c r="N32" s="884">
        <f t="shared" si="34"/>
        <v>0.30529999999999996</v>
      </c>
      <c r="O32" s="879">
        <f t="shared" si="35"/>
        <v>-85483.999999999985</v>
      </c>
      <c r="P32" s="885">
        <f t="shared" si="36"/>
        <v>-10000</v>
      </c>
      <c r="Q32" s="884">
        <f t="shared" si="37"/>
        <v>0.30529999999999996</v>
      </c>
      <c r="R32" s="879">
        <f t="shared" si="38"/>
        <v>-94642.999999999985</v>
      </c>
      <c r="S32" s="885">
        <f t="shared" si="39"/>
        <v>-10000</v>
      </c>
      <c r="T32" s="884">
        <f t="shared" si="40"/>
        <v>0.30529999999999996</v>
      </c>
      <c r="U32" s="879">
        <f t="shared" si="41"/>
        <v>-91589.999999999985</v>
      </c>
      <c r="V32" s="885">
        <f t="shared" si="42"/>
        <v>-10000</v>
      </c>
      <c r="W32" s="884">
        <f t="shared" si="43"/>
        <v>0.30529999999999996</v>
      </c>
      <c r="X32" s="879">
        <f t="shared" si="44"/>
        <v>-94642.999999999985</v>
      </c>
      <c r="Y32" s="885">
        <f t="shared" si="45"/>
        <v>-10000</v>
      </c>
      <c r="Z32" s="884">
        <f t="shared" si="46"/>
        <v>0.30529999999999996</v>
      </c>
      <c r="AA32" s="879">
        <f t="shared" si="47"/>
        <v>-91589.999999999985</v>
      </c>
      <c r="AB32" s="885">
        <f t="shared" si="48"/>
        <v>-10000</v>
      </c>
      <c r="AC32" s="884">
        <f t="shared" si="49"/>
        <v>0.30529999999999996</v>
      </c>
      <c r="AD32" s="879">
        <f t="shared" si="50"/>
        <v>-94642.999999999985</v>
      </c>
      <c r="AE32" s="885">
        <f t="shared" si="51"/>
        <v>-10000</v>
      </c>
      <c r="AF32" s="884">
        <f t="shared" si="52"/>
        <v>0.30529999999999996</v>
      </c>
      <c r="AG32" s="879">
        <f t="shared" si="53"/>
        <v>-94642.999999999985</v>
      </c>
      <c r="AH32" s="885">
        <f t="shared" si="54"/>
        <v>-10000</v>
      </c>
      <c r="AI32" s="884">
        <f t="shared" si="55"/>
        <v>0.30529999999999996</v>
      </c>
      <c r="AJ32" s="879">
        <f t="shared" si="56"/>
        <v>-91589.999999999985</v>
      </c>
      <c r="AK32" s="885">
        <f t="shared" si="57"/>
        <v>-10000</v>
      </c>
      <c r="AL32" s="884">
        <f t="shared" si="58"/>
        <v>0.30529999999999996</v>
      </c>
      <c r="AM32" s="879">
        <f t="shared" si="59"/>
        <v>-94642.999999999985</v>
      </c>
      <c r="AN32" s="885">
        <f t="shared" si="60"/>
        <v>-10000</v>
      </c>
      <c r="AO32" s="884">
        <f>$G32-0.0369+0.0053</f>
        <v>0.2737</v>
      </c>
      <c r="AP32" s="879">
        <f t="shared" si="61"/>
        <v>-82110</v>
      </c>
      <c r="AQ32" s="885">
        <f t="shared" si="62"/>
        <v>-10000</v>
      </c>
      <c r="AR32" s="884">
        <f>$G32-0.0369+0.0053</f>
        <v>0.2737</v>
      </c>
      <c r="AS32" s="879">
        <f t="shared" si="63"/>
        <v>-84847</v>
      </c>
      <c r="AT32" s="879"/>
      <c r="AV32" s="33">
        <f t="shared" si="64"/>
        <v>-1095069</v>
      </c>
      <c r="AW32" s="886"/>
      <c r="AY32" s="886"/>
      <c r="BB32" s="886"/>
    </row>
    <row r="33" spans="1:54" hidden="1" x14ac:dyDescent="0.2">
      <c r="A33" s="888">
        <v>20822</v>
      </c>
      <c r="B33" s="29" t="s">
        <v>732</v>
      </c>
      <c r="C33">
        <v>2001</v>
      </c>
      <c r="D33" s="29"/>
      <c r="E33" s="882">
        <v>39141</v>
      </c>
      <c r="F33" s="896">
        <v>-25000</v>
      </c>
      <c r="G33" s="883">
        <f>0.168+0.0369+0.002+0.0026</f>
        <v>0.20950000000000002</v>
      </c>
      <c r="H33" s="29">
        <v>2.69E-2</v>
      </c>
      <c r="I33" s="884">
        <f t="shared" si="29"/>
        <v>0.23640000000000003</v>
      </c>
      <c r="J33" s="885">
        <f t="shared" si="30"/>
        <v>-25000</v>
      </c>
      <c r="K33" s="884">
        <f t="shared" si="31"/>
        <v>0.20950000000000002</v>
      </c>
      <c r="L33" s="879">
        <f t="shared" si="32"/>
        <v>-162362.50000000003</v>
      </c>
      <c r="M33" s="885">
        <f t="shared" si="33"/>
        <v>-25000</v>
      </c>
      <c r="N33" s="884">
        <f t="shared" si="34"/>
        <v>0.20950000000000002</v>
      </c>
      <c r="O33" s="879">
        <f t="shared" si="35"/>
        <v>-146650.00000000003</v>
      </c>
      <c r="P33" s="885">
        <f t="shared" si="36"/>
        <v>-25000</v>
      </c>
      <c r="Q33" s="884">
        <f t="shared" si="37"/>
        <v>0.20950000000000002</v>
      </c>
      <c r="R33" s="879">
        <f t="shared" si="38"/>
        <v>-162362.50000000003</v>
      </c>
      <c r="S33" s="885">
        <f t="shared" si="39"/>
        <v>-25000</v>
      </c>
      <c r="T33" s="884">
        <f t="shared" si="40"/>
        <v>0.20950000000000002</v>
      </c>
      <c r="U33" s="879">
        <f t="shared" si="41"/>
        <v>-157125.00000000003</v>
      </c>
      <c r="V33" s="885">
        <f t="shared" si="42"/>
        <v>-25000</v>
      </c>
      <c r="W33" s="884">
        <f t="shared" si="43"/>
        <v>0.20950000000000002</v>
      </c>
      <c r="X33" s="879">
        <f t="shared" si="44"/>
        <v>-162362.50000000003</v>
      </c>
      <c r="Y33" s="885">
        <f t="shared" si="45"/>
        <v>-25000</v>
      </c>
      <c r="Z33" s="884">
        <f t="shared" si="46"/>
        <v>0.20950000000000002</v>
      </c>
      <c r="AA33" s="879">
        <f t="shared" si="47"/>
        <v>-157125.00000000003</v>
      </c>
      <c r="AB33" s="885">
        <f t="shared" si="48"/>
        <v>-25000</v>
      </c>
      <c r="AC33" s="884">
        <f t="shared" si="49"/>
        <v>0.20950000000000002</v>
      </c>
      <c r="AD33" s="879">
        <f t="shared" si="50"/>
        <v>-162362.50000000003</v>
      </c>
      <c r="AE33" s="885">
        <f t="shared" si="51"/>
        <v>-25000</v>
      </c>
      <c r="AF33" s="884">
        <f t="shared" si="52"/>
        <v>0.20950000000000002</v>
      </c>
      <c r="AG33" s="879">
        <f t="shared" si="53"/>
        <v>-162362.50000000003</v>
      </c>
      <c r="AH33" s="885">
        <f t="shared" si="54"/>
        <v>-25000</v>
      </c>
      <c r="AI33" s="884">
        <f t="shared" si="55"/>
        <v>0.20950000000000002</v>
      </c>
      <c r="AJ33" s="879">
        <f t="shared" si="56"/>
        <v>-157125.00000000003</v>
      </c>
      <c r="AK33" s="885">
        <f t="shared" si="57"/>
        <v>-25000</v>
      </c>
      <c r="AL33" s="884">
        <f t="shared" si="58"/>
        <v>0.20950000000000002</v>
      </c>
      <c r="AM33" s="879">
        <f t="shared" si="59"/>
        <v>-162362.50000000003</v>
      </c>
      <c r="AN33" s="885">
        <f t="shared" si="60"/>
        <v>-25000</v>
      </c>
      <c r="AO33" s="884">
        <f>$G33-0.0369+0.0035</f>
        <v>0.17610000000000003</v>
      </c>
      <c r="AP33" s="879">
        <f t="shared" si="61"/>
        <v>-132075.00000000003</v>
      </c>
      <c r="AQ33" s="885">
        <f t="shared" si="62"/>
        <v>-25000</v>
      </c>
      <c r="AR33" s="884">
        <f>$G33-0.0369+0.0035</f>
        <v>0.17610000000000003</v>
      </c>
      <c r="AS33" s="879">
        <f t="shared" si="63"/>
        <v>-136477.50000000003</v>
      </c>
      <c r="AT33" s="879"/>
      <c r="AV33" s="33">
        <f t="shared" si="64"/>
        <v>-1860752.5000000002</v>
      </c>
      <c r="AW33" s="886"/>
      <c r="AY33" s="886"/>
      <c r="BB33" s="886"/>
    </row>
    <row r="34" spans="1:54" hidden="1" x14ac:dyDescent="0.2">
      <c r="A34" s="888">
        <v>26678</v>
      </c>
      <c r="B34" s="29" t="s">
        <v>733</v>
      </c>
      <c r="C34">
        <v>2001</v>
      </c>
      <c r="D34" s="29"/>
      <c r="E34" s="882">
        <v>39172</v>
      </c>
      <c r="F34" s="896">
        <v>-25000</v>
      </c>
      <c r="G34" s="883">
        <f>0.2605+0.003+0.0443+0.0051+0.0007</f>
        <v>0.31359999999999999</v>
      </c>
      <c r="H34" s="29">
        <v>2.69E-2</v>
      </c>
      <c r="I34" s="884">
        <f t="shared" si="29"/>
        <v>0.34049999999999997</v>
      </c>
      <c r="J34" s="885">
        <f t="shared" si="30"/>
        <v>-25000</v>
      </c>
      <c r="K34" s="884">
        <f t="shared" si="31"/>
        <v>0.31359999999999999</v>
      </c>
      <c r="L34" s="879">
        <f t="shared" si="32"/>
        <v>-243040</v>
      </c>
      <c r="M34" s="885">
        <f t="shared" si="33"/>
        <v>-25000</v>
      </c>
      <c r="N34" s="884">
        <f t="shared" si="34"/>
        <v>0.31359999999999999</v>
      </c>
      <c r="O34" s="879">
        <f t="shared" si="35"/>
        <v>-219520</v>
      </c>
      <c r="P34" s="885">
        <f t="shared" si="36"/>
        <v>-25000</v>
      </c>
      <c r="Q34" s="884">
        <f t="shared" si="37"/>
        <v>0.31359999999999999</v>
      </c>
      <c r="R34" s="879">
        <f t="shared" si="38"/>
        <v>-243040</v>
      </c>
      <c r="S34" s="885">
        <f t="shared" si="39"/>
        <v>-25000</v>
      </c>
      <c r="T34" s="884">
        <f t="shared" si="40"/>
        <v>0.31359999999999999</v>
      </c>
      <c r="U34" s="879">
        <f t="shared" si="41"/>
        <v>-235200</v>
      </c>
      <c r="V34" s="885">
        <f t="shared" si="42"/>
        <v>-25000</v>
      </c>
      <c r="W34" s="884">
        <f t="shared" si="43"/>
        <v>0.31359999999999999</v>
      </c>
      <c r="X34" s="879">
        <f t="shared" si="44"/>
        <v>-243040</v>
      </c>
      <c r="Y34" s="885">
        <f t="shared" si="45"/>
        <v>-25000</v>
      </c>
      <c r="Z34" s="884">
        <f t="shared" si="46"/>
        <v>0.31359999999999999</v>
      </c>
      <c r="AA34" s="879">
        <f t="shared" si="47"/>
        <v>-235200</v>
      </c>
      <c r="AB34" s="885">
        <f t="shared" si="48"/>
        <v>-25000</v>
      </c>
      <c r="AC34" s="884">
        <f t="shared" si="49"/>
        <v>0.31359999999999999</v>
      </c>
      <c r="AD34" s="879">
        <f t="shared" si="50"/>
        <v>-243040</v>
      </c>
      <c r="AE34" s="885">
        <f t="shared" si="51"/>
        <v>-25000</v>
      </c>
      <c r="AF34" s="884">
        <f t="shared" si="52"/>
        <v>0.31359999999999999</v>
      </c>
      <c r="AG34" s="879">
        <f t="shared" si="53"/>
        <v>-243040</v>
      </c>
      <c r="AH34" s="885">
        <f t="shared" si="54"/>
        <v>-25000</v>
      </c>
      <c r="AI34" s="884">
        <f t="shared" si="55"/>
        <v>0.31359999999999999</v>
      </c>
      <c r="AJ34" s="879">
        <f t="shared" si="56"/>
        <v>-235200</v>
      </c>
      <c r="AK34" s="885">
        <f t="shared" si="57"/>
        <v>-25000</v>
      </c>
      <c r="AL34" s="884">
        <f t="shared" si="58"/>
        <v>0.31359999999999999</v>
      </c>
      <c r="AM34" s="879">
        <f t="shared" si="59"/>
        <v>-243040</v>
      </c>
      <c r="AN34" s="885">
        <f t="shared" si="60"/>
        <v>-25000</v>
      </c>
      <c r="AO34" s="884">
        <f>$G34-0.0443+0.0053</f>
        <v>0.27460000000000001</v>
      </c>
      <c r="AP34" s="879">
        <f t="shared" si="61"/>
        <v>-205950</v>
      </c>
      <c r="AQ34" s="885">
        <f t="shared" si="62"/>
        <v>-25000</v>
      </c>
      <c r="AR34" s="884">
        <f>$G34-0.0443+0.0053</f>
        <v>0.27460000000000001</v>
      </c>
      <c r="AS34" s="879">
        <f t="shared" si="63"/>
        <v>-212815</v>
      </c>
      <c r="AT34" s="879"/>
      <c r="AV34" s="33">
        <f t="shared" si="64"/>
        <v>-2802125</v>
      </c>
      <c r="AW34" s="886"/>
      <c r="AY34" s="886"/>
      <c r="BB34" s="886"/>
    </row>
    <row r="35" spans="1:54" hidden="1" x14ac:dyDescent="0.2">
      <c r="A35" s="888">
        <v>26372</v>
      </c>
      <c r="B35" s="29" t="s">
        <v>734</v>
      </c>
      <c r="C35">
        <v>2001</v>
      </c>
      <c r="D35" s="29"/>
      <c r="E35" s="882">
        <v>39172</v>
      </c>
      <c r="F35" s="896">
        <v>-25000</v>
      </c>
      <c r="G35" s="883">
        <f>0.2605+0.003+0.0443+0.0051+0.0007</f>
        <v>0.31359999999999999</v>
      </c>
      <c r="H35" s="29">
        <v>2.69E-2</v>
      </c>
      <c r="I35" s="884">
        <f t="shared" si="29"/>
        <v>0.34049999999999997</v>
      </c>
      <c r="J35" s="885">
        <f t="shared" si="30"/>
        <v>-25000</v>
      </c>
      <c r="K35" s="884">
        <f t="shared" si="31"/>
        <v>0.31359999999999999</v>
      </c>
      <c r="L35" s="879">
        <f t="shared" si="32"/>
        <v>-243040</v>
      </c>
      <c r="M35" s="885">
        <f t="shared" si="33"/>
        <v>-25000</v>
      </c>
      <c r="N35" s="884">
        <f t="shared" si="34"/>
        <v>0.31359999999999999</v>
      </c>
      <c r="O35" s="879">
        <f t="shared" si="35"/>
        <v>-219520</v>
      </c>
      <c r="P35" s="885">
        <f t="shared" si="36"/>
        <v>-25000</v>
      </c>
      <c r="Q35" s="884">
        <f t="shared" si="37"/>
        <v>0.31359999999999999</v>
      </c>
      <c r="R35" s="879">
        <f t="shared" si="38"/>
        <v>-243040</v>
      </c>
      <c r="S35" s="885">
        <f t="shared" si="39"/>
        <v>-25000</v>
      </c>
      <c r="T35" s="884">
        <f t="shared" si="40"/>
        <v>0.31359999999999999</v>
      </c>
      <c r="U35" s="879">
        <f t="shared" si="41"/>
        <v>-235200</v>
      </c>
      <c r="V35" s="885">
        <f t="shared" si="42"/>
        <v>-25000</v>
      </c>
      <c r="W35" s="884">
        <f t="shared" si="43"/>
        <v>0.31359999999999999</v>
      </c>
      <c r="X35" s="879">
        <f t="shared" si="44"/>
        <v>-243040</v>
      </c>
      <c r="Y35" s="885">
        <f t="shared" si="45"/>
        <v>-25000</v>
      </c>
      <c r="Z35" s="884">
        <f t="shared" si="46"/>
        <v>0.31359999999999999</v>
      </c>
      <c r="AA35" s="879">
        <f t="shared" si="47"/>
        <v>-235200</v>
      </c>
      <c r="AB35" s="885">
        <f t="shared" si="48"/>
        <v>-25000</v>
      </c>
      <c r="AC35" s="884">
        <f t="shared" si="49"/>
        <v>0.31359999999999999</v>
      </c>
      <c r="AD35" s="879">
        <f t="shared" si="50"/>
        <v>-243040</v>
      </c>
      <c r="AE35" s="885">
        <f t="shared" si="51"/>
        <v>-25000</v>
      </c>
      <c r="AF35" s="884">
        <f t="shared" si="52"/>
        <v>0.31359999999999999</v>
      </c>
      <c r="AG35" s="879">
        <f t="shared" si="53"/>
        <v>-243040</v>
      </c>
      <c r="AH35" s="885">
        <f t="shared" si="54"/>
        <v>-25000</v>
      </c>
      <c r="AI35" s="884">
        <f t="shared" si="55"/>
        <v>0.31359999999999999</v>
      </c>
      <c r="AJ35" s="879">
        <f t="shared" si="56"/>
        <v>-235200</v>
      </c>
      <c r="AK35" s="885">
        <f t="shared" si="57"/>
        <v>-25000</v>
      </c>
      <c r="AL35" s="884">
        <f t="shared" si="58"/>
        <v>0.31359999999999999</v>
      </c>
      <c r="AM35" s="879">
        <f t="shared" si="59"/>
        <v>-243040</v>
      </c>
      <c r="AN35" s="885">
        <f t="shared" si="60"/>
        <v>-25000</v>
      </c>
      <c r="AO35" s="884">
        <f>$G35-0.0443+0.0053</f>
        <v>0.27460000000000001</v>
      </c>
      <c r="AP35" s="879">
        <f t="shared" si="61"/>
        <v>-205950</v>
      </c>
      <c r="AQ35" s="885">
        <f t="shared" si="62"/>
        <v>-25000</v>
      </c>
      <c r="AR35" s="884">
        <f>$G35-0.0443+0.0053</f>
        <v>0.27460000000000001</v>
      </c>
      <c r="AS35" s="879">
        <f t="shared" si="63"/>
        <v>-212815</v>
      </c>
      <c r="AT35" s="879"/>
      <c r="AV35" s="33">
        <f t="shared" si="64"/>
        <v>-2802125</v>
      </c>
      <c r="AW35" s="886"/>
      <c r="AY35" s="886"/>
      <c r="BB35" s="886"/>
    </row>
    <row r="36" spans="1:54" hidden="1" x14ac:dyDescent="0.2">
      <c r="A36" s="888">
        <v>21165</v>
      </c>
      <c r="B36" s="29" t="s">
        <v>286</v>
      </c>
      <c r="C36">
        <v>2001</v>
      </c>
      <c r="D36" s="29"/>
      <c r="E36" s="882">
        <v>39172</v>
      </c>
      <c r="F36" s="896">
        <v>-150000</v>
      </c>
      <c r="G36" s="883">
        <f>0.2605+0.003+0.0443+0.005+0.0007</f>
        <v>0.3135</v>
      </c>
      <c r="H36" s="29">
        <v>2.69E-2</v>
      </c>
      <c r="I36" s="884">
        <f t="shared" si="29"/>
        <v>0.34039999999999998</v>
      </c>
      <c r="J36" s="885">
        <f t="shared" si="30"/>
        <v>-150000</v>
      </c>
      <c r="K36" s="884">
        <f t="shared" si="31"/>
        <v>0.3135</v>
      </c>
      <c r="L36" s="879">
        <f t="shared" si="32"/>
        <v>-1457775</v>
      </c>
      <c r="M36" s="885">
        <f t="shared" si="33"/>
        <v>-150000</v>
      </c>
      <c r="N36" s="884">
        <f t="shared" si="34"/>
        <v>0.3135</v>
      </c>
      <c r="O36" s="879">
        <f t="shared" si="35"/>
        <v>-1316700</v>
      </c>
      <c r="P36" s="885">
        <f t="shared" si="36"/>
        <v>-150000</v>
      </c>
      <c r="Q36" s="884">
        <f t="shared" si="37"/>
        <v>0.3135</v>
      </c>
      <c r="R36" s="879">
        <f t="shared" si="38"/>
        <v>-1457775</v>
      </c>
      <c r="S36" s="885">
        <f t="shared" si="39"/>
        <v>-150000</v>
      </c>
      <c r="T36" s="884">
        <f t="shared" si="40"/>
        <v>0.3135</v>
      </c>
      <c r="U36" s="879">
        <f t="shared" si="41"/>
        <v>-1410750</v>
      </c>
      <c r="V36" s="885">
        <f t="shared" si="42"/>
        <v>-150000</v>
      </c>
      <c r="W36" s="884">
        <f t="shared" si="43"/>
        <v>0.3135</v>
      </c>
      <c r="X36" s="879">
        <f t="shared" si="44"/>
        <v>-1457775</v>
      </c>
      <c r="Y36" s="885">
        <f t="shared" si="45"/>
        <v>-150000</v>
      </c>
      <c r="Z36" s="884">
        <f t="shared" si="46"/>
        <v>0.3135</v>
      </c>
      <c r="AA36" s="879">
        <f t="shared" si="47"/>
        <v>-1410750</v>
      </c>
      <c r="AB36" s="885">
        <f t="shared" si="48"/>
        <v>-150000</v>
      </c>
      <c r="AC36" s="884">
        <f t="shared" si="49"/>
        <v>0.3135</v>
      </c>
      <c r="AD36" s="879">
        <f t="shared" si="50"/>
        <v>-1457775</v>
      </c>
      <c r="AE36" s="885">
        <f t="shared" si="51"/>
        <v>-150000</v>
      </c>
      <c r="AF36" s="884">
        <f t="shared" si="52"/>
        <v>0.3135</v>
      </c>
      <c r="AG36" s="879">
        <f t="shared" si="53"/>
        <v>-1457775</v>
      </c>
      <c r="AH36" s="885">
        <f t="shared" si="54"/>
        <v>-150000</v>
      </c>
      <c r="AI36" s="884">
        <f t="shared" si="55"/>
        <v>0.3135</v>
      </c>
      <c r="AJ36" s="879">
        <f t="shared" si="56"/>
        <v>-1410750</v>
      </c>
      <c r="AK36" s="885">
        <f t="shared" si="57"/>
        <v>-150000</v>
      </c>
      <c r="AL36" s="884">
        <f t="shared" si="58"/>
        <v>0.3135</v>
      </c>
      <c r="AM36" s="879">
        <f t="shared" si="59"/>
        <v>-1457775</v>
      </c>
      <c r="AN36" s="885">
        <f t="shared" si="60"/>
        <v>-150000</v>
      </c>
      <c r="AO36" s="884">
        <f>$G36-0.0443+0.0053</f>
        <v>0.27450000000000002</v>
      </c>
      <c r="AP36" s="879">
        <f t="shared" si="61"/>
        <v>-1235250</v>
      </c>
      <c r="AQ36" s="885">
        <f t="shared" si="62"/>
        <v>-150000</v>
      </c>
      <c r="AR36" s="884">
        <f>$G36-0.0443+0.0053</f>
        <v>0.27450000000000002</v>
      </c>
      <c r="AS36" s="879">
        <f t="shared" si="63"/>
        <v>-1276425</v>
      </c>
      <c r="AT36" s="879"/>
      <c r="AV36" s="33">
        <f t="shared" si="64"/>
        <v>-16807275</v>
      </c>
      <c r="AW36" s="886"/>
      <c r="AY36" s="886"/>
      <c r="BB36" s="886"/>
    </row>
    <row r="37" spans="1:54" hidden="1" x14ac:dyDescent="0.2">
      <c r="A37" s="895" t="s">
        <v>573</v>
      </c>
      <c r="B37" s="48"/>
      <c r="D37" s="48"/>
      <c r="E37" s="167"/>
      <c r="F37" s="835"/>
      <c r="G37" s="171"/>
      <c r="H37" s="171"/>
      <c r="I37" s="884"/>
      <c r="J37" s="885"/>
      <c r="K37" s="884"/>
      <c r="L37" s="879"/>
      <c r="M37" s="885"/>
      <c r="N37" s="884"/>
      <c r="O37" s="879"/>
      <c r="P37" s="885"/>
      <c r="Q37" s="884"/>
      <c r="R37" s="879"/>
      <c r="S37" s="885"/>
      <c r="T37" s="884"/>
      <c r="U37" s="879"/>
      <c r="V37" s="885"/>
      <c r="W37" s="884"/>
      <c r="X37" s="879"/>
      <c r="Y37" s="885"/>
      <c r="Z37" s="884"/>
      <c r="AA37" s="879"/>
      <c r="AB37" s="885"/>
      <c r="AC37" s="884"/>
      <c r="AD37" s="879"/>
      <c r="AE37" s="885"/>
      <c r="AF37" s="884"/>
      <c r="AG37" s="879"/>
      <c r="AH37" s="885"/>
      <c r="AI37" s="884"/>
      <c r="AJ37" s="879"/>
      <c r="AK37" s="885"/>
      <c r="AL37" s="884"/>
      <c r="AM37" s="879"/>
      <c r="AN37" s="885"/>
      <c r="AO37" s="884"/>
      <c r="AP37" s="879"/>
      <c r="AQ37" s="885"/>
      <c r="AR37" s="884"/>
      <c r="AS37" s="879"/>
      <c r="AT37" s="879"/>
      <c r="AV37" s="33"/>
      <c r="AW37" s="886"/>
      <c r="AY37" s="886"/>
      <c r="BB37" s="886"/>
    </row>
    <row r="38" spans="1:54" hidden="1" x14ac:dyDescent="0.2">
      <c r="A38" s="888">
        <v>24670</v>
      </c>
      <c r="B38" s="29" t="s">
        <v>294</v>
      </c>
      <c r="C38">
        <v>2001</v>
      </c>
      <c r="D38" s="29"/>
      <c r="E38" s="888" t="s">
        <v>735</v>
      </c>
      <c r="F38" s="896">
        <v>-10000</v>
      </c>
      <c r="G38" s="883">
        <v>0.1464</v>
      </c>
      <c r="H38" s="29">
        <v>1.8599999999999998E-2</v>
      </c>
      <c r="I38" s="884">
        <f t="shared" ref="I38:I46" si="65">SUM(G38:H38)</f>
        <v>0.16500000000000001</v>
      </c>
      <c r="J38" s="885">
        <f t="shared" ref="J38:J46" si="66">$F38</f>
        <v>-10000</v>
      </c>
      <c r="K38" s="884">
        <f t="shared" ref="K38:K46" si="67">$G38</f>
        <v>0.1464</v>
      </c>
      <c r="L38" s="879">
        <f t="shared" ref="L38:L46" si="68">J38*K38*L$7</f>
        <v>-45384</v>
      </c>
      <c r="M38" s="885">
        <f t="shared" ref="M38:M46" si="69">$F38</f>
        <v>-10000</v>
      </c>
      <c r="N38" s="884">
        <f t="shared" ref="N38:N46" si="70">$G38</f>
        <v>0.1464</v>
      </c>
      <c r="O38" s="879">
        <f t="shared" ref="O38:O46" si="71">M38*N38*O$7</f>
        <v>-40992</v>
      </c>
      <c r="P38" s="885">
        <f t="shared" ref="P38:P46" si="72">$F38</f>
        <v>-10000</v>
      </c>
      <c r="Q38" s="884">
        <v>0.15140000000000001</v>
      </c>
      <c r="R38" s="879">
        <f t="shared" ref="R38:R46" si="73">P38*Q38*R$7</f>
        <v>-46934</v>
      </c>
      <c r="S38" s="885">
        <f t="shared" ref="S38:S46" si="74">$F38</f>
        <v>-10000</v>
      </c>
      <c r="T38" s="884">
        <v>0.15140000000000001</v>
      </c>
      <c r="U38" s="879">
        <f t="shared" ref="U38:U46" si="75">S38*T38*U$7</f>
        <v>-45420</v>
      </c>
      <c r="V38" s="885">
        <f t="shared" ref="V38:V46" si="76">$F38</f>
        <v>-10000</v>
      </c>
      <c r="W38" s="884">
        <v>0.15140000000000001</v>
      </c>
      <c r="X38" s="879">
        <f t="shared" ref="X38:X46" si="77">V38*W38*X$7</f>
        <v>-46934</v>
      </c>
      <c r="Y38" s="885">
        <f t="shared" ref="Y38:Y46" si="78">$F38</f>
        <v>-10000</v>
      </c>
      <c r="Z38" s="884">
        <v>0.15140000000000001</v>
      </c>
      <c r="AA38" s="879">
        <f t="shared" ref="AA38:AA46" si="79">Y38*Z38*AA$7</f>
        <v>-45420</v>
      </c>
      <c r="AB38" s="885">
        <f t="shared" ref="AB38:AB46" si="80">$F38</f>
        <v>-10000</v>
      </c>
      <c r="AC38" s="884">
        <v>0.15140000000000001</v>
      </c>
      <c r="AD38" s="879">
        <f t="shared" ref="AD38:AD46" si="81">AB38*AC38*AD$7</f>
        <v>-46934</v>
      </c>
      <c r="AE38" s="885">
        <f t="shared" ref="AE38:AE46" si="82">$F38</f>
        <v>-10000</v>
      </c>
      <c r="AF38" s="884">
        <v>0.15140000000000001</v>
      </c>
      <c r="AG38" s="879">
        <f t="shared" ref="AG38:AG46" si="83">AE38*AF38*AG$7</f>
        <v>-46934</v>
      </c>
      <c r="AH38" s="885">
        <f t="shared" ref="AH38:AH46" si="84">$F38</f>
        <v>-10000</v>
      </c>
      <c r="AI38" s="884">
        <v>0.15140000000000001</v>
      </c>
      <c r="AJ38" s="879">
        <f t="shared" ref="AJ38:AJ46" si="85">AH38*AI38*AJ$7</f>
        <v>-45420</v>
      </c>
      <c r="AK38" s="885">
        <f t="shared" ref="AK38:AK46" si="86">$F38</f>
        <v>-10000</v>
      </c>
      <c r="AL38" s="884">
        <v>0.15140000000000001</v>
      </c>
      <c r="AM38" s="879">
        <f t="shared" ref="AM38:AM46" si="87">AK38*AL38*AM$7</f>
        <v>-46934</v>
      </c>
      <c r="AN38" s="885">
        <f t="shared" ref="AN38:AN46" si="88">$F38</f>
        <v>-10000</v>
      </c>
      <c r="AO38" s="884">
        <v>0.15140000000000001</v>
      </c>
      <c r="AP38" s="879">
        <f t="shared" ref="AP38:AP46" si="89">AN38*AO38*AP$7</f>
        <v>-45420</v>
      </c>
      <c r="AQ38" s="885">
        <f t="shared" ref="AQ38:AQ46" si="90">$F38</f>
        <v>-10000</v>
      </c>
      <c r="AR38" s="884">
        <v>0.15140000000000001</v>
      </c>
      <c r="AS38" s="879">
        <f t="shared" ref="AS38:AS46" si="91">AQ38*AR38*AS$7</f>
        <v>-46934</v>
      </c>
      <c r="AT38" s="879"/>
      <c r="AV38" s="33">
        <f t="shared" ref="AV38:AV46" si="92">AS38+AP38+AM38+AJ38+AG38+AD38+AA38+X38+U38+R38+O38+L38</f>
        <v>-549660</v>
      </c>
      <c r="AW38" s="886"/>
      <c r="AY38" s="886"/>
      <c r="BB38" s="886"/>
    </row>
    <row r="39" spans="1:54" hidden="1" x14ac:dyDescent="0.2">
      <c r="A39" s="888">
        <v>25071</v>
      </c>
      <c r="B39" s="29" t="s">
        <v>297</v>
      </c>
      <c r="C39">
        <v>2001</v>
      </c>
      <c r="D39" s="29"/>
      <c r="E39" s="882">
        <v>39782</v>
      </c>
      <c r="F39" s="896">
        <v>-30000</v>
      </c>
      <c r="G39" s="883">
        <v>0.15640000000000001</v>
      </c>
      <c r="H39" s="29">
        <v>1.8599999999999998E-2</v>
      </c>
      <c r="I39" s="884">
        <f t="shared" si="65"/>
        <v>0.17500000000000002</v>
      </c>
      <c r="J39" s="885">
        <f t="shared" si="66"/>
        <v>-30000</v>
      </c>
      <c r="K39" s="884">
        <f t="shared" si="67"/>
        <v>0.15640000000000001</v>
      </c>
      <c r="L39" s="879">
        <f t="shared" si="68"/>
        <v>-145452</v>
      </c>
      <c r="M39" s="885">
        <f t="shared" si="69"/>
        <v>-30000</v>
      </c>
      <c r="N39" s="884">
        <f t="shared" si="70"/>
        <v>0.15640000000000001</v>
      </c>
      <c r="O39" s="879">
        <f t="shared" si="71"/>
        <v>-131376</v>
      </c>
      <c r="P39" s="885">
        <f t="shared" si="72"/>
        <v>-30000</v>
      </c>
      <c r="Q39" s="884">
        <f t="shared" ref="Q39:Q46" si="93">$G39</f>
        <v>0.15640000000000001</v>
      </c>
      <c r="R39" s="879">
        <f t="shared" si="73"/>
        <v>-145452</v>
      </c>
      <c r="S39" s="885">
        <f t="shared" si="74"/>
        <v>-30000</v>
      </c>
      <c r="T39" s="884">
        <f t="shared" ref="T39:T46" si="94">$G39</f>
        <v>0.15640000000000001</v>
      </c>
      <c r="U39" s="879">
        <f t="shared" si="75"/>
        <v>-140760</v>
      </c>
      <c r="V39" s="885">
        <f t="shared" si="76"/>
        <v>-30000</v>
      </c>
      <c r="W39" s="884">
        <f t="shared" ref="W39:W46" si="95">$G39</f>
        <v>0.15640000000000001</v>
      </c>
      <c r="X39" s="879">
        <f t="shared" si="77"/>
        <v>-145452</v>
      </c>
      <c r="Y39" s="885">
        <f t="shared" si="78"/>
        <v>-30000</v>
      </c>
      <c r="Z39" s="884">
        <f t="shared" ref="Z39:Z46" si="96">$G39</f>
        <v>0.15640000000000001</v>
      </c>
      <c r="AA39" s="879">
        <f t="shared" si="79"/>
        <v>-140760</v>
      </c>
      <c r="AB39" s="885">
        <f t="shared" si="80"/>
        <v>-30000</v>
      </c>
      <c r="AC39" s="884">
        <f t="shared" ref="AC39:AC46" si="97">$G39</f>
        <v>0.15640000000000001</v>
      </c>
      <c r="AD39" s="879">
        <f t="shared" si="81"/>
        <v>-145452</v>
      </c>
      <c r="AE39" s="885">
        <f t="shared" si="82"/>
        <v>-30000</v>
      </c>
      <c r="AF39" s="884">
        <f t="shared" ref="AF39:AF46" si="98">$G39</f>
        <v>0.15640000000000001</v>
      </c>
      <c r="AG39" s="879">
        <f t="shared" si="83"/>
        <v>-145452</v>
      </c>
      <c r="AH39" s="885">
        <f t="shared" si="84"/>
        <v>-30000</v>
      </c>
      <c r="AI39" s="884">
        <f t="shared" ref="AI39:AI46" si="99">$G39</f>
        <v>0.15640000000000001</v>
      </c>
      <c r="AJ39" s="879">
        <f t="shared" si="85"/>
        <v>-140760</v>
      </c>
      <c r="AK39" s="885">
        <f t="shared" si="86"/>
        <v>-30000</v>
      </c>
      <c r="AL39" s="884">
        <f t="shared" ref="AL39:AL46" si="100">$G39</f>
        <v>0.15640000000000001</v>
      </c>
      <c r="AM39" s="879">
        <f t="shared" si="87"/>
        <v>-145452</v>
      </c>
      <c r="AN39" s="885">
        <f t="shared" si="88"/>
        <v>-30000</v>
      </c>
      <c r="AO39" s="884">
        <f t="shared" ref="AO39:AO46" si="101">$G39</f>
        <v>0.15640000000000001</v>
      </c>
      <c r="AP39" s="879">
        <f t="shared" si="89"/>
        <v>-140760</v>
      </c>
      <c r="AQ39" s="885">
        <f t="shared" si="90"/>
        <v>-30000</v>
      </c>
      <c r="AR39" s="884">
        <v>0.16139999999999999</v>
      </c>
      <c r="AS39" s="879">
        <f t="shared" si="91"/>
        <v>-150102</v>
      </c>
      <c r="AT39" s="879"/>
      <c r="AV39" s="33">
        <f t="shared" si="92"/>
        <v>-1717230</v>
      </c>
      <c r="AW39" s="886"/>
      <c r="AY39" s="886"/>
      <c r="BB39" s="886"/>
    </row>
    <row r="40" spans="1:54" hidden="1" x14ac:dyDescent="0.2">
      <c r="A40" s="888">
        <v>25700</v>
      </c>
      <c r="B40" s="29" t="s">
        <v>297</v>
      </c>
      <c r="C40">
        <v>2001</v>
      </c>
      <c r="D40" s="29"/>
      <c r="E40" s="882">
        <v>37621</v>
      </c>
      <c r="F40" s="896">
        <v>-25000</v>
      </c>
      <c r="G40" s="883">
        <v>0.1714</v>
      </c>
      <c r="H40" s="29">
        <v>1.8599999999999998E-2</v>
      </c>
      <c r="I40" s="884">
        <f t="shared" si="65"/>
        <v>0.19</v>
      </c>
      <c r="J40" s="885">
        <f t="shared" si="66"/>
        <v>-25000</v>
      </c>
      <c r="K40" s="884">
        <f t="shared" si="67"/>
        <v>0.1714</v>
      </c>
      <c r="L40" s="879">
        <f t="shared" si="68"/>
        <v>-132835</v>
      </c>
      <c r="M40" s="885">
        <f t="shared" si="69"/>
        <v>-25000</v>
      </c>
      <c r="N40" s="884">
        <f t="shared" si="70"/>
        <v>0.1714</v>
      </c>
      <c r="O40" s="879">
        <f t="shared" si="71"/>
        <v>-119980</v>
      </c>
      <c r="P40" s="885">
        <f t="shared" si="72"/>
        <v>-25000</v>
      </c>
      <c r="Q40" s="884">
        <f t="shared" si="93"/>
        <v>0.1714</v>
      </c>
      <c r="R40" s="879">
        <f t="shared" si="73"/>
        <v>-132835</v>
      </c>
      <c r="S40" s="885">
        <f t="shared" si="74"/>
        <v>-25000</v>
      </c>
      <c r="T40" s="884">
        <f t="shared" si="94"/>
        <v>0.1714</v>
      </c>
      <c r="U40" s="879">
        <f t="shared" si="75"/>
        <v>-128550</v>
      </c>
      <c r="V40" s="885">
        <f t="shared" si="76"/>
        <v>-25000</v>
      </c>
      <c r="W40" s="884">
        <f t="shared" si="95"/>
        <v>0.1714</v>
      </c>
      <c r="X40" s="879">
        <f t="shared" si="77"/>
        <v>-132835</v>
      </c>
      <c r="Y40" s="885">
        <f t="shared" si="78"/>
        <v>-25000</v>
      </c>
      <c r="Z40" s="884">
        <f t="shared" si="96"/>
        <v>0.1714</v>
      </c>
      <c r="AA40" s="879">
        <f t="shared" si="79"/>
        <v>-128550</v>
      </c>
      <c r="AB40" s="885">
        <f t="shared" si="80"/>
        <v>-25000</v>
      </c>
      <c r="AC40" s="884">
        <f t="shared" si="97"/>
        <v>0.1714</v>
      </c>
      <c r="AD40" s="879">
        <f t="shared" si="81"/>
        <v>-132835</v>
      </c>
      <c r="AE40" s="885">
        <f t="shared" si="82"/>
        <v>-25000</v>
      </c>
      <c r="AF40" s="884">
        <f t="shared" si="98"/>
        <v>0.1714</v>
      </c>
      <c r="AG40" s="879">
        <f t="shared" si="83"/>
        <v>-132835</v>
      </c>
      <c r="AH40" s="885">
        <f t="shared" si="84"/>
        <v>-25000</v>
      </c>
      <c r="AI40" s="884">
        <f t="shared" si="99"/>
        <v>0.1714</v>
      </c>
      <c r="AJ40" s="879">
        <f t="shared" si="85"/>
        <v>-128550</v>
      </c>
      <c r="AK40" s="885">
        <f t="shared" si="86"/>
        <v>-25000</v>
      </c>
      <c r="AL40" s="884">
        <f t="shared" si="100"/>
        <v>0.1714</v>
      </c>
      <c r="AM40" s="879">
        <f t="shared" si="87"/>
        <v>-132835</v>
      </c>
      <c r="AN40" s="885">
        <f t="shared" si="88"/>
        <v>-25000</v>
      </c>
      <c r="AO40" s="884">
        <f t="shared" si="101"/>
        <v>0.1714</v>
      </c>
      <c r="AP40" s="879">
        <f t="shared" si="89"/>
        <v>-128550</v>
      </c>
      <c r="AQ40" s="885">
        <f t="shared" si="90"/>
        <v>-25000</v>
      </c>
      <c r="AR40" s="884">
        <f t="shared" ref="AR40:AR46" si="102">$G40</f>
        <v>0.1714</v>
      </c>
      <c r="AS40" s="879">
        <f t="shared" si="91"/>
        <v>-132835</v>
      </c>
      <c r="AT40" s="879"/>
      <c r="AV40" s="33">
        <f t="shared" si="92"/>
        <v>-1564025</v>
      </c>
      <c r="AW40" s="886"/>
      <c r="AY40" s="886"/>
      <c r="BB40" s="886"/>
    </row>
    <row r="41" spans="1:54" hidden="1" x14ac:dyDescent="0.2">
      <c r="A41" s="888">
        <v>26125</v>
      </c>
      <c r="B41" s="29" t="s">
        <v>298</v>
      </c>
      <c r="C41">
        <v>2001</v>
      </c>
      <c r="D41" s="29"/>
      <c r="E41" s="882">
        <v>37772</v>
      </c>
      <c r="F41" s="896">
        <v>-8600</v>
      </c>
      <c r="G41" s="883">
        <v>0.1114</v>
      </c>
      <c r="H41" s="29">
        <v>1.8599999999999998E-2</v>
      </c>
      <c r="I41" s="884">
        <f t="shared" si="65"/>
        <v>0.13</v>
      </c>
      <c r="J41" s="885">
        <f t="shared" si="66"/>
        <v>-8600</v>
      </c>
      <c r="K41" s="884">
        <f t="shared" si="67"/>
        <v>0.1114</v>
      </c>
      <c r="L41" s="879">
        <f t="shared" si="68"/>
        <v>-29699.239999999998</v>
      </c>
      <c r="M41" s="885">
        <f t="shared" si="69"/>
        <v>-8600</v>
      </c>
      <c r="N41" s="884">
        <f t="shared" si="70"/>
        <v>0.1114</v>
      </c>
      <c r="O41" s="879">
        <f t="shared" si="71"/>
        <v>-26825.119999999999</v>
      </c>
      <c r="P41" s="885">
        <f t="shared" si="72"/>
        <v>-8600</v>
      </c>
      <c r="Q41" s="884">
        <f t="shared" si="93"/>
        <v>0.1114</v>
      </c>
      <c r="R41" s="879">
        <f t="shared" si="73"/>
        <v>-29699.239999999998</v>
      </c>
      <c r="S41" s="885">
        <f t="shared" si="74"/>
        <v>-8600</v>
      </c>
      <c r="T41" s="884">
        <f t="shared" si="94"/>
        <v>0.1114</v>
      </c>
      <c r="U41" s="879">
        <f t="shared" si="75"/>
        <v>-28741.199999999997</v>
      </c>
      <c r="V41" s="885">
        <f t="shared" si="76"/>
        <v>-8600</v>
      </c>
      <c r="W41" s="884">
        <f t="shared" si="95"/>
        <v>0.1114</v>
      </c>
      <c r="X41" s="879">
        <f t="shared" si="77"/>
        <v>-29699.239999999998</v>
      </c>
      <c r="Y41" s="885">
        <f t="shared" si="78"/>
        <v>-8600</v>
      </c>
      <c r="Z41" s="884">
        <f t="shared" si="96"/>
        <v>0.1114</v>
      </c>
      <c r="AA41" s="879">
        <f t="shared" si="79"/>
        <v>-28741.199999999997</v>
      </c>
      <c r="AB41" s="885">
        <f t="shared" si="80"/>
        <v>-8600</v>
      </c>
      <c r="AC41" s="884">
        <f t="shared" si="97"/>
        <v>0.1114</v>
      </c>
      <c r="AD41" s="879">
        <f t="shared" si="81"/>
        <v>-29699.239999999998</v>
      </c>
      <c r="AE41" s="885">
        <f t="shared" si="82"/>
        <v>-8600</v>
      </c>
      <c r="AF41" s="884">
        <f t="shared" si="98"/>
        <v>0.1114</v>
      </c>
      <c r="AG41" s="879">
        <f t="shared" si="83"/>
        <v>-29699.239999999998</v>
      </c>
      <c r="AH41" s="885">
        <f t="shared" si="84"/>
        <v>-8600</v>
      </c>
      <c r="AI41" s="884">
        <f t="shared" si="99"/>
        <v>0.1114</v>
      </c>
      <c r="AJ41" s="879">
        <f t="shared" si="85"/>
        <v>-28741.199999999997</v>
      </c>
      <c r="AK41" s="885">
        <f t="shared" si="86"/>
        <v>-8600</v>
      </c>
      <c r="AL41" s="884">
        <f t="shared" si="100"/>
        <v>0.1114</v>
      </c>
      <c r="AM41" s="879">
        <f t="shared" si="87"/>
        <v>-29699.239999999998</v>
      </c>
      <c r="AN41" s="885">
        <f t="shared" si="88"/>
        <v>-8600</v>
      </c>
      <c r="AO41" s="884">
        <f t="shared" si="101"/>
        <v>0.1114</v>
      </c>
      <c r="AP41" s="879">
        <f t="shared" si="89"/>
        <v>-28741.199999999997</v>
      </c>
      <c r="AQ41" s="885">
        <f t="shared" si="90"/>
        <v>-8600</v>
      </c>
      <c r="AR41" s="884">
        <f t="shared" si="102"/>
        <v>0.1114</v>
      </c>
      <c r="AS41" s="879">
        <f t="shared" si="91"/>
        <v>-29699.239999999998</v>
      </c>
      <c r="AT41" s="879"/>
      <c r="AV41" s="33">
        <f t="shared" si="92"/>
        <v>-349684.6</v>
      </c>
      <c r="AW41" s="886"/>
      <c r="AY41" s="886"/>
      <c r="BB41" s="886"/>
    </row>
    <row r="42" spans="1:54" hidden="1" x14ac:dyDescent="0.2">
      <c r="A42" s="888">
        <v>26813</v>
      </c>
      <c r="B42" s="29" t="s">
        <v>736</v>
      </c>
      <c r="C42">
        <v>2001</v>
      </c>
      <c r="D42" s="29"/>
      <c r="E42" s="882">
        <v>39569</v>
      </c>
      <c r="F42" s="896">
        <v>-3500</v>
      </c>
      <c r="G42" s="883">
        <v>0.1739</v>
      </c>
      <c r="H42" s="29">
        <v>1.8599999999999998E-2</v>
      </c>
      <c r="I42" s="884">
        <f t="shared" si="65"/>
        <v>0.1925</v>
      </c>
      <c r="J42" s="885">
        <f t="shared" si="66"/>
        <v>-3500</v>
      </c>
      <c r="K42" s="884">
        <f t="shared" si="67"/>
        <v>0.1739</v>
      </c>
      <c r="L42" s="879">
        <f t="shared" si="68"/>
        <v>-18868.149999999998</v>
      </c>
      <c r="M42" s="885">
        <f t="shared" si="69"/>
        <v>-3500</v>
      </c>
      <c r="N42" s="884">
        <f t="shared" si="70"/>
        <v>0.1739</v>
      </c>
      <c r="O42" s="879">
        <f t="shared" si="71"/>
        <v>-17042.2</v>
      </c>
      <c r="P42" s="885">
        <f t="shared" si="72"/>
        <v>-3500</v>
      </c>
      <c r="Q42" s="884">
        <f t="shared" si="93"/>
        <v>0.1739</v>
      </c>
      <c r="R42" s="879">
        <f t="shared" si="73"/>
        <v>-18868.149999999998</v>
      </c>
      <c r="S42" s="885">
        <f t="shared" si="74"/>
        <v>-3500</v>
      </c>
      <c r="T42" s="884">
        <f t="shared" si="94"/>
        <v>0.1739</v>
      </c>
      <c r="U42" s="879">
        <f t="shared" si="75"/>
        <v>-18259.5</v>
      </c>
      <c r="V42" s="885">
        <f t="shared" si="76"/>
        <v>-3500</v>
      </c>
      <c r="W42" s="884">
        <f t="shared" si="95"/>
        <v>0.1739</v>
      </c>
      <c r="X42" s="879">
        <f t="shared" si="77"/>
        <v>-18868.149999999998</v>
      </c>
      <c r="Y42" s="885">
        <f t="shared" si="78"/>
        <v>-3500</v>
      </c>
      <c r="Z42" s="884">
        <f t="shared" si="96"/>
        <v>0.1739</v>
      </c>
      <c r="AA42" s="879">
        <f t="shared" si="79"/>
        <v>-18259.5</v>
      </c>
      <c r="AB42" s="885">
        <f t="shared" si="80"/>
        <v>-3500</v>
      </c>
      <c r="AC42" s="884">
        <f t="shared" si="97"/>
        <v>0.1739</v>
      </c>
      <c r="AD42" s="879">
        <f t="shared" si="81"/>
        <v>-18868.149999999998</v>
      </c>
      <c r="AE42" s="885">
        <f t="shared" si="82"/>
        <v>-3500</v>
      </c>
      <c r="AF42" s="884">
        <f t="shared" si="98"/>
        <v>0.1739</v>
      </c>
      <c r="AG42" s="879">
        <f t="shared" si="83"/>
        <v>-18868.149999999998</v>
      </c>
      <c r="AH42" s="885">
        <f t="shared" si="84"/>
        <v>-3500</v>
      </c>
      <c r="AI42" s="884">
        <f t="shared" si="99"/>
        <v>0.1739</v>
      </c>
      <c r="AJ42" s="879">
        <f t="shared" si="85"/>
        <v>-18259.5</v>
      </c>
      <c r="AK42" s="885">
        <f t="shared" si="86"/>
        <v>-3500</v>
      </c>
      <c r="AL42" s="884">
        <f t="shared" si="100"/>
        <v>0.1739</v>
      </c>
      <c r="AM42" s="879">
        <f t="shared" si="87"/>
        <v>-18868.149999999998</v>
      </c>
      <c r="AN42" s="885">
        <f t="shared" si="88"/>
        <v>-3500</v>
      </c>
      <c r="AO42" s="884">
        <f t="shared" si="101"/>
        <v>0.1739</v>
      </c>
      <c r="AP42" s="879">
        <f t="shared" si="89"/>
        <v>-18259.5</v>
      </c>
      <c r="AQ42" s="885">
        <f t="shared" si="90"/>
        <v>-3500</v>
      </c>
      <c r="AR42" s="884">
        <f t="shared" si="102"/>
        <v>0.1739</v>
      </c>
      <c r="AS42" s="879">
        <f t="shared" si="91"/>
        <v>-18868.149999999998</v>
      </c>
      <c r="AT42" s="879"/>
      <c r="AV42" s="33">
        <f t="shared" si="92"/>
        <v>-222157.24999999997</v>
      </c>
      <c r="AW42" s="886"/>
      <c r="AY42" s="886"/>
      <c r="BB42" s="886"/>
    </row>
    <row r="43" spans="1:54" hidden="1" x14ac:dyDescent="0.2">
      <c r="A43" s="888">
        <v>26816</v>
      </c>
      <c r="B43" s="29" t="s">
        <v>27</v>
      </c>
      <c r="C43">
        <v>2001</v>
      </c>
      <c r="D43" s="29"/>
      <c r="E43" s="882">
        <v>38472</v>
      </c>
      <c r="F43" s="896">
        <v>-21500</v>
      </c>
      <c r="G43" s="883">
        <v>0.15140000000000001</v>
      </c>
      <c r="H43" s="29">
        <v>1.8599999999999998E-2</v>
      </c>
      <c r="I43" s="884">
        <f t="shared" si="65"/>
        <v>0.17</v>
      </c>
      <c r="J43" s="885">
        <f t="shared" si="66"/>
        <v>-21500</v>
      </c>
      <c r="K43" s="884">
        <f t="shared" si="67"/>
        <v>0.15140000000000001</v>
      </c>
      <c r="L43" s="879">
        <f t="shared" si="68"/>
        <v>-100908.1</v>
      </c>
      <c r="M43" s="885">
        <f t="shared" si="69"/>
        <v>-21500</v>
      </c>
      <c r="N43" s="884">
        <f t="shared" si="70"/>
        <v>0.15140000000000001</v>
      </c>
      <c r="O43" s="879">
        <f t="shared" si="71"/>
        <v>-91142.800000000017</v>
      </c>
      <c r="P43" s="885">
        <f t="shared" si="72"/>
        <v>-21500</v>
      </c>
      <c r="Q43" s="884">
        <f t="shared" si="93"/>
        <v>0.15140000000000001</v>
      </c>
      <c r="R43" s="879">
        <f t="shared" si="73"/>
        <v>-100908.1</v>
      </c>
      <c r="S43" s="885">
        <f t="shared" si="74"/>
        <v>-21500</v>
      </c>
      <c r="T43" s="884">
        <f t="shared" si="94"/>
        <v>0.15140000000000001</v>
      </c>
      <c r="U43" s="879">
        <f t="shared" si="75"/>
        <v>-97653.000000000015</v>
      </c>
      <c r="V43" s="885">
        <f t="shared" si="76"/>
        <v>-21500</v>
      </c>
      <c r="W43" s="884">
        <f t="shared" si="95"/>
        <v>0.15140000000000001</v>
      </c>
      <c r="X43" s="879">
        <f t="shared" si="77"/>
        <v>-100908.1</v>
      </c>
      <c r="Y43" s="885">
        <f t="shared" si="78"/>
        <v>-21500</v>
      </c>
      <c r="Z43" s="884">
        <f t="shared" si="96"/>
        <v>0.15140000000000001</v>
      </c>
      <c r="AA43" s="879">
        <f t="shared" si="79"/>
        <v>-97653.000000000015</v>
      </c>
      <c r="AB43" s="885">
        <f t="shared" si="80"/>
        <v>-21500</v>
      </c>
      <c r="AC43" s="884">
        <f t="shared" si="97"/>
        <v>0.15140000000000001</v>
      </c>
      <c r="AD43" s="879">
        <f t="shared" si="81"/>
        <v>-100908.1</v>
      </c>
      <c r="AE43" s="885">
        <f t="shared" si="82"/>
        <v>-21500</v>
      </c>
      <c r="AF43" s="884">
        <f t="shared" si="98"/>
        <v>0.15140000000000001</v>
      </c>
      <c r="AG43" s="879">
        <f t="shared" si="83"/>
        <v>-100908.1</v>
      </c>
      <c r="AH43" s="885">
        <f t="shared" si="84"/>
        <v>-21500</v>
      </c>
      <c r="AI43" s="884">
        <f t="shared" si="99"/>
        <v>0.15140000000000001</v>
      </c>
      <c r="AJ43" s="879">
        <f t="shared" si="85"/>
        <v>-97653.000000000015</v>
      </c>
      <c r="AK43" s="885">
        <f t="shared" si="86"/>
        <v>-21500</v>
      </c>
      <c r="AL43" s="884">
        <f t="shared" si="100"/>
        <v>0.15140000000000001</v>
      </c>
      <c r="AM43" s="879">
        <f t="shared" si="87"/>
        <v>-100908.1</v>
      </c>
      <c r="AN43" s="885">
        <f t="shared" si="88"/>
        <v>-21500</v>
      </c>
      <c r="AO43" s="884">
        <f t="shared" si="101"/>
        <v>0.15140000000000001</v>
      </c>
      <c r="AP43" s="879">
        <f t="shared" si="89"/>
        <v>-97653.000000000015</v>
      </c>
      <c r="AQ43" s="885">
        <f t="shared" si="90"/>
        <v>-21500</v>
      </c>
      <c r="AR43" s="884">
        <f t="shared" si="102"/>
        <v>0.15140000000000001</v>
      </c>
      <c r="AS43" s="879">
        <f t="shared" si="91"/>
        <v>-100908.1</v>
      </c>
      <c r="AT43" s="879"/>
      <c r="AV43" s="33">
        <f t="shared" si="92"/>
        <v>-1188111.5</v>
      </c>
      <c r="AW43" s="886"/>
      <c r="AY43" s="886"/>
      <c r="BB43" s="886"/>
    </row>
    <row r="44" spans="1:54" hidden="1" x14ac:dyDescent="0.2">
      <c r="A44" s="888">
        <v>26960</v>
      </c>
      <c r="B44" s="29" t="s">
        <v>299</v>
      </c>
      <c r="C44">
        <v>2001</v>
      </c>
      <c r="D44" s="881">
        <v>36617</v>
      </c>
      <c r="E44" s="882">
        <v>37346</v>
      </c>
      <c r="F44" s="896">
        <v>-20000</v>
      </c>
      <c r="G44" s="883">
        <v>0.1714</v>
      </c>
      <c r="H44" s="29">
        <v>1.8599999999999998E-2</v>
      </c>
      <c r="I44" s="884">
        <f t="shared" si="65"/>
        <v>0.19</v>
      </c>
      <c r="J44" s="885">
        <f t="shared" si="66"/>
        <v>-20000</v>
      </c>
      <c r="K44" s="884">
        <f t="shared" si="67"/>
        <v>0.1714</v>
      </c>
      <c r="L44" s="879">
        <f t="shared" si="68"/>
        <v>-106268</v>
      </c>
      <c r="M44" s="885">
        <f t="shared" si="69"/>
        <v>-20000</v>
      </c>
      <c r="N44" s="884">
        <f t="shared" si="70"/>
        <v>0.1714</v>
      </c>
      <c r="O44" s="879">
        <f t="shared" si="71"/>
        <v>-95984</v>
      </c>
      <c r="P44" s="885">
        <f t="shared" si="72"/>
        <v>-20000</v>
      </c>
      <c r="Q44" s="884">
        <f t="shared" si="93"/>
        <v>0.1714</v>
      </c>
      <c r="R44" s="879">
        <f t="shared" si="73"/>
        <v>-106268</v>
      </c>
      <c r="S44" s="885">
        <f t="shared" si="74"/>
        <v>-20000</v>
      </c>
      <c r="T44" s="884">
        <f t="shared" si="94"/>
        <v>0.1714</v>
      </c>
      <c r="U44" s="879">
        <f t="shared" si="75"/>
        <v>-102840</v>
      </c>
      <c r="V44" s="885">
        <f t="shared" si="76"/>
        <v>-20000</v>
      </c>
      <c r="W44" s="884">
        <f t="shared" si="95"/>
        <v>0.1714</v>
      </c>
      <c r="X44" s="879">
        <f t="shared" si="77"/>
        <v>-106268</v>
      </c>
      <c r="Y44" s="885">
        <f t="shared" si="78"/>
        <v>-20000</v>
      </c>
      <c r="Z44" s="884">
        <f t="shared" si="96"/>
        <v>0.1714</v>
      </c>
      <c r="AA44" s="879">
        <f t="shared" si="79"/>
        <v>-102840</v>
      </c>
      <c r="AB44" s="885">
        <f t="shared" si="80"/>
        <v>-20000</v>
      </c>
      <c r="AC44" s="884">
        <f t="shared" si="97"/>
        <v>0.1714</v>
      </c>
      <c r="AD44" s="879">
        <f t="shared" si="81"/>
        <v>-106268</v>
      </c>
      <c r="AE44" s="885">
        <f t="shared" si="82"/>
        <v>-20000</v>
      </c>
      <c r="AF44" s="884">
        <f t="shared" si="98"/>
        <v>0.1714</v>
      </c>
      <c r="AG44" s="879">
        <f t="shared" si="83"/>
        <v>-106268</v>
      </c>
      <c r="AH44" s="885">
        <f t="shared" si="84"/>
        <v>-20000</v>
      </c>
      <c r="AI44" s="884">
        <f t="shared" si="99"/>
        <v>0.1714</v>
      </c>
      <c r="AJ44" s="879">
        <f t="shared" si="85"/>
        <v>-102840</v>
      </c>
      <c r="AK44" s="885">
        <f t="shared" si="86"/>
        <v>-20000</v>
      </c>
      <c r="AL44" s="884">
        <f t="shared" si="100"/>
        <v>0.1714</v>
      </c>
      <c r="AM44" s="879">
        <f t="shared" si="87"/>
        <v>-106268</v>
      </c>
      <c r="AN44" s="885">
        <f t="shared" si="88"/>
        <v>-20000</v>
      </c>
      <c r="AO44" s="884">
        <f t="shared" si="101"/>
        <v>0.1714</v>
      </c>
      <c r="AP44" s="879">
        <f t="shared" si="89"/>
        <v>-102840</v>
      </c>
      <c r="AQ44" s="885">
        <f t="shared" si="90"/>
        <v>-20000</v>
      </c>
      <c r="AR44" s="884">
        <f t="shared" si="102"/>
        <v>0.1714</v>
      </c>
      <c r="AS44" s="879">
        <f t="shared" si="91"/>
        <v>-106268</v>
      </c>
      <c r="AT44" s="879"/>
      <c r="AV44" s="33">
        <f t="shared" si="92"/>
        <v>-1251220</v>
      </c>
      <c r="AW44" s="886"/>
      <c r="AY44" s="886"/>
      <c r="BB44" s="886"/>
    </row>
    <row r="45" spans="1:54" hidden="1" x14ac:dyDescent="0.2">
      <c r="A45" s="888">
        <v>26719</v>
      </c>
      <c r="B45" s="29" t="s">
        <v>737</v>
      </c>
      <c r="C45">
        <v>2001</v>
      </c>
      <c r="D45" s="881"/>
      <c r="E45" s="882">
        <v>38472</v>
      </c>
      <c r="F45" s="896">
        <v>-25000</v>
      </c>
      <c r="G45" s="883">
        <v>0.18640000000000001</v>
      </c>
      <c r="H45" s="29">
        <v>1.8599999999999998E-2</v>
      </c>
      <c r="I45" s="884">
        <f t="shared" si="65"/>
        <v>0.20500000000000002</v>
      </c>
      <c r="J45" s="885">
        <f t="shared" si="66"/>
        <v>-25000</v>
      </c>
      <c r="K45" s="884">
        <f t="shared" si="67"/>
        <v>0.18640000000000001</v>
      </c>
      <c r="L45" s="879">
        <f t="shared" si="68"/>
        <v>-144460</v>
      </c>
      <c r="M45" s="885">
        <f t="shared" si="69"/>
        <v>-25000</v>
      </c>
      <c r="N45" s="884">
        <f t="shared" si="70"/>
        <v>0.18640000000000001</v>
      </c>
      <c r="O45" s="879">
        <f t="shared" si="71"/>
        <v>-130480</v>
      </c>
      <c r="P45" s="885">
        <f t="shared" si="72"/>
        <v>-25000</v>
      </c>
      <c r="Q45" s="884">
        <f t="shared" si="93"/>
        <v>0.18640000000000001</v>
      </c>
      <c r="R45" s="879">
        <f t="shared" si="73"/>
        <v>-144460</v>
      </c>
      <c r="S45" s="885">
        <f t="shared" si="74"/>
        <v>-25000</v>
      </c>
      <c r="T45" s="884">
        <f t="shared" si="94"/>
        <v>0.18640000000000001</v>
      </c>
      <c r="U45" s="879">
        <f t="shared" si="75"/>
        <v>-139800</v>
      </c>
      <c r="V45" s="885">
        <f t="shared" si="76"/>
        <v>-25000</v>
      </c>
      <c r="W45" s="884">
        <f t="shared" si="95"/>
        <v>0.18640000000000001</v>
      </c>
      <c r="X45" s="879">
        <f t="shared" si="77"/>
        <v>-144460</v>
      </c>
      <c r="Y45" s="885">
        <f t="shared" si="78"/>
        <v>-25000</v>
      </c>
      <c r="Z45" s="884">
        <f t="shared" si="96"/>
        <v>0.18640000000000001</v>
      </c>
      <c r="AA45" s="879">
        <f t="shared" si="79"/>
        <v>-139800</v>
      </c>
      <c r="AB45" s="885">
        <f t="shared" si="80"/>
        <v>-25000</v>
      </c>
      <c r="AC45" s="884">
        <f t="shared" si="97"/>
        <v>0.18640000000000001</v>
      </c>
      <c r="AD45" s="879">
        <f t="shared" si="81"/>
        <v>-144460</v>
      </c>
      <c r="AE45" s="885">
        <f t="shared" si="82"/>
        <v>-25000</v>
      </c>
      <c r="AF45" s="884">
        <f t="shared" si="98"/>
        <v>0.18640000000000001</v>
      </c>
      <c r="AG45" s="879">
        <f t="shared" si="83"/>
        <v>-144460</v>
      </c>
      <c r="AH45" s="885">
        <f t="shared" si="84"/>
        <v>-25000</v>
      </c>
      <c r="AI45" s="884">
        <f t="shared" si="99"/>
        <v>0.18640000000000001</v>
      </c>
      <c r="AJ45" s="879">
        <f t="shared" si="85"/>
        <v>-139800</v>
      </c>
      <c r="AK45" s="885">
        <f t="shared" si="86"/>
        <v>-25000</v>
      </c>
      <c r="AL45" s="884">
        <f t="shared" si="100"/>
        <v>0.18640000000000001</v>
      </c>
      <c r="AM45" s="879">
        <f t="shared" si="87"/>
        <v>-144460</v>
      </c>
      <c r="AN45" s="885">
        <f t="shared" si="88"/>
        <v>-25000</v>
      </c>
      <c r="AO45" s="884">
        <f t="shared" si="101"/>
        <v>0.18640000000000001</v>
      </c>
      <c r="AP45" s="879">
        <f t="shared" si="89"/>
        <v>-139800</v>
      </c>
      <c r="AQ45" s="885">
        <f t="shared" si="90"/>
        <v>-25000</v>
      </c>
      <c r="AR45" s="884">
        <f t="shared" si="102"/>
        <v>0.18640000000000001</v>
      </c>
      <c r="AS45" s="879">
        <f t="shared" si="91"/>
        <v>-144460</v>
      </c>
      <c r="AT45" s="879"/>
      <c r="AV45" s="33">
        <f t="shared" si="92"/>
        <v>-1700900</v>
      </c>
      <c r="AW45" s="886"/>
      <c r="AY45" s="886"/>
      <c r="BB45" s="886"/>
    </row>
    <row r="46" spans="1:54" hidden="1" x14ac:dyDescent="0.2">
      <c r="A46" s="888">
        <v>26884</v>
      </c>
      <c r="B46" s="29" t="s">
        <v>738</v>
      </c>
      <c r="C46">
        <v>2001</v>
      </c>
      <c r="D46" s="29"/>
      <c r="E46" s="882">
        <v>38656</v>
      </c>
      <c r="F46" s="897">
        <v>-40000</v>
      </c>
      <c r="G46" s="883">
        <v>0.18390000000000001</v>
      </c>
      <c r="H46" s="29">
        <v>1.8599999999999998E-2</v>
      </c>
      <c r="I46" s="884">
        <f t="shared" si="65"/>
        <v>0.20250000000000001</v>
      </c>
      <c r="J46" s="885">
        <f t="shared" si="66"/>
        <v>-40000</v>
      </c>
      <c r="K46" s="884">
        <f t="shared" si="67"/>
        <v>0.18390000000000001</v>
      </c>
      <c r="L46" s="879">
        <f t="shared" si="68"/>
        <v>-228036</v>
      </c>
      <c r="M46" s="885">
        <f t="shared" si="69"/>
        <v>-40000</v>
      </c>
      <c r="N46" s="884">
        <f t="shared" si="70"/>
        <v>0.18390000000000001</v>
      </c>
      <c r="O46" s="879">
        <f t="shared" si="71"/>
        <v>-205968</v>
      </c>
      <c r="P46" s="885">
        <f t="shared" si="72"/>
        <v>-40000</v>
      </c>
      <c r="Q46" s="884">
        <f t="shared" si="93"/>
        <v>0.18390000000000001</v>
      </c>
      <c r="R46" s="879">
        <f t="shared" si="73"/>
        <v>-228036</v>
      </c>
      <c r="S46" s="885">
        <f t="shared" si="74"/>
        <v>-40000</v>
      </c>
      <c r="T46" s="884">
        <f t="shared" si="94"/>
        <v>0.18390000000000001</v>
      </c>
      <c r="U46" s="879">
        <f t="shared" si="75"/>
        <v>-220680</v>
      </c>
      <c r="V46" s="885">
        <f t="shared" si="76"/>
        <v>-40000</v>
      </c>
      <c r="W46" s="884">
        <f t="shared" si="95"/>
        <v>0.18390000000000001</v>
      </c>
      <c r="X46" s="879">
        <f t="shared" si="77"/>
        <v>-228036</v>
      </c>
      <c r="Y46" s="885">
        <f t="shared" si="78"/>
        <v>-40000</v>
      </c>
      <c r="Z46" s="884">
        <f t="shared" si="96"/>
        <v>0.18390000000000001</v>
      </c>
      <c r="AA46" s="879">
        <f t="shared" si="79"/>
        <v>-220680</v>
      </c>
      <c r="AB46" s="885">
        <f t="shared" si="80"/>
        <v>-40000</v>
      </c>
      <c r="AC46" s="884">
        <f t="shared" si="97"/>
        <v>0.18390000000000001</v>
      </c>
      <c r="AD46" s="879">
        <f t="shared" si="81"/>
        <v>-228036</v>
      </c>
      <c r="AE46" s="885">
        <f t="shared" si="82"/>
        <v>-40000</v>
      </c>
      <c r="AF46" s="884">
        <f t="shared" si="98"/>
        <v>0.18390000000000001</v>
      </c>
      <c r="AG46" s="879">
        <f t="shared" si="83"/>
        <v>-228036</v>
      </c>
      <c r="AH46" s="885">
        <f t="shared" si="84"/>
        <v>-40000</v>
      </c>
      <c r="AI46" s="884">
        <f t="shared" si="99"/>
        <v>0.18390000000000001</v>
      </c>
      <c r="AJ46" s="879">
        <f t="shared" si="85"/>
        <v>-220680</v>
      </c>
      <c r="AK46" s="885">
        <f t="shared" si="86"/>
        <v>-40000</v>
      </c>
      <c r="AL46" s="884">
        <f t="shared" si="100"/>
        <v>0.18390000000000001</v>
      </c>
      <c r="AM46" s="879">
        <f t="shared" si="87"/>
        <v>-228036</v>
      </c>
      <c r="AN46" s="885">
        <f t="shared" si="88"/>
        <v>-40000</v>
      </c>
      <c r="AO46" s="884">
        <f t="shared" si="101"/>
        <v>0.18390000000000001</v>
      </c>
      <c r="AP46" s="879">
        <f t="shared" si="89"/>
        <v>-220680</v>
      </c>
      <c r="AQ46" s="885">
        <f t="shared" si="90"/>
        <v>-40000</v>
      </c>
      <c r="AR46" s="884">
        <f t="shared" si="102"/>
        <v>0.18390000000000001</v>
      </c>
      <c r="AS46" s="879">
        <f t="shared" si="91"/>
        <v>-228036</v>
      </c>
      <c r="AT46" s="879"/>
      <c r="AV46" s="33">
        <f t="shared" si="92"/>
        <v>-2684940</v>
      </c>
      <c r="AW46" s="886"/>
      <c r="AY46" s="886"/>
      <c r="BB46" s="886"/>
    </row>
    <row r="47" spans="1:54" hidden="1" x14ac:dyDescent="0.2">
      <c r="A47" s="895" t="s">
        <v>739</v>
      </c>
      <c r="B47" s="29"/>
      <c r="D47" s="29"/>
      <c r="E47" s="882"/>
      <c r="F47" s="897"/>
      <c r="G47" s="171"/>
      <c r="H47" s="171"/>
      <c r="I47" s="884"/>
      <c r="J47" s="885"/>
      <c r="K47" s="884"/>
      <c r="L47" s="879"/>
      <c r="M47" s="885"/>
      <c r="N47" s="884"/>
      <c r="O47" s="879"/>
      <c r="P47" s="885"/>
      <c r="Q47" s="884"/>
      <c r="R47" s="879"/>
      <c r="S47" s="885"/>
      <c r="T47" s="884"/>
      <c r="U47" s="879"/>
      <c r="V47" s="885"/>
      <c r="W47" s="884"/>
      <c r="X47" s="879"/>
      <c r="Y47" s="885"/>
      <c r="Z47" s="884"/>
      <c r="AA47" s="879"/>
      <c r="AB47" s="885"/>
      <c r="AC47" s="884"/>
      <c r="AD47" s="879"/>
      <c r="AE47" s="885"/>
      <c r="AF47" s="884"/>
      <c r="AG47" s="879"/>
      <c r="AH47" s="885"/>
      <c r="AI47" s="884"/>
      <c r="AJ47" s="879"/>
      <c r="AK47" s="885"/>
      <c r="AL47" s="884"/>
      <c r="AM47" s="879"/>
      <c r="AN47" s="885"/>
      <c r="AO47" s="884"/>
      <c r="AP47" s="879"/>
      <c r="AQ47" s="885"/>
      <c r="AR47" s="884"/>
      <c r="AS47" s="879"/>
      <c r="AT47" s="879"/>
      <c r="AV47" s="33"/>
      <c r="AW47" s="886"/>
      <c r="AY47" s="886"/>
      <c r="BB47" s="886"/>
    </row>
    <row r="48" spans="1:54" hidden="1" x14ac:dyDescent="0.2">
      <c r="A48" s="888">
        <v>25071</v>
      </c>
      <c r="B48" s="29" t="s">
        <v>297</v>
      </c>
      <c r="C48">
        <v>2001</v>
      </c>
      <c r="D48" s="29"/>
      <c r="E48" s="882">
        <v>39782</v>
      </c>
      <c r="F48" s="896">
        <v>-60000</v>
      </c>
      <c r="G48" s="883">
        <v>0.15640000000000001</v>
      </c>
      <c r="H48" s="29">
        <v>1.8599999999999998E-2</v>
      </c>
      <c r="I48" s="884">
        <f>SUM(G48:H48)</f>
        <v>0.17500000000000002</v>
      </c>
      <c r="J48" s="885">
        <f>$F48</f>
        <v>-60000</v>
      </c>
      <c r="K48" s="884">
        <f>$G48</f>
        <v>0.15640000000000001</v>
      </c>
      <c r="L48" s="879">
        <f>J48*K48*L$7</f>
        <v>-290904</v>
      </c>
      <c r="M48" s="885">
        <f>$F48</f>
        <v>-60000</v>
      </c>
      <c r="N48" s="884">
        <f>$G48</f>
        <v>0.15640000000000001</v>
      </c>
      <c r="O48" s="879">
        <f>M48*N48*O$7</f>
        <v>-262752</v>
      </c>
      <c r="P48" s="885">
        <f>$F48</f>
        <v>-60000</v>
      </c>
      <c r="Q48" s="884">
        <f>$G48</f>
        <v>0.15640000000000001</v>
      </c>
      <c r="R48" s="879">
        <f>P48*Q48*R$7</f>
        <v>-290904</v>
      </c>
      <c r="S48" s="885">
        <f>$F48</f>
        <v>-60000</v>
      </c>
      <c r="T48" s="884">
        <f>$G48</f>
        <v>0.15640000000000001</v>
      </c>
      <c r="U48" s="879">
        <f>S48*T48*U$7</f>
        <v>-281520</v>
      </c>
      <c r="V48" s="885">
        <f>$F48</f>
        <v>-60000</v>
      </c>
      <c r="W48" s="884">
        <f>$G48</f>
        <v>0.15640000000000001</v>
      </c>
      <c r="X48" s="879">
        <f>V48*W48*X$7</f>
        <v>-290904</v>
      </c>
      <c r="Y48" s="885">
        <f>$F48</f>
        <v>-60000</v>
      </c>
      <c r="Z48" s="884">
        <f>$G48</f>
        <v>0.15640000000000001</v>
      </c>
      <c r="AA48" s="879">
        <f>Y48*Z48*AA$7</f>
        <v>-281520</v>
      </c>
      <c r="AB48" s="885">
        <f>$F48</f>
        <v>-60000</v>
      </c>
      <c r="AC48" s="884">
        <f>$G48</f>
        <v>0.15640000000000001</v>
      </c>
      <c r="AD48" s="879">
        <f>AB48*AC48*AD$7</f>
        <v>-290904</v>
      </c>
      <c r="AE48" s="885">
        <f>$F48</f>
        <v>-60000</v>
      </c>
      <c r="AF48" s="884">
        <f>$G48</f>
        <v>0.15640000000000001</v>
      </c>
      <c r="AG48" s="879">
        <f>AE48*AF48*AG$7</f>
        <v>-290904</v>
      </c>
      <c r="AH48" s="885">
        <f>$F48</f>
        <v>-60000</v>
      </c>
      <c r="AI48" s="884">
        <f>$G48</f>
        <v>0.15640000000000001</v>
      </c>
      <c r="AJ48" s="879">
        <f>AH48*AI48*AJ$7</f>
        <v>-281520</v>
      </c>
      <c r="AK48" s="885">
        <f>$F48</f>
        <v>-60000</v>
      </c>
      <c r="AL48" s="884">
        <f>$G48</f>
        <v>0.15640000000000001</v>
      </c>
      <c r="AM48" s="879">
        <f>AK48*AL48*AM$7</f>
        <v>-290904</v>
      </c>
      <c r="AN48" s="885">
        <f>$F48</f>
        <v>-60000</v>
      </c>
      <c r="AO48" s="884">
        <f>$G48</f>
        <v>0.15640000000000001</v>
      </c>
      <c r="AP48" s="879">
        <f>AN48*AO48*AP$7</f>
        <v>-281520</v>
      </c>
      <c r="AQ48" s="885">
        <f>$F48</f>
        <v>-60000</v>
      </c>
      <c r="AR48" s="884">
        <v>0.16139999999999999</v>
      </c>
      <c r="AS48" s="879">
        <f>AQ48*AR48*AS$7</f>
        <v>-300204</v>
      </c>
      <c r="AT48" s="879"/>
      <c r="AV48" s="33">
        <f>AS48+AP48+AM48+AJ48+AG48+AD48+AA48+X48+U48+R48+O48+L48</f>
        <v>-3434460</v>
      </c>
      <c r="AW48" s="886"/>
      <c r="AX48" s="811"/>
      <c r="AY48" s="886"/>
      <c r="BB48" s="886"/>
    </row>
    <row r="49" spans="1:54" hidden="1" x14ac:dyDescent="0.2">
      <c r="A49" s="888"/>
      <c r="B49" s="29"/>
      <c r="D49" s="29"/>
      <c r="E49" s="882"/>
      <c r="F49" s="896"/>
      <c r="G49" s="883"/>
      <c r="H49" s="29"/>
      <c r="I49" s="884"/>
      <c r="J49" s="885"/>
      <c r="K49" s="884"/>
      <c r="L49" s="879"/>
      <c r="M49" s="885"/>
      <c r="N49" s="884"/>
      <c r="O49" s="879"/>
      <c r="P49" s="885"/>
      <c r="Q49" s="884"/>
      <c r="R49" s="879"/>
      <c r="S49" s="885"/>
      <c r="T49" s="884"/>
      <c r="U49" s="879"/>
      <c r="V49" s="885"/>
      <c r="W49" s="884"/>
      <c r="X49" s="879"/>
      <c r="Y49" s="885"/>
      <c r="Z49" s="884"/>
      <c r="AA49" s="879"/>
      <c r="AB49" s="885"/>
      <c r="AC49" s="884"/>
      <c r="AD49" s="879"/>
      <c r="AE49" s="885"/>
      <c r="AF49" s="884"/>
      <c r="AG49" s="879"/>
      <c r="AH49" s="885"/>
      <c r="AI49" s="884"/>
      <c r="AJ49" s="879"/>
      <c r="AK49" s="885"/>
      <c r="AL49" s="884"/>
      <c r="AM49" s="879"/>
      <c r="AN49" s="885"/>
      <c r="AO49" s="884"/>
      <c r="AP49" s="879"/>
      <c r="AQ49" s="885"/>
      <c r="AR49" s="884"/>
      <c r="AS49" s="879"/>
      <c r="AT49" s="879"/>
      <c r="AV49" s="33"/>
      <c r="AW49" s="886"/>
      <c r="AX49" s="33">
        <f>SUM(AV15:AV48)</f>
        <v>-100102628.75</v>
      </c>
      <c r="AY49" s="886"/>
      <c r="BB49" s="886"/>
    </row>
    <row r="50" spans="1:54" hidden="1" x14ac:dyDescent="0.2">
      <c r="A50" s="895" t="s">
        <v>740</v>
      </c>
      <c r="B50" s="29"/>
      <c r="D50" s="29"/>
      <c r="E50" s="882"/>
      <c r="F50" s="897"/>
      <c r="G50" s="171"/>
      <c r="H50" s="171"/>
      <c r="I50" s="884"/>
      <c r="J50" s="885"/>
      <c r="K50" s="884"/>
      <c r="L50" s="879"/>
      <c r="M50" s="885"/>
      <c r="N50" s="884"/>
      <c r="O50" s="879"/>
      <c r="P50" s="885"/>
      <c r="Q50" s="884"/>
      <c r="R50" s="879"/>
      <c r="S50" s="885"/>
      <c r="T50" s="884"/>
      <c r="U50" s="879"/>
      <c r="V50" s="885"/>
      <c r="W50" s="884"/>
      <c r="X50" s="879"/>
      <c r="Y50" s="885"/>
      <c r="Z50" s="884"/>
      <c r="AA50" s="879"/>
      <c r="AB50" s="885"/>
      <c r="AC50" s="884"/>
      <c r="AD50" s="879"/>
      <c r="AE50" s="885"/>
      <c r="AF50" s="884"/>
      <c r="AG50" s="879"/>
      <c r="AH50" s="885"/>
      <c r="AI50" s="884"/>
      <c r="AJ50" s="879"/>
      <c r="AK50" s="885"/>
      <c r="AL50" s="884"/>
      <c r="AM50" s="879"/>
      <c r="AN50" s="885"/>
      <c r="AO50" s="884"/>
      <c r="AP50" s="879"/>
      <c r="AQ50" s="885"/>
      <c r="AR50" s="884"/>
      <c r="AS50" s="879"/>
      <c r="AT50" s="879"/>
      <c r="AV50" s="33"/>
      <c r="AW50" s="886"/>
      <c r="AY50" s="886"/>
      <c r="BB50" s="886"/>
    </row>
    <row r="51" spans="1:54" hidden="1" x14ac:dyDescent="0.2">
      <c r="A51" s="888">
        <v>20715</v>
      </c>
      <c r="B51" s="29" t="s">
        <v>285</v>
      </c>
      <c r="C51">
        <v>2001</v>
      </c>
      <c r="D51" s="29"/>
      <c r="E51" s="882">
        <v>38656</v>
      </c>
      <c r="F51" s="896">
        <v>-200000</v>
      </c>
      <c r="G51" s="883">
        <v>0.1052</v>
      </c>
      <c r="H51" s="29">
        <v>1.1000000000000001E-3</v>
      </c>
      <c r="I51" s="884">
        <f t="shared" ref="I51:I57" si="103">SUM(G51:H51)</f>
        <v>0.10630000000000001</v>
      </c>
      <c r="J51" s="885">
        <f t="shared" ref="J51:J57" si="104">$F51</f>
        <v>-200000</v>
      </c>
      <c r="K51" s="884">
        <f t="shared" ref="K51:K57" si="105">$G51</f>
        <v>0.1052</v>
      </c>
      <c r="L51" s="879">
        <f t="shared" ref="L51:L57" si="106">J51*K51*L$7</f>
        <v>-652240</v>
      </c>
      <c r="M51" s="885">
        <f t="shared" ref="M51:M57" si="107">$F51</f>
        <v>-200000</v>
      </c>
      <c r="N51" s="884">
        <f t="shared" ref="N51:N57" si="108">$G51</f>
        <v>0.1052</v>
      </c>
      <c r="O51" s="879">
        <f t="shared" ref="O51:O57" si="109">M51*N51*O$7</f>
        <v>-589120</v>
      </c>
      <c r="P51" s="885">
        <f t="shared" ref="P51:P57" si="110">$F51</f>
        <v>-200000</v>
      </c>
      <c r="Q51" s="884">
        <f t="shared" ref="Q51:Q57" si="111">$G51</f>
        <v>0.1052</v>
      </c>
      <c r="R51" s="879">
        <f t="shared" ref="R51:R57" si="112">P51*Q51*R$7</f>
        <v>-652240</v>
      </c>
      <c r="S51" s="885">
        <f t="shared" ref="S51:S57" si="113">$F51</f>
        <v>-200000</v>
      </c>
      <c r="T51" s="884">
        <f t="shared" ref="T51:T57" si="114">$G51</f>
        <v>0.1052</v>
      </c>
      <c r="U51" s="879">
        <f t="shared" ref="U51:U57" si="115">S51*T51*U$7</f>
        <v>-631200</v>
      </c>
      <c r="V51" s="885">
        <f t="shared" ref="V51:V57" si="116">$F51</f>
        <v>-200000</v>
      </c>
      <c r="W51" s="884">
        <f t="shared" ref="W51:W57" si="117">$G51</f>
        <v>0.1052</v>
      </c>
      <c r="X51" s="879">
        <f t="shared" ref="X51:X57" si="118">V51*W51*X$7</f>
        <v>-652240</v>
      </c>
      <c r="Y51" s="885">
        <f t="shared" ref="Y51:Y57" si="119">$F51</f>
        <v>-200000</v>
      </c>
      <c r="Z51" s="884">
        <f t="shared" ref="Z51:Z57" si="120">$G51</f>
        <v>0.1052</v>
      </c>
      <c r="AA51" s="879">
        <f t="shared" ref="AA51:AA57" si="121">Y51*Z51*AA$7</f>
        <v>-631200</v>
      </c>
      <c r="AB51" s="885">
        <f t="shared" ref="AB51:AB57" si="122">$F51</f>
        <v>-200000</v>
      </c>
      <c r="AC51" s="884">
        <f t="shared" ref="AC51:AC57" si="123">$G51</f>
        <v>0.1052</v>
      </c>
      <c r="AD51" s="879">
        <f t="shared" ref="AD51:AD57" si="124">AB51*AC51*AD$7</f>
        <v>-652240</v>
      </c>
      <c r="AE51" s="885">
        <f t="shared" ref="AE51:AE57" si="125">$F51</f>
        <v>-200000</v>
      </c>
      <c r="AF51" s="884">
        <f t="shared" ref="AF51:AF57" si="126">$G51</f>
        <v>0.1052</v>
      </c>
      <c r="AG51" s="879">
        <f t="shared" ref="AG51:AG57" si="127">AE51*AF51*AG$7</f>
        <v>-652240</v>
      </c>
      <c r="AH51" s="885">
        <f t="shared" ref="AH51:AH57" si="128">$F51</f>
        <v>-200000</v>
      </c>
      <c r="AI51" s="884">
        <f t="shared" ref="AI51:AI57" si="129">$G51</f>
        <v>0.1052</v>
      </c>
      <c r="AJ51" s="879">
        <f t="shared" ref="AJ51:AJ57" si="130">AH51*AI51*AJ$7</f>
        <v>-631200</v>
      </c>
      <c r="AK51" s="885">
        <f t="shared" ref="AK51:AK57" si="131">$F51</f>
        <v>-200000</v>
      </c>
      <c r="AL51" s="884">
        <f t="shared" ref="AL51:AL57" si="132">$G51</f>
        <v>0.1052</v>
      </c>
      <c r="AM51" s="879">
        <f t="shared" ref="AM51:AM57" si="133">AK51*AL51*AM$7</f>
        <v>-652240</v>
      </c>
      <c r="AN51" s="885">
        <f t="shared" ref="AN51:AN57" si="134">$F51</f>
        <v>-200000</v>
      </c>
      <c r="AO51" s="884">
        <f t="shared" ref="AO51:AO57" si="135">$G51+0.0022</f>
        <v>0.1074</v>
      </c>
      <c r="AP51" s="879">
        <f t="shared" ref="AP51:AP57" si="136">AN51*AO51*AP$7</f>
        <v>-644400</v>
      </c>
      <c r="AQ51" s="885">
        <f t="shared" ref="AQ51:AQ57" si="137">$F51</f>
        <v>-200000</v>
      </c>
      <c r="AR51" s="884">
        <f t="shared" ref="AR51:AR57" si="138">$G51+0.0022</f>
        <v>0.1074</v>
      </c>
      <c r="AS51" s="879">
        <f t="shared" ref="AS51:AS57" si="139">AQ51*AR51*AS$7</f>
        <v>-665880</v>
      </c>
      <c r="AT51" s="879"/>
      <c r="AV51" s="33">
        <f t="shared" ref="AV51:AV57" si="140">AS51+AP51+AM51+AJ51+AG51+AD51+AA51+X51+U51+R51+O51+L51</f>
        <v>-7706440</v>
      </c>
      <c r="AW51" s="886"/>
      <c r="AY51" s="886"/>
      <c r="BB51" s="886"/>
    </row>
    <row r="52" spans="1:54" hidden="1" x14ac:dyDescent="0.2">
      <c r="A52" s="888">
        <v>20834</v>
      </c>
      <c r="B52" s="29" t="s">
        <v>732</v>
      </c>
      <c r="C52">
        <v>2001</v>
      </c>
      <c r="D52" s="29"/>
      <c r="E52" s="882">
        <v>39141</v>
      </c>
      <c r="F52" s="896">
        <v>-25000</v>
      </c>
      <c r="G52" s="883">
        <v>0.1052</v>
      </c>
      <c r="H52" s="29">
        <v>1.1000000000000001E-3</v>
      </c>
      <c r="I52" s="884">
        <f t="shared" si="103"/>
        <v>0.10630000000000001</v>
      </c>
      <c r="J52" s="885">
        <f t="shared" si="104"/>
        <v>-25000</v>
      </c>
      <c r="K52" s="884">
        <f t="shared" si="105"/>
        <v>0.1052</v>
      </c>
      <c r="L52" s="879">
        <f t="shared" si="106"/>
        <v>-81530</v>
      </c>
      <c r="M52" s="885">
        <f t="shared" si="107"/>
        <v>-25000</v>
      </c>
      <c r="N52" s="884">
        <f t="shared" si="108"/>
        <v>0.1052</v>
      </c>
      <c r="O52" s="879">
        <f t="shared" si="109"/>
        <v>-73640</v>
      </c>
      <c r="P52" s="885">
        <f t="shared" si="110"/>
        <v>-25000</v>
      </c>
      <c r="Q52" s="884">
        <f t="shared" si="111"/>
        <v>0.1052</v>
      </c>
      <c r="R52" s="879">
        <f t="shared" si="112"/>
        <v>-81530</v>
      </c>
      <c r="S52" s="885">
        <f t="shared" si="113"/>
        <v>-25000</v>
      </c>
      <c r="T52" s="884">
        <f t="shared" si="114"/>
        <v>0.1052</v>
      </c>
      <c r="U52" s="879">
        <f t="shared" si="115"/>
        <v>-78900</v>
      </c>
      <c r="V52" s="885">
        <f t="shared" si="116"/>
        <v>-25000</v>
      </c>
      <c r="W52" s="884">
        <f t="shared" si="117"/>
        <v>0.1052</v>
      </c>
      <c r="X52" s="879">
        <f t="shared" si="118"/>
        <v>-81530</v>
      </c>
      <c r="Y52" s="885">
        <f t="shared" si="119"/>
        <v>-25000</v>
      </c>
      <c r="Z52" s="884">
        <f t="shared" si="120"/>
        <v>0.1052</v>
      </c>
      <c r="AA52" s="879">
        <f t="shared" si="121"/>
        <v>-78900</v>
      </c>
      <c r="AB52" s="885">
        <f t="shared" si="122"/>
        <v>-25000</v>
      </c>
      <c r="AC52" s="884">
        <f t="shared" si="123"/>
        <v>0.1052</v>
      </c>
      <c r="AD52" s="879">
        <f t="shared" si="124"/>
        <v>-81530</v>
      </c>
      <c r="AE52" s="885">
        <f t="shared" si="125"/>
        <v>-25000</v>
      </c>
      <c r="AF52" s="884">
        <f t="shared" si="126"/>
        <v>0.1052</v>
      </c>
      <c r="AG52" s="879">
        <f t="shared" si="127"/>
        <v>-81530</v>
      </c>
      <c r="AH52" s="885">
        <f t="shared" si="128"/>
        <v>-25000</v>
      </c>
      <c r="AI52" s="884">
        <f t="shared" si="129"/>
        <v>0.1052</v>
      </c>
      <c r="AJ52" s="879">
        <f t="shared" si="130"/>
        <v>-78900</v>
      </c>
      <c r="AK52" s="885">
        <f t="shared" si="131"/>
        <v>-25000</v>
      </c>
      <c r="AL52" s="884">
        <f t="shared" si="132"/>
        <v>0.1052</v>
      </c>
      <c r="AM52" s="879">
        <f t="shared" si="133"/>
        <v>-81530</v>
      </c>
      <c r="AN52" s="885">
        <f t="shared" si="134"/>
        <v>-25000</v>
      </c>
      <c r="AO52" s="884">
        <f t="shared" si="135"/>
        <v>0.1074</v>
      </c>
      <c r="AP52" s="879">
        <f t="shared" si="136"/>
        <v>-80550</v>
      </c>
      <c r="AQ52" s="885">
        <f t="shared" si="137"/>
        <v>-25000</v>
      </c>
      <c r="AR52" s="884">
        <f t="shared" si="138"/>
        <v>0.1074</v>
      </c>
      <c r="AS52" s="879">
        <f t="shared" si="139"/>
        <v>-83235</v>
      </c>
      <c r="AT52" s="879"/>
      <c r="AV52" s="33">
        <f t="shared" si="140"/>
        <v>-963305</v>
      </c>
      <c r="AW52" s="886"/>
      <c r="AY52" s="886"/>
      <c r="BB52" s="886"/>
    </row>
    <row r="53" spans="1:54" hidden="1" x14ac:dyDescent="0.2">
      <c r="A53" s="888">
        <v>20835</v>
      </c>
      <c r="B53" s="29" t="s">
        <v>293</v>
      </c>
      <c r="C53">
        <v>2001</v>
      </c>
      <c r="D53" s="29"/>
      <c r="E53" s="882">
        <v>37315</v>
      </c>
      <c r="F53" s="896">
        <v>-20000</v>
      </c>
      <c r="G53" s="883">
        <v>0.1052</v>
      </c>
      <c r="H53" s="29">
        <v>1.1000000000000001E-3</v>
      </c>
      <c r="I53" s="884">
        <f t="shared" si="103"/>
        <v>0.10630000000000001</v>
      </c>
      <c r="J53" s="885">
        <f t="shared" si="104"/>
        <v>-20000</v>
      </c>
      <c r="K53" s="884">
        <f t="shared" si="105"/>
        <v>0.1052</v>
      </c>
      <c r="L53" s="879">
        <f t="shared" si="106"/>
        <v>-65224</v>
      </c>
      <c r="M53" s="885">
        <f t="shared" si="107"/>
        <v>-20000</v>
      </c>
      <c r="N53" s="884">
        <f t="shared" si="108"/>
        <v>0.1052</v>
      </c>
      <c r="O53" s="879">
        <f t="shared" si="109"/>
        <v>-58912</v>
      </c>
      <c r="P53" s="885">
        <f t="shared" si="110"/>
        <v>-20000</v>
      </c>
      <c r="Q53" s="884">
        <f t="shared" si="111"/>
        <v>0.1052</v>
      </c>
      <c r="R53" s="879">
        <f t="shared" si="112"/>
        <v>-65224</v>
      </c>
      <c r="S53" s="885">
        <f t="shared" si="113"/>
        <v>-20000</v>
      </c>
      <c r="T53" s="884">
        <f t="shared" si="114"/>
        <v>0.1052</v>
      </c>
      <c r="U53" s="879">
        <f t="shared" si="115"/>
        <v>-63120</v>
      </c>
      <c r="V53" s="885">
        <f t="shared" si="116"/>
        <v>-20000</v>
      </c>
      <c r="W53" s="884">
        <f t="shared" si="117"/>
        <v>0.1052</v>
      </c>
      <c r="X53" s="879">
        <f t="shared" si="118"/>
        <v>-65224</v>
      </c>
      <c r="Y53" s="885">
        <f t="shared" si="119"/>
        <v>-20000</v>
      </c>
      <c r="Z53" s="884">
        <f t="shared" si="120"/>
        <v>0.1052</v>
      </c>
      <c r="AA53" s="879">
        <f t="shared" si="121"/>
        <v>-63120</v>
      </c>
      <c r="AB53" s="885">
        <f t="shared" si="122"/>
        <v>-20000</v>
      </c>
      <c r="AC53" s="884">
        <f t="shared" si="123"/>
        <v>0.1052</v>
      </c>
      <c r="AD53" s="879">
        <f t="shared" si="124"/>
        <v>-65224</v>
      </c>
      <c r="AE53" s="885">
        <f t="shared" si="125"/>
        <v>-20000</v>
      </c>
      <c r="AF53" s="884">
        <f t="shared" si="126"/>
        <v>0.1052</v>
      </c>
      <c r="AG53" s="879">
        <f t="shared" si="127"/>
        <v>-65224</v>
      </c>
      <c r="AH53" s="885">
        <f t="shared" si="128"/>
        <v>-20000</v>
      </c>
      <c r="AI53" s="884">
        <f t="shared" si="129"/>
        <v>0.1052</v>
      </c>
      <c r="AJ53" s="879">
        <f t="shared" si="130"/>
        <v>-63120</v>
      </c>
      <c r="AK53" s="885">
        <f t="shared" si="131"/>
        <v>-20000</v>
      </c>
      <c r="AL53" s="884">
        <f t="shared" si="132"/>
        <v>0.1052</v>
      </c>
      <c r="AM53" s="879">
        <f t="shared" si="133"/>
        <v>-65224</v>
      </c>
      <c r="AN53" s="885">
        <f t="shared" si="134"/>
        <v>-20000</v>
      </c>
      <c r="AO53" s="884">
        <f t="shared" si="135"/>
        <v>0.1074</v>
      </c>
      <c r="AP53" s="879">
        <f t="shared" si="136"/>
        <v>-64440</v>
      </c>
      <c r="AQ53" s="885">
        <f t="shared" si="137"/>
        <v>-20000</v>
      </c>
      <c r="AR53" s="884">
        <f t="shared" si="138"/>
        <v>0.1074</v>
      </c>
      <c r="AS53" s="879">
        <f t="shared" si="139"/>
        <v>-66588</v>
      </c>
      <c r="AT53" s="879"/>
      <c r="AV53" s="33">
        <f t="shared" si="140"/>
        <v>-770644</v>
      </c>
      <c r="AW53" s="886"/>
      <c r="AY53" s="886"/>
      <c r="BB53" s="886"/>
    </row>
    <row r="54" spans="1:54" hidden="1" x14ac:dyDescent="0.2">
      <c r="A54" s="888">
        <v>26677</v>
      </c>
      <c r="B54" s="29" t="s">
        <v>733</v>
      </c>
      <c r="C54">
        <v>2001</v>
      </c>
      <c r="D54" s="29"/>
      <c r="E54" s="882">
        <v>39172</v>
      </c>
      <c r="F54" s="896">
        <v>-25000</v>
      </c>
      <c r="G54" s="883">
        <v>0.1052</v>
      </c>
      <c r="H54" s="29">
        <v>1.1000000000000001E-3</v>
      </c>
      <c r="I54" s="884">
        <f t="shared" si="103"/>
        <v>0.10630000000000001</v>
      </c>
      <c r="J54" s="885">
        <f t="shared" si="104"/>
        <v>-25000</v>
      </c>
      <c r="K54" s="884">
        <f t="shared" si="105"/>
        <v>0.1052</v>
      </c>
      <c r="L54" s="879">
        <f t="shared" si="106"/>
        <v>-81530</v>
      </c>
      <c r="M54" s="885">
        <f t="shared" si="107"/>
        <v>-25000</v>
      </c>
      <c r="N54" s="884">
        <f t="shared" si="108"/>
        <v>0.1052</v>
      </c>
      <c r="O54" s="879">
        <f t="shared" si="109"/>
        <v>-73640</v>
      </c>
      <c r="P54" s="885">
        <f t="shared" si="110"/>
        <v>-25000</v>
      </c>
      <c r="Q54" s="884">
        <f t="shared" si="111"/>
        <v>0.1052</v>
      </c>
      <c r="R54" s="879">
        <f t="shared" si="112"/>
        <v>-81530</v>
      </c>
      <c r="S54" s="885">
        <f t="shared" si="113"/>
        <v>-25000</v>
      </c>
      <c r="T54" s="884">
        <f t="shared" si="114"/>
        <v>0.1052</v>
      </c>
      <c r="U54" s="879">
        <f t="shared" si="115"/>
        <v>-78900</v>
      </c>
      <c r="V54" s="885">
        <f t="shared" si="116"/>
        <v>-25000</v>
      </c>
      <c r="W54" s="884">
        <f t="shared" si="117"/>
        <v>0.1052</v>
      </c>
      <c r="X54" s="879">
        <f t="shared" si="118"/>
        <v>-81530</v>
      </c>
      <c r="Y54" s="885">
        <f t="shared" si="119"/>
        <v>-25000</v>
      </c>
      <c r="Z54" s="884">
        <f t="shared" si="120"/>
        <v>0.1052</v>
      </c>
      <c r="AA54" s="879">
        <f t="shared" si="121"/>
        <v>-78900</v>
      </c>
      <c r="AB54" s="885">
        <f t="shared" si="122"/>
        <v>-25000</v>
      </c>
      <c r="AC54" s="884">
        <f t="shared" si="123"/>
        <v>0.1052</v>
      </c>
      <c r="AD54" s="879">
        <f t="shared" si="124"/>
        <v>-81530</v>
      </c>
      <c r="AE54" s="885">
        <f t="shared" si="125"/>
        <v>-25000</v>
      </c>
      <c r="AF54" s="884">
        <f t="shared" si="126"/>
        <v>0.1052</v>
      </c>
      <c r="AG54" s="879">
        <f t="shared" si="127"/>
        <v>-81530</v>
      </c>
      <c r="AH54" s="885">
        <f t="shared" si="128"/>
        <v>-25000</v>
      </c>
      <c r="AI54" s="884">
        <f t="shared" si="129"/>
        <v>0.1052</v>
      </c>
      <c r="AJ54" s="879">
        <f t="shared" si="130"/>
        <v>-78900</v>
      </c>
      <c r="AK54" s="885">
        <f t="shared" si="131"/>
        <v>-25000</v>
      </c>
      <c r="AL54" s="884">
        <f t="shared" si="132"/>
        <v>0.1052</v>
      </c>
      <c r="AM54" s="879">
        <f t="shared" si="133"/>
        <v>-81530</v>
      </c>
      <c r="AN54" s="885">
        <f t="shared" si="134"/>
        <v>-25000</v>
      </c>
      <c r="AO54" s="884">
        <f t="shared" si="135"/>
        <v>0.1074</v>
      </c>
      <c r="AP54" s="879">
        <f t="shared" si="136"/>
        <v>-80550</v>
      </c>
      <c r="AQ54" s="885">
        <f t="shared" si="137"/>
        <v>-25000</v>
      </c>
      <c r="AR54" s="884">
        <f t="shared" si="138"/>
        <v>0.1074</v>
      </c>
      <c r="AS54" s="879">
        <f t="shared" si="139"/>
        <v>-83235</v>
      </c>
      <c r="AT54" s="879"/>
      <c r="AV54" s="33">
        <f t="shared" si="140"/>
        <v>-963305</v>
      </c>
      <c r="AW54" s="886"/>
      <c r="AY54" s="886"/>
      <c r="BB54" s="886"/>
    </row>
    <row r="55" spans="1:54" hidden="1" x14ac:dyDescent="0.2">
      <c r="A55" s="888">
        <v>26371</v>
      </c>
      <c r="B55" s="29" t="s">
        <v>734</v>
      </c>
      <c r="C55">
        <v>2001</v>
      </c>
      <c r="D55" s="29"/>
      <c r="E55" s="882">
        <v>39172</v>
      </c>
      <c r="F55" s="896">
        <v>-25000</v>
      </c>
      <c r="G55" s="883">
        <v>0.1052</v>
      </c>
      <c r="H55" s="29">
        <v>1.1000000000000001E-3</v>
      </c>
      <c r="I55" s="884">
        <f t="shared" si="103"/>
        <v>0.10630000000000001</v>
      </c>
      <c r="J55" s="885">
        <f t="shared" si="104"/>
        <v>-25000</v>
      </c>
      <c r="K55" s="884">
        <f t="shared" si="105"/>
        <v>0.1052</v>
      </c>
      <c r="L55" s="879">
        <f t="shared" si="106"/>
        <v>-81530</v>
      </c>
      <c r="M55" s="885">
        <f t="shared" si="107"/>
        <v>-25000</v>
      </c>
      <c r="N55" s="884">
        <f t="shared" si="108"/>
        <v>0.1052</v>
      </c>
      <c r="O55" s="879">
        <f t="shared" si="109"/>
        <v>-73640</v>
      </c>
      <c r="P55" s="885">
        <f t="shared" si="110"/>
        <v>-25000</v>
      </c>
      <c r="Q55" s="884">
        <f t="shared" si="111"/>
        <v>0.1052</v>
      </c>
      <c r="R55" s="879">
        <f t="shared" si="112"/>
        <v>-81530</v>
      </c>
      <c r="S55" s="885">
        <f t="shared" si="113"/>
        <v>-25000</v>
      </c>
      <c r="T55" s="884">
        <f t="shared" si="114"/>
        <v>0.1052</v>
      </c>
      <c r="U55" s="879">
        <f t="shared" si="115"/>
        <v>-78900</v>
      </c>
      <c r="V55" s="885">
        <f t="shared" si="116"/>
        <v>-25000</v>
      </c>
      <c r="W55" s="884">
        <f t="shared" si="117"/>
        <v>0.1052</v>
      </c>
      <c r="X55" s="879">
        <f t="shared" si="118"/>
        <v>-81530</v>
      </c>
      <c r="Y55" s="885">
        <f t="shared" si="119"/>
        <v>-25000</v>
      </c>
      <c r="Z55" s="884">
        <f t="shared" si="120"/>
        <v>0.1052</v>
      </c>
      <c r="AA55" s="879">
        <f t="shared" si="121"/>
        <v>-78900</v>
      </c>
      <c r="AB55" s="885">
        <f t="shared" si="122"/>
        <v>-25000</v>
      </c>
      <c r="AC55" s="884">
        <f t="shared" si="123"/>
        <v>0.1052</v>
      </c>
      <c r="AD55" s="879">
        <f t="shared" si="124"/>
        <v>-81530</v>
      </c>
      <c r="AE55" s="885">
        <f t="shared" si="125"/>
        <v>-25000</v>
      </c>
      <c r="AF55" s="884">
        <f t="shared" si="126"/>
        <v>0.1052</v>
      </c>
      <c r="AG55" s="879">
        <f t="shared" si="127"/>
        <v>-81530</v>
      </c>
      <c r="AH55" s="885">
        <f t="shared" si="128"/>
        <v>-25000</v>
      </c>
      <c r="AI55" s="884">
        <f t="shared" si="129"/>
        <v>0.1052</v>
      </c>
      <c r="AJ55" s="879">
        <f t="shared" si="130"/>
        <v>-78900</v>
      </c>
      <c r="AK55" s="885">
        <f t="shared" si="131"/>
        <v>-25000</v>
      </c>
      <c r="AL55" s="884">
        <f t="shared" si="132"/>
        <v>0.1052</v>
      </c>
      <c r="AM55" s="879">
        <f t="shared" si="133"/>
        <v>-81530</v>
      </c>
      <c r="AN55" s="885">
        <f t="shared" si="134"/>
        <v>-25000</v>
      </c>
      <c r="AO55" s="884">
        <f t="shared" si="135"/>
        <v>0.1074</v>
      </c>
      <c r="AP55" s="879">
        <f t="shared" si="136"/>
        <v>-80550</v>
      </c>
      <c r="AQ55" s="885">
        <f t="shared" si="137"/>
        <v>-25000</v>
      </c>
      <c r="AR55" s="884">
        <f t="shared" si="138"/>
        <v>0.1074</v>
      </c>
      <c r="AS55" s="879">
        <f t="shared" si="139"/>
        <v>-83235</v>
      </c>
      <c r="AT55" s="879"/>
      <c r="AV55" s="33">
        <f t="shared" si="140"/>
        <v>-963305</v>
      </c>
      <c r="AW55" s="886"/>
      <c r="AY55" s="886"/>
      <c r="BB55" s="886"/>
    </row>
    <row r="56" spans="1:54" hidden="1" x14ac:dyDescent="0.2">
      <c r="A56" s="888">
        <v>21175</v>
      </c>
      <c r="B56" s="29" t="s">
        <v>286</v>
      </c>
      <c r="C56">
        <v>2001</v>
      </c>
      <c r="D56" s="29"/>
      <c r="E56" s="882">
        <v>39172</v>
      </c>
      <c r="F56" s="896">
        <v>-150000</v>
      </c>
      <c r="G56" s="883">
        <v>0.1052</v>
      </c>
      <c r="H56" s="29">
        <v>1.1000000000000001E-3</v>
      </c>
      <c r="I56" s="884">
        <f t="shared" si="103"/>
        <v>0.10630000000000001</v>
      </c>
      <c r="J56" s="885">
        <f t="shared" si="104"/>
        <v>-150000</v>
      </c>
      <c r="K56" s="884">
        <f t="shared" si="105"/>
        <v>0.1052</v>
      </c>
      <c r="L56" s="879">
        <f t="shared" si="106"/>
        <v>-489180</v>
      </c>
      <c r="M56" s="885">
        <f t="shared" si="107"/>
        <v>-150000</v>
      </c>
      <c r="N56" s="884">
        <f t="shared" si="108"/>
        <v>0.1052</v>
      </c>
      <c r="O56" s="879">
        <f t="shared" si="109"/>
        <v>-441840</v>
      </c>
      <c r="P56" s="885">
        <f t="shared" si="110"/>
        <v>-150000</v>
      </c>
      <c r="Q56" s="884">
        <f t="shared" si="111"/>
        <v>0.1052</v>
      </c>
      <c r="R56" s="879">
        <f t="shared" si="112"/>
        <v>-489180</v>
      </c>
      <c r="S56" s="885">
        <f t="shared" si="113"/>
        <v>-150000</v>
      </c>
      <c r="T56" s="884">
        <f t="shared" si="114"/>
        <v>0.1052</v>
      </c>
      <c r="U56" s="879">
        <f t="shared" si="115"/>
        <v>-473400</v>
      </c>
      <c r="V56" s="885">
        <f t="shared" si="116"/>
        <v>-150000</v>
      </c>
      <c r="W56" s="884">
        <f t="shared" si="117"/>
        <v>0.1052</v>
      </c>
      <c r="X56" s="879">
        <f t="shared" si="118"/>
        <v>-489180</v>
      </c>
      <c r="Y56" s="885">
        <f t="shared" si="119"/>
        <v>-150000</v>
      </c>
      <c r="Z56" s="884">
        <f t="shared" si="120"/>
        <v>0.1052</v>
      </c>
      <c r="AA56" s="879">
        <f t="shared" si="121"/>
        <v>-473400</v>
      </c>
      <c r="AB56" s="885">
        <f t="shared" si="122"/>
        <v>-150000</v>
      </c>
      <c r="AC56" s="884">
        <f t="shared" si="123"/>
        <v>0.1052</v>
      </c>
      <c r="AD56" s="879">
        <f t="shared" si="124"/>
        <v>-489180</v>
      </c>
      <c r="AE56" s="885">
        <f t="shared" si="125"/>
        <v>-150000</v>
      </c>
      <c r="AF56" s="884">
        <f t="shared" si="126"/>
        <v>0.1052</v>
      </c>
      <c r="AG56" s="879">
        <f t="shared" si="127"/>
        <v>-489180</v>
      </c>
      <c r="AH56" s="885">
        <f t="shared" si="128"/>
        <v>-150000</v>
      </c>
      <c r="AI56" s="884">
        <f t="shared" si="129"/>
        <v>0.1052</v>
      </c>
      <c r="AJ56" s="879">
        <f t="shared" si="130"/>
        <v>-473400</v>
      </c>
      <c r="AK56" s="885">
        <f t="shared" si="131"/>
        <v>-150000</v>
      </c>
      <c r="AL56" s="884">
        <f t="shared" si="132"/>
        <v>0.1052</v>
      </c>
      <c r="AM56" s="879">
        <f t="shared" si="133"/>
        <v>-489180</v>
      </c>
      <c r="AN56" s="885">
        <f t="shared" si="134"/>
        <v>-150000</v>
      </c>
      <c r="AO56" s="884">
        <f t="shared" si="135"/>
        <v>0.1074</v>
      </c>
      <c r="AP56" s="879">
        <f t="shared" si="136"/>
        <v>-483300</v>
      </c>
      <c r="AQ56" s="885">
        <f t="shared" si="137"/>
        <v>-150000</v>
      </c>
      <c r="AR56" s="884">
        <f t="shared" si="138"/>
        <v>0.1074</v>
      </c>
      <c r="AS56" s="879">
        <f t="shared" si="139"/>
        <v>-499410</v>
      </c>
      <c r="AT56" s="879"/>
      <c r="AV56" s="33">
        <f t="shared" si="140"/>
        <v>-5779830</v>
      </c>
      <c r="AW56" s="886"/>
      <c r="AY56" s="886"/>
      <c r="BB56" s="886"/>
    </row>
    <row r="57" spans="1:54" hidden="1" x14ac:dyDescent="0.2">
      <c r="A57" s="888">
        <v>21375</v>
      </c>
      <c r="B57" s="29" t="s">
        <v>301</v>
      </c>
      <c r="C57">
        <v>2001</v>
      </c>
      <c r="D57" s="29"/>
      <c r="E57" s="882">
        <v>39141</v>
      </c>
      <c r="F57" s="896">
        <v>-20000</v>
      </c>
      <c r="G57" s="883">
        <v>0.1052</v>
      </c>
      <c r="H57" s="29">
        <v>1.1000000000000001E-3</v>
      </c>
      <c r="I57" s="884">
        <f t="shared" si="103"/>
        <v>0.10630000000000001</v>
      </c>
      <c r="J57" s="885">
        <f t="shared" si="104"/>
        <v>-20000</v>
      </c>
      <c r="K57" s="884">
        <f t="shared" si="105"/>
        <v>0.1052</v>
      </c>
      <c r="L57" s="879">
        <f t="shared" si="106"/>
        <v>-65224</v>
      </c>
      <c r="M57" s="885">
        <f t="shared" si="107"/>
        <v>-20000</v>
      </c>
      <c r="N57" s="884">
        <f t="shared" si="108"/>
        <v>0.1052</v>
      </c>
      <c r="O57" s="879">
        <f t="shared" si="109"/>
        <v>-58912</v>
      </c>
      <c r="P57" s="885">
        <f t="shared" si="110"/>
        <v>-20000</v>
      </c>
      <c r="Q57" s="884">
        <f t="shared" si="111"/>
        <v>0.1052</v>
      </c>
      <c r="R57" s="879">
        <f t="shared" si="112"/>
        <v>-65224</v>
      </c>
      <c r="S57" s="885">
        <f t="shared" si="113"/>
        <v>-20000</v>
      </c>
      <c r="T57" s="884">
        <f t="shared" si="114"/>
        <v>0.1052</v>
      </c>
      <c r="U57" s="879">
        <f t="shared" si="115"/>
        <v>-63120</v>
      </c>
      <c r="V57" s="885">
        <f t="shared" si="116"/>
        <v>-20000</v>
      </c>
      <c r="W57" s="884">
        <f t="shared" si="117"/>
        <v>0.1052</v>
      </c>
      <c r="X57" s="879">
        <f t="shared" si="118"/>
        <v>-65224</v>
      </c>
      <c r="Y57" s="885">
        <f t="shared" si="119"/>
        <v>-20000</v>
      </c>
      <c r="Z57" s="884">
        <f t="shared" si="120"/>
        <v>0.1052</v>
      </c>
      <c r="AA57" s="879">
        <f t="shared" si="121"/>
        <v>-63120</v>
      </c>
      <c r="AB57" s="885">
        <f t="shared" si="122"/>
        <v>-20000</v>
      </c>
      <c r="AC57" s="884">
        <f t="shared" si="123"/>
        <v>0.1052</v>
      </c>
      <c r="AD57" s="879">
        <f t="shared" si="124"/>
        <v>-65224</v>
      </c>
      <c r="AE57" s="885">
        <f t="shared" si="125"/>
        <v>-20000</v>
      </c>
      <c r="AF57" s="884">
        <f t="shared" si="126"/>
        <v>0.1052</v>
      </c>
      <c r="AG57" s="879">
        <f t="shared" si="127"/>
        <v>-65224</v>
      </c>
      <c r="AH57" s="885">
        <f t="shared" si="128"/>
        <v>-20000</v>
      </c>
      <c r="AI57" s="884">
        <f t="shared" si="129"/>
        <v>0.1052</v>
      </c>
      <c r="AJ57" s="879">
        <f t="shared" si="130"/>
        <v>-63120</v>
      </c>
      <c r="AK57" s="885">
        <f t="shared" si="131"/>
        <v>-20000</v>
      </c>
      <c r="AL57" s="884">
        <f t="shared" si="132"/>
        <v>0.1052</v>
      </c>
      <c r="AM57" s="879">
        <f t="shared" si="133"/>
        <v>-65224</v>
      </c>
      <c r="AN57" s="885">
        <f t="shared" si="134"/>
        <v>-20000</v>
      </c>
      <c r="AO57" s="884">
        <f t="shared" si="135"/>
        <v>0.1074</v>
      </c>
      <c r="AP57" s="879">
        <f t="shared" si="136"/>
        <v>-64440</v>
      </c>
      <c r="AQ57" s="885">
        <f t="shared" si="137"/>
        <v>-20000</v>
      </c>
      <c r="AR57" s="884">
        <f t="shared" si="138"/>
        <v>0.1074</v>
      </c>
      <c r="AS57" s="879">
        <f t="shared" si="139"/>
        <v>-66588</v>
      </c>
      <c r="AT57" s="879"/>
      <c r="AV57" s="33">
        <f t="shared" si="140"/>
        <v>-770644</v>
      </c>
      <c r="AW57" s="886"/>
      <c r="AX57" s="811"/>
      <c r="AY57" s="886"/>
      <c r="BB57" s="886"/>
    </row>
    <row r="58" spans="1:54" hidden="1" x14ac:dyDescent="0.2">
      <c r="A58" s="888"/>
      <c r="B58" s="29"/>
      <c r="D58" s="29"/>
      <c r="E58" s="882"/>
      <c r="F58" s="897"/>
      <c r="G58" s="171"/>
      <c r="H58" s="171"/>
      <c r="I58" s="884"/>
      <c r="J58" s="885"/>
      <c r="K58" s="884"/>
      <c r="L58" s="879"/>
      <c r="M58" s="885"/>
      <c r="N58" s="884"/>
      <c r="O58" s="879"/>
      <c r="P58" s="885"/>
      <c r="Q58" s="884"/>
      <c r="R58" s="879"/>
      <c r="S58" s="885"/>
      <c r="T58" s="884"/>
      <c r="U58" s="879"/>
      <c r="V58" s="885"/>
      <c r="W58" s="884"/>
      <c r="X58" s="879"/>
      <c r="Y58" s="885"/>
      <c r="Z58" s="884"/>
      <c r="AA58" s="879"/>
      <c r="AB58" s="885"/>
      <c r="AC58" s="884"/>
      <c r="AD58" s="879"/>
      <c r="AE58" s="885"/>
      <c r="AF58" s="884"/>
      <c r="AG58" s="879"/>
      <c r="AH58" s="885"/>
      <c r="AI58" s="884"/>
      <c r="AJ58" s="879"/>
      <c r="AK58" s="885"/>
      <c r="AL58" s="884"/>
      <c r="AM58" s="879"/>
      <c r="AN58" s="885"/>
      <c r="AO58" s="884"/>
      <c r="AP58" s="879"/>
      <c r="AQ58" s="885"/>
      <c r="AR58" s="884"/>
      <c r="AS58" s="879"/>
      <c r="AT58" s="879"/>
      <c r="AV58" s="33"/>
      <c r="AW58" s="886"/>
      <c r="AX58" s="33">
        <f>SUM(AV51:AV57)</f>
        <v>-17917473</v>
      </c>
      <c r="AY58" s="886"/>
      <c r="BB58" s="886"/>
    </row>
    <row r="59" spans="1:54" hidden="1" x14ac:dyDescent="0.2">
      <c r="A59" s="504"/>
      <c r="B59" s="504"/>
      <c r="D59" s="489"/>
      <c r="E59" s="489"/>
      <c r="F59" s="817"/>
      <c r="G59" s="171"/>
      <c r="H59" s="171"/>
      <c r="I59" s="884"/>
      <c r="J59" s="885"/>
      <c r="K59" s="884"/>
      <c r="L59" s="898"/>
      <c r="M59" s="885"/>
      <c r="N59" s="884"/>
      <c r="O59" s="879"/>
      <c r="P59" s="885"/>
      <c r="Q59" s="884"/>
      <c r="R59" s="879"/>
      <c r="S59" s="885"/>
      <c r="T59" s="884"/>
      <c r="U59" s="879"/>
      <c r="V59" s="885"/>
      <c r="W59" s="884"/>
      <c r="X59" s="879"/>
      <c r="Y59" s="885"/>
      <c r="Z59" s="884"/>
      <c r="AA59" s="879"/>
      <c r="AB59" s="885"/>
      <c r="AC59" s="884"/>
      <c r="AD59" s="879"/>
      <c r="AE59" s="885"/>
      <c r="AF59" s="884"/>
      <c r="AG59" s="879"/>
      <c r="AH59" s="885"/>
      <c r="AI59" s="884"/>
      <c r="AJ59" s="879"/>
      <c r="AK59" s="885"/>
      <c r="AL59" s="884"/>
      <c r="AM59" s="879"/>
      <c r="AN59" s="885"/>
      <c r="AO59" s="884"/>
      <c r="AP59" s="879"/>
      <c r="AQ59" s="885"/>
      <c r="AR59" s="884"/>
      <c r="AS59" s="879"/>
      <c r="AT59" s="879"/>
      <c r="AV59" s="33"/>
      <c r="AW59" s="886"/>
      <c r="AX59" s="811"/>
      <c r="AY59" s="886"/>
      <c r="BB59" s="886"/>
    </row>
    <row r="60" spans="1:54" hidden="1" x14ac:dyDescent="0.2">
      <c r="A60" s="743"/>
      <c r="J60" s="878"/>
      <c r="L60" s="879">
        <f>SUM(L15:L59)</f>
        <v>-10131952.890000001</v>
      </c>
      <c r="M60" s="878"/>
      <c r="N60" s="872"/>
      <c r="O60" s="879"/>
      <c r="P60" s="878"/>
      <c r="Q60" s="872"/>
      <c r="R60" s="879"/>
      <c r="S60" s="878"/>
      <c r="T60" s="872"/>
      <c r="U60" s="879"/>
      <c r="V60" s="878"/>
      <c r="W60" s="872"/>
      <c r="X60" s="879"/>
      <c r="Y60" s="878"/>
      <c r="Z60" s="872"/>
      <c r="AA60" s="879"/>
      <c r="AB60" s="878"/>
      <c r="AC60" s="872"/>
      <c r="AD60" s="879"/>
      <c r="AE60" s="878"/>
      <c r="AF60" s="872"/>
      <c r="AG60" s="879"/>
      <c r="AH60" s="878"/>
      <c r="AI60" s="872"/>
      <c r="AJ60" s="879"/>
      <c r="AK60" s="878"/>
      <c r="AL60" s="872"/>
      <c r="AM60" s="879"/>
      <c r="AN60" s="878"/>
      <c r="AO60" s="872"/>
      <c r="AP60" s="879"/>
      <c r="AQ60" s="878"/>
      <c r="AR60" s="872"/>
      <c r="AS60" s="879"/>
      <c r="AT60" s="879"/>
      <c r="AW60" s="389"/>
      <c r="AX60" s="33">
        <f>SUM(AV15:AV59)</f>
        <v>-118020101.75</v>
      </c>
      <c r="AY60" s="389"/>
      <c r="BB60" s="389"/>
    </row>
    <row r="61" spans="1:54" hidden="1" x14ac:dyDescent="0.2">
      <c r="A61" s="899"/>
      <c r="J61" s="878"/>
      <c r="L61" s="879"/>
      <c r="M61" s="878"/>
      <c r="N61" s="872"/>
      <c r="O61" s="879"/>
      <c r="P61" s="878"/>
      <c r="Q61" s="872"/>
      <c r="R61" s="879"/>
      <c r="S61" s="878"/>
      <c r="T61" s="872"/>
      <c r="U61" s="879"/>
      <c r="V61" s="878"/>
      <c r="W61" s="872"/>
      <c r="X61" s="879"/>
      <c r="Y61" s="878"/>
      <c r="Z61" s="872"/>
      <c r="AA61" s="879"/>
      <c r="AB61" s="878"/>
      <c r="AC61" s="872"/>
      <c r="AD61" s="879"/>
      <c r="AE61" s="878"/>
      <c r="AF61" s="872"/>
      <c r="AG61" s="879"/>
      <c r="AH61" s="878"/>
      <c r="AI61" s="872"/>
      <c r="AJ61" s="879"/>
      <c r="AK61" s="878"/>
      <c r="AL61" s="872"/>
      <c r="AM61" s="879"/>
      <c r="AN61" s="878"/>
      <c r="AO61" s="872"/>
      <c r="AP61" s="879"/>
      <c r="AQ61" s="878"/>
      <c r="AR61" s="872"/>
      <c r="AS61" s="879"/>
      <c r="AT61" s="879"/>
      <c r="AW61" s="389"/>
      <c r="AY61" s="389"/>
      <c r="BB61" s="389"/>
    </row>
    <row r="62" spans="1:54" hidden="1" x14ac:dyDescent="0.2">
      <c r="A62" s="743"/>
      <c r="J62" s="878"/>
      <c r="L62" s="879"/>
      <c r="M62" s="878"/>
      <c r="N62" s="872"/>
      <c r="O62" s="879"/>
      <c r="P62" s="878"/>
      <c r="Q62" s="872"/>
      <c r="R62" s="879"/>
      <c r="S62" s="878"/>
      <c r="T62" s="872"/>
      <c r="U62" s="879"/>
      <c r="V62" s="878"/>
      <c r="W62" s="872"/>
      <c r="X62" s="879"/>
      <c r="Y62" s="878"/>
      <c r="Z62" s="872"/>
      <c r="AA62" s="879"/>
      <c r="AB62" s="878"/>
      <c r="AC62" s="872"/>
      <c r="AD62" s="879"/>
      <c r="AE62" s="878"/>
      <c r="AF62" s="872"/>
      <c r="AG62" s="879"/>
      <c r="AH62" s="878"/>
      <c r="AI62" s="872"/>
      <c r="AJ62" s="879"/>
      <c r="AK62" s="878"/>
      <c r="AL62" s="872"/>
      <c r="AM62" s="879"/>
      <c r="AN62" s="878"/>
      <c r="AO62" s="872"/>
      <c r="AP62" s="879"/>
      <c r="AQ62" s="878"/>
      <c r="AR62" s="872"/>
      <c r="AS62" s="879"/>
      <c r="AT62" s="879"/>
      <c r="AW62" s="389"/>
      <c r="AY62" s="389"/>
      <c r="BB62" s="389"/>
    </row>
    <row r="63" spans="1:54" hidden="1" x14ac:dyDescent="0.2">
      <c r="A63" s="743"/>
      <c r="J63" s="878"/>
      <c r="L63" s="879"/>
      <c r="M63" s="878"/>
      <c r="N63" s="872"/>
      <c r="O63" s="879"/>
      <c r="P63" s="878"/>
      <c r="Q63" s="872"/>
      <c r="R63" s="879"/>
      <c r="S63" s="878"/>
      <c r="T63" s="872"/>
      <c r="U63" s="879"/>
      <c r="V63" s="878"/>
      <c r="W63" s="872"/>
      <c r="X63" s="879"/>
      <c r="Y63" s="878"/>
      <c r="Z63" s="872"/>
      <c r="AA63" s="879"/>
      <c r="AB63" s="878"/>
      <c r="AC63" s="872"/>
      <c r="AD63" s="879"/>
      <c r="AE63" s="878"/>
      <c r="AF63" s="872"/>
      <c r="AG63" s="879"/>
      <c r="AH63" s="878"/>
      <c r="AI63" s="872"/>
      <c r="AJ63" s="879"/>
      <c r="AK63" s="878"/>
      <c r="AL63" s="872"/>
      <c r="AM63" s="879"/>
      <c r="AN63" s="878"/>
      <c r="AO63" s="872"/>
      <c r="AP63" s="879"/>
      <c r="AQ63" s="878"/>
      <c r="AR63" s="872"/>
      <c r="AS63" s="879"/>
      <c r="AT63" s="879"/>
      <c r="AW63" s="389"/>
      <c r="AY63" s="389"/>
      <c r="BB63" s="389"/>
    </row>
    <row r="64" spans="1:54" hidden="1" x14ac:dyDescent="0.2">
      <c r="A64" s="540" t="s">
        <v>477</v>
      </c>
      <c r="B64" s="540" t="s">
        <v>494</v>
      </c>
      <c r="D64" s="745"/>
      <c r="E64" s="745"/>
      <c r="H64" s="170"/>
      <c r="I64" s="884"/>
      <c r="J64" s="885"/>
      <c r="K64" s="884"/>
      <c r="L64" s="879"/>
      <c r="M64" s="885"/>
      <c r="N64" s="884"/>
      <c r="O64" s="879"/>
      <c r="P64" s="885"/>
      <c r="Q64" s="884"/>
      <c r="R64" s="879"/>
      <c r="S64" s="885"/>
      <c r="T64" s="884"/>
      <c r="U64" s="879"/>
      <c r="V64" s="885"/>
      <c r="W64" s="884"/>
      <c r="X64" s="879"/>
      <c r="Y64" s="885"/>
      <c r="Z64" s="884"/>
      <c r="AA64" s="879"/>
      <c r="AB64" s="885"/>
      <c r="AC64" s="884"/>
      <c r="AD64" s="879"/>
      <c r="AE64" s="885"/>
      <c r="AF64" s="884"/>
      <c r="AG64" s="879"/>
      <c r="AH64" s="885"/>
      <c r="AI64" s="884"/>
      <c r="AJ64" s="879"/>
      <c r="AK64" s="885"/>
      <c r="AL64" s="884"/>
      <c r="AM64" s="879"/>
      <c r="AN64" s="885"/>
      <c r="AO64" s="884"/>
      <c r="AP64" s="879"/>
      <c r="AQ64" s="885"/>
      <c r="AR64" s="884"/>
      <c r="AS64" s="879"/>
      <c r="AT64" s="879"/>
      <c r="AV64" s="33"/>
      <c r="AW64" s="886"/>
      <c r="AY64" s="886"/>
      <c r="BB64" s="886"/>
    </row>
    <row r="65" spans="1:54" hidden="1" x14ac:dyDescent="0.2">
      <c r="A65" s="180">
        <v>8255</v>
      </c>
      <c r="B65" s="180" t="s">
        <v>545</v>
      </c>
      <c r="C65">
        <v>2002</v>
      </c>
      <c r="D65" s="579" t="s">
        <v>546</v>
      </c>
      <c r="E65" s="181">
        <v>38656</v>
      </c>
      <c r="F65" s="733">
        <v>306000</v>
      </c>
      <c r="G65" s="170">
        <f>0.3232+0.0057+0.002</f>
        <v>0.33089999999999997</v>
      </c>
      <c r="H65" s="565">
        <v>3.32E-2</v>
      </c>
      <c r="I65" s="884">
        <f t="shared" ref="I65:I77" si="141">SUM(G65:H65)</f>
        <v>0.36409999999999998</v>
      </c>
      <c r="J65" s="885">
        <f>$F65</f>
        <v>306000</v>
      </c>
      <c r="K65" s="884">
        <f t="shared" ref="K65:K77" si="142">$G65</f>
        <v>0.33089999999999997</v>
      </c>
      <c r="L65" s="879">
        <f t="shared" ref="L65:L77" si="143">J65*K65*L$7</f>
        <v>3138917.4</v>
      </c>
      <c r="M65" s="885">
        <f>$F65</f>
        <v>306000</v>
      </c>
      <c r="N65" s="884">
        <f t="shared" ref="N65:N77" si="144">$G65</f>
        <v>0.33089999999999997</v>
      </c>
      <c r="O65" s="879">
        <f t="shared" ref="O65:O77" si="145">M65*N65*O$7</f>
        <v>2835151.1999999997</v>
      </c>
      <c r="P65" s="885">
        <f>$F65</f>
        <v>306000</v>
      </c>
      <c r="Q65" s="884">
        <f t="shared" ref="Q65:Q77" si="146">$G65</f>
        <v>0.33089999999999997</v>
      </c>
      <c r="R65" s="879">
        <f t="shared" ref="R65:R77" si="147">P65*Q65*R$7</f>
        <v>3138917.4</v>
      </c>
      <c r="S65" s="885">
        <f>$F65</f>
        <v>306000</v>
      </c>
      <c r="T65" s="884">
        <f t="shared" ref="T65:T77" si="148">$G65</f>
        <v>0.33089999999999997</v>
      </c>
      <c r="U65" s="879">
        <f>S65*T65*U$7</f>
        <v>3037662</v>
      </c>
      <c r="V65" s="885">
        <f>$F65</f>
        <v>306000</v>
      </c>
      <c r="W65" s="884">
        <f>$G65</f>
        <v>0.33089999999999997</v>
      </c>
      <c r="X65" s="879">
        <f>V65*W65*X$7</f>
        <v>3138917.4</v>
      </c>
      <c r="Y65" s="885">
        <f>$F65</f>
        <v>306000</v>
      </c>
      <c r="Z65" s="884">
        <f t="shared" ref="Z65:Z77" si="149">$G65</f>
        <v>0.33089999999999997</v>
      </c>
      <c r="AA65" s="879">
        <f t="shared" ref="AA65:AA77" si="150">Y65*Z65*AA$7</f>
        <v>3037662</v>
      </c>
      <c r="AB65" s="885">
        <f>$F65</f>
        <v>306000</v>
      </c>
      <c r="AC65" s="884">
        <f t="shared" ref="AC65:AC77" si="151">$G65</f>
        <v>0.33089999999999997</v>
      </c>
      <c r="AD65" s="879">
        <f t="shared" ref="AD65:AD77" si="152">AB65*AC65*AD$7</f>
        <v>3138917.4</v>
      </c>
      <c r="AE65" s="885">
        <f>$F65</f>
        <v>306000</v>
      </c>
      <c r="AF65" s="884">
        <f t="shared" ref="AF65:AF77" si="153">$G65</f>
        <v>0.33089999999999997</v>
      </c>
      <c r="AG65" s="879">
        <f t="shared" ref="AG65:AG77" si="154">AE65*AF65*AG$7</f>
        <v>3138917.4</v>
      </c>
      <c r="AH65" s="885">
        <f>$F65</f>
        <v>306000</v>
      </c>
      <c r="AI65" s="884">
        <f t="shared" ref="AI65:AI77" si="155">$G65</f>
        <v>0.33089999999999997</v>
      </c>
      <c r="AJ65" s="879">
        <f t="shared" ref="AJ65:AJ77" si="156">AH65*AI65*AJ$7</f>
        <v>3037662</v>
      </c>
      <c r="AK65" s="885">
        <f>$F65</f>
        <v>306000</v>
      </c>
      <c r="AL65" s="884">
        <f t="shared" ref="AL65:AL77" si="157">$G65</f>
        <v>0.33089999999999997</v>
      </c>
      <c r="AM65" s="879">
        <f t="shared" ref="AM65:AM77" si="158">AK65*AL65*AM$7</f>
        <v>3138917.4</v>
      </c>
      <c r="AN65" s="885">
        <f>$F65</f>
        <v>306000</v>
      </c>
      <c r="AO65" s="884">
        <f t="shared" ref="AO65:AO77" si="159">$G65</f>
        <v>0.33089999999999997</v>
      </c>
      <c r="AP65" s="879">
        <f t="shared" ref="AP65:AP77" si="160">AN65*AO65*AP$7</f>
        <v>3037662</v>
      </c>
      <c r="AQ65" s="885">
        <f>$F65</f>
        <v>306000</v>
      </c>
      <c r="AR65" s="884">
        <f t="shared" ref="AR65:AR77" si="161">$G65</f>
        <v>0.33089999999999997</v>
      </c>
      <c r="AS65" s="879">
        <f t="shared" ref="AS65:AS77" si="162">AQ65*AR65*AS$7</f>
        <v>3138917.4</v>
      </c>
      <c r="AT65" s="879"/>
      <c r="AV65" s="33">
        <f t="shared" ref="AV65:AV77" si="163">AS65+AP65+AM65+AJ65+AG65+AD65+AA65+X65+U65+R65+O65+L65</f>
        <v>36958221</v>
      </c>
      <c r="AW65" s="886"/>
      <c r="AY65" s="886"/>
      <c r="BB65" s="886"/>
    </row>
    <row r="66" spans="1:54" hidden="1" x14ac:dyDescent="0.2">
      <c r="A66" s="180">
        <v>25841</v>
      </c>
      <c r="B66" s="180" t="s">
        <v>286</v>
      </c>
      <c r="C66">
        <v>2002</v>
      </c>
      <c r="D66" s="181">
        <v>36557</v>
      </c>
      <c r="E66" s="181">
        <v>37560</v>
      </c>
      <c r="F66" s="182">
        <v>40000</v>
      </c>
      <c r="G66" s="170">
        <v>8.2900000000000001E-2</v>
      </c>
      <c r="H66" s="170">
        <v>2.46E-2</v>
      </c>
      <c r="I66" s="884">
        <f t="shared" si="141"/>
        <v>0.1075</v>
      </c>
      <c r="J66" s="885">
        <f>$F66</f>
        <v>40000</v>
      </c>
      <c r="K66" s="884">
        <f t="shared" si="142"/>
        <v>8.2900000000000001E-2</v>
      </c>
      <c r="L66" s="879">
        <f t="shared" si="143"/>
        <v>102796</v>
      </c>
      <c r="M66" s="885">
        <f>$F66</f>
        <v>40000</v>
      </c>
      <c r="N66" s="884">
        <f t="shared" si="144"/>
        <v>8.2900000000000001E-2</v>
      </c>
      <c r="O66" s="879">
        <f t="shared" si="145"/>
        <v>92848</v>
      </c>
      <c r="P66" s="885">
        <f>$F66</f>
        <v>40000</v>
      </c>
      <c r="Q66" s="884">
        <f t="shared" si="146"/>
        <v>8.2900000000000001E-2</v>
      </c>
      <c r="R66" s="879">
        <f t="shared" si="147"/>
        <v>102796</v>
      </c>
      <c r="S66" s="885">
        <f>$F66</f>
        <v>40000</v>
      </c>
      <c r="T66" s="884">
        <f t="shared" si="148"/>
        <v>8.2900000000000001E-2</v>
      </c>
      <c r="U66" s="879">
        <f>S66*T66*U$7</f>
        <v>99480</v>
      </c>
      <c r="V66" s="885">
        <f>$F66</f>
        <v>40000</v>
      </c>
      <c r="W66" s="884">
        <f>$G66</f>
        <v>8.2900000000000001E-2</v>
      </c>
      <c r="X66" s="879">
        <f>V66*W66*X$7</f>
        <v>102796</v>
      </c>
      <c r="Y66" s="885">
        <f>$F66</f>
        <v>40000</v>
      </c>
      <c r="Z66" s="884">
        <f t="shared" si="149"/>
        <v>8.2900000000000001E-2</v>
      </c>
      <c r="AA66" s="879">
        <f t="shared" si="150"/>
        <v>99480</v>
      </c>
      <c r="AB66" s="885">
        <f>$F66</f>
        <v>40000</v>
      </c>
      <c r="AC66" s="884">
        <f t="shared" si="151"/>
        <v>8.2900000000000001E-2</v>
      </c>
      <c r="AD66" s="879">
        <f t="shared" si="152"/>
        <v>102796</v>
      </c>
      <c r="AE66" s="885">
        <f>$F66</f>
        <v>40000</v>
      </c>
      <c r="AF66" s="884">
        <f t="shared" si="153"/>
        <v>8.2900000000000001E-2</v>
      </c>
      <c r="AG66" s="879">
        <f t="shared" si="154"/>
        <v>102796</v>
      </c>
      <c r="AH66" s="885">
        <f>$F66</f>
        <v>40000</v>
      </c>
      <c r="AI66" s="884">
        <f t="shared" si="155"/>
        <v>8.2900000000000001E-2</v>
      </c>
      <c r="AJ66" s="879">
        <f t="shared" si="156"/>
        <v>99480</v>
      </c>
      <c r="AK66" s="885">
        <f>$F66</f>
        <v>40000</v>
      </c>
      <c r="AL66" s="884">
        <f t="shared" si="157"/>
        <v>8.2900000000000001E-2</v>
      </c>
      <c r="AM66" s="879">
        <f t="shared" si="158"/>
        <v>102796</v>
      </c>
      <c r="AN66" s="885">
        <v>0</v>
      </c>
      <c r="AO66" s="884">
        <f t="shared" si="159"/>
        <v>8.2900000000000001E-2</v>
      </c>
      <c r="AP66" s="879">
        <f t="shared" si="160"/>
        <v>0</v>
      </c>
      <c r="AQ66" s="885">
        <v>0</v>
      </c>
      <c r="AR66" s="884">
        <f t="shared" si="161"/>
        <v>8.2900000000000001E-2</v>
      </c>
      <c r="AS66" s="879">
        <f t="shared" si="162"/>
        <v>0</v>
      </c>
      <c r="AT66" s="879"/>
      <c r="AV66" s="33">
        <f t="shared" si="163"/>
        <v>1008064</v>
      </c>
      <c r="AW66" s="886"/>
      <c r="AY66" s="886"/>
      <c r="BB66" s="886"/>
    </row>
    <row r="67" spans="1:54" hidden="1" x14ac:dyDescent="0.2">
      <c r="A67" s="180" t="s">
        <v>317</v>
      </c>
      <c r="B67" s="180" t="s">
        <v>284</v>
      </c>
      <c r="C67">
        <v>2002</v>
      </c>
      <c r="D67" s="181">
        <v>36100</v>
      </c>
      <c r="E67" s="181">
        <v>37925</v>
      </c>
      <c r="F67" s="182">
        <v>70000</v>
      </c>
      <c r="G67" s="170">
        <v>0.12540000000000001</v>
      </c>
      <c r="H67" s="170">
        <v>2.46E-2</v>
      </c>
      <c r="I67" s="884">
        <f t="shared" si="141"/>
        <v>0.15000000000000002</v>
      </c>
      <c r="J67" s="885">
        <f>$F67</f>
        <v>70000</v>
      </c>
      <c r="K67" s="884">
        <f t="shared" si="142"/>
        <v>0.12540000000000001</v>
      </c>
      <c r="L67" s="879">
        <f t="shared" si="143"/>
        <v>272118</v>
      </c>
      <c r="M67" s="885">
        <f>$F67</f>
        <v>70000</v>
      </c>
      <c r="N67" s="884">
        <f t="shared" si="144"/>
        <v>0.12540000000000001</v>
      </c>
      <c r="O67" s="879">
        <f t="shared" si="145"/>
        <v>245784</v>
      </c>
      <c r="P67" s="885">
        <f>$F67</f>
        <v>70000</v>
      </c>
      <c r="Q67" s="884">
        <f t="shared" si="146"/>
        <v>0.12540000000000001</v>
      </c>
      <c r="R67" s="879">
        <f t="shared" si="147"/>
        <v>272118</v>
      </c>
      <c r="S67" s="885">
        <f>$F67</f>
        <v>70000</v>
      </c>
      <c r="T67" s="884">
        <f t="shared" si="148"/>
        <v>0.12540000000000001</v>
      </c>
      <c r="U67" s="879">
        <f>S67*T67*U$7</f>
        <v>263340</v>
      </c>
      <c r="V67" s="885">
        <f>$F67</f>
        <v>70000</v>
      </c>
      <c r="W67" s="884">
        <f>$G67</f>
        <v>0.12540000000000001</v>
      </c>
      <c r="X67" s="879">
        <f>V67*W67*X$7</f>
        <v>272118</v>
      </c>
      <c r="Y67" s="885">
        <f>$F67</f>
        <v>70000</v>
      </c>
      <c r="Z67" s="884">
        <f t="shared" si="149"/>
        <v>0.12540000000000001</v>
      </c>
      <c r="AA67" s="879">
        <f t="shared" si="150"/>
        <v>263340</v>
      </c>
      <c r="AB67" s="885">
        <f>$F67</f>
        <v>70000</v>
      </c>
      <c r="AC67" s="884">
        <f t="shared" si="151"/>
        <v>0.12540000000000001</v>
      </c>
      <c r="AD67" s="879">
        <f t="shared" si="152"/>
        <v>272118</v>
      </c>
      <c r="AE67" s="885">
        <f>$F67</f>
        <v>70000</v>
      </c>
      <c r="AF67" s="884">
        <f t="shared" si="153"/>
        <v>0.12540000000000001</v>
      </c>
      <c r="AG67" s="879">
        <f t="shared" si="154"/>
        <v>272118</v>
      </c>
      <c r="AH67" s="885">
        <f>$F67</f>
        <v>70000</v>
      </c>
      <c r="AI67" s="884">
        <f t="shared" si="155"/>
        <v>0.12540000000000001</v>
      </c>
      <c r="AJ67" s="879">
        <f t="shared" si="156"/>
        <v>263340</v>
      </c>
      <c r="AK67" s="885">
        <f>$F67</f>
        <v>70000</v>
      </c>
      <c r="AL67" s="884">
        <f t="shared" si="157"/>
        <v>0.12540000000000001</v>
      </c>
      <c r="AM67" s="879">
        <f t="shared" si="158"/>
        <v>272118</v>
      </c>
      <c r="AN67" s="885">
        <f>$F67</f>
        <v>70000</v>
      </c>
      <c r="AO67" s="884">
        <f t="shared" si="159"/>
        <v>0.12540000000000001</v>
      </c>
      <c r="AP67" s="879">
        <f t="shared" si="160"/>
        <v>263340</v>
      </c>
      <c r="AQ67" s="885">
        <f>$F67</f>
        <v>70000</v>
      </c>
      <c r="AR67" s="884">
        <f t="shared" si="161"/>
        <v>0.12540000000000001</v>
      </c>
      <c r="AS67" s="879">
        <f t="shared" si="162"/>
        <v>272118</v>
      </c>
      <c r="AT67" s="879"/>
      <c r="AV67" s="33">
        <f t="shared" si="163"/>
        <v>3203970</v>
      </c>
      <c r="AW67" s="886"/>
      <c r="AY67" s="886"/>
      <c r="BB67" s="886"/>
    </row>
    <row r="68" spans="1:54" hidden="1" x14ac:dyDescent="0.2">
      <c r="A68" s="180">
        <v>26511</v>
      </c>
      <c r="B68" s="180" t="s">
        <v>286</v>
      </c>
      <c r="C68">
        <v>2002</v>
      </c>
      <c r="D68" s="181">
        <v>36465</v>
      </c>
      <c r="E68" s="181">
        <v>37560</v>
      </c>
      <c r="F68" s="182">
        <v>21000</v>
      </c>
      <c r="G68" s="170">
        <v>8.2900000000000001E-2</v>
      </c>
      <c r="H68" s="170">
        <v>2.46E-2</v>
      </c>
      <c r="I68" s="884">
        <f t="shared" si="141"/>
        <v>0.1075</v>
      </c>
      <c r="J68" s="885">
        <f>$F68</f>
        <v>21000</v>
      </c>
      <c r="K68" s="884">
        <f t="shared" si="142"/>
        <v>8.2900000000000001E-2</v>
      </c>
      <c r="L68" s="879">
        <f t="shared" si="143"/>
        <v>53967.9</v>
      </c>
      <c r="M68" s="885">
        <f>$F68</f>
        <v>21000</v>
      </c>
      <c r="N68" s="884">
        <f t="shared" si="144"/>
        <v>8.2900000000000001E-2</v>
      </c>
      <c r="O68" s="879">
        <f t="shared" si="145"/>
        <v>48745.200000000004</v>
      </c>
      <c r="P68" s="885">
        <f>$F68</f>
        <v>21000</v>
      </c>
      <c r="Q68" s="884">
        <f t="shared" si="146"/>
        <v>8.2900000000000001E-2</v>
      </c>
      <c r="R68" s="879">
        <f t="shared" si="147"/>
        <v>53967.9</v>
      </c>
      <c r="S68" s="885">
        <f>$F68</f>
        <v>21000</v>
      </c>
      <c r="T68" s="884">
        <f t="shared" si="148"/>
        <v>8.2900000000000001E-2</v>
      </c>
      <c r="U68" s="879">
        <f>S68*T68*U$7</f>
        <v>52227</v>
      </c>
      <c r="V68" s="885">
        <f>$F68</f>
        <v>21000</v>
      </c>
      <c r="W68" s="884">
        <f>$G68</f>
        <v>8.2900000000000001E-2</v>
      </c>
      <c r="X68" s="879">
        <f>V68*W68*X$7</f>
        <v>53967.9</v>
      </c>
      <c r="Y68" s="885">
        <f>$F68</f>
        <v>21000</v>
      </c>
      <c r="Z68" s="884">
        <f t="shared" si="149"/>
        <v>8.2900000000000001E-2</v>
      </c>
      <c r="AA68" s="879">
        <f t="shared" si="150"/>
        <v>52227</v>
      </c>
      <c r="AB68" s="885">
        <f>$F68</f>
        <v>21000</v>
      </c>
      <c r="AC68" s="884">
        <f t="shared" si="151"/>
        <v>8.2900000000000001E-2</v>
      </c>
      <c r="AD68" s="879">
        <f t="shared" si="152"/>
        <v>53967.9</v>
      </c>
      <c r="AE68" s="885">
        <f>$F68</f>
        <v>21000</v>
      </c>
      <c r="AF68" s="884">
        <f t="shared" si="153"/>
        <v>8.2900000000000001E-2</v>
      </c>
      <c r="AG68" s="879">
        <f t="shared" si="154"/>
        <v>53967.9</v>
      </c>
      <c r="AH68" s="885">
        <f>$F68</f>
        <v>21000</v>
      </c>
      <c r="AI68" s="884">
        <f t="shared" si="155"/>
        <v>8.2900000000000001E-2</v>
      </c>
      <c r="AJ68" s="879">
        <f t="shared" si="156"/>
        <v>52227</v>
      </c>
      <c r="AK68" s="885">
        <f>$F68</f>
        <v>21000</v>
      </c>
      <c r="AL68" s="884">
        <f t="shared" si="157"/>
        <v>8.2900000000000001E-2</v>
      </c>
      <c r="AM68" s="879">
        <f t="shared" si="158"/>
        <v>53967.9</v>
      </c>
      <c r="AN68" s="885">
        <v>0</v>
      </c>
      <c r="AO68" s="884">
        <f t="shared" si="159"/>
        <v>8.2900000000000001E-2</v>
      </c>
      <c r="AP68" s="879">
        <f t="shared" si="160"/>
        <v>0</v>
      </c>
      <c r="AQ68" s="885">
        <v>0</v>
      </c>
      <c r="AR68" s="884">
        <f t="shared" si="161"/>
        <v>8.2900000000000001E-2</v>
      </c>
      <c r="AS68" s="879">
        <f t="shared" si="162"/>
        <v>0</v>
      </c>
      <c r="AT68" s="879"/>
      <c r="AV68" s="33">
        <f t="shared" si="163"/>
        <v>529233.6</v>
      </c>
      <c r="AW68" s="886"/>
      <c r="AY68" s="886"/>
      <c r="BB68" s="886"/>
    </row>
    <row r="69" spans="1:54" hidden="1" x14ac:dyDescent="0.2">
      <c r="A69" s="180">
        <v>26683</v>
      </c>
      <c r="B69" s="180" t="s">
        <v>553</v>
      </c>
      <c r="C69">
        <v>2002</v>
      </c>
      <c r="D69" s="181">
        <v>36220</v>
      </c>
      <c r="E69" s="181">
        <v>37346</v>
      </c>
      <c r="F69" s="733">
        <v>8000</v>
      </c>
      <c r="G69" s="170">
        <v>0.3473</v>
      </c>
      <c r="H69" s="170">
        <v>2.46E-2</v>
      </c>
      <c r="I69" s="884">
        <f t="shared" si="141"/>
        <v>0.37190000000000001</v>
      </c>
      <c r="J69" s="885">
        <f>$F69</f>
        <v>8000</v>
      </c>
      <c r="K69" s="884">
        <f t="shared" si="142"/>
        <v>0.3473</v>
      </c>
      <c r="L69" s="879">
        <f t="shared" si="143"/>
        <v>86130.400000000009</v>
      </c>
      <c r="M69" s="885">
        <f>$F69</f>
        <v>8000</v>
      </c>
      <c r="N69" s="884">
        <f t="shared" si="144"/>
        <v>0.3473</v>
      </c>
      <c r="O69" s="879">
        <f t="shared" si="145"/>
        <v>77795.199999999997</v>
      </c>
      <c r="P69" s="885">
        <f>$F69</f>
        <v>8000</v>
      </c>
      <c r="Q69" s="884">
        <f t="shared" si="146"/>
        <v>0.3473</v>
      </c>
      <c r="R69" s="879">
        <f t="shared" si="147"/>
        <v>86130.400000000009</v>
      </c>
      <c r="S69" s="885">
        <v>0</v>
      </c>
      <c r="T69" s="884">
        <f t="shared" si="148"/>
        <v>0.3473</v>
      </c>
      <c r="U69" s="879">
        <v>0</v>
      </c>
      <c r="V69" s="885">
        <v>0</v>
      </c>
      <c r="W69" s="884">
        <v>0</v>
      </c>
      <c r="X69" s="879">
        <v>0</v>
      </c>
      <c r="Y69" s="885">
        <v>0</v>
      </c>
      <c r="Z69" s="884">
        <f t="shared" si="149"/>
        <v>0.3473</v>
      </c>
      <c r="AA69" s="879">
        <f t="shared" si="150"/>
        <v>0</v>
      </c>
      <c r="AB69" s="885">
        <v>0</v>
      </c>
      <c r="AC69" s="884">
        <f t="shared" si="151"/>
        <v>0.3473</v>
      </c>
      <c r="AD69" s="879">
        <f t="shared" si="152"/>
        <v>0</v>
      </c>
      <c r="AE69" s="885">
        <v>0</v>
      </c>
      <c r="AF69" s="884">
        <f t="shared" si="153"/>
        <v>0.3473</v>
      </c>
      <c r="AG69" s="879">
        <f t="shared" si="154"/>
        <v>0</v>
      </c>
      <c r="AH69" s="885">
        <v>0</v>
      </c>
      <c r="AI69" s="884">
        <f t="shared" si="155"/>
        <v>0.3473</v>
      </c>
      <c r="AJ69" s="879">
        <f t="shared" si="156"/>
        <v>0</v>
      </c>
      <c r="AK69" s="885">
        <v>0</v>
      </c>
      <c r="AL69" s="884">
        <f t="shared" si="157"/>
        <v>0.3473</v>
      </c>
      <c r="AM69" s="879">
        <f t="shared" si="158"/>
        <v>0</v>
      </c>
      <c r="AN69" s="885">
        <v>0</v>
      </c>
      <c r="AO69" s="884">
        <f t="shared" si="159"/>
        <v>0.3473</v>
      </c>
      <c r="AP69" s="879">
        <f t="shared" si="160"/>
        <v>0</v>
      </c>
      <c r="AQ69" s="885">
        <v>0</v>
      </c>
      <c r="AR69" s="884">
        <f t="shared" si="161"/>
        <v>0.3473</v>
      </c>
      <c r="AS69" s="879">
        <f t="shared" si="162"/>
        <v>0</v>
      </c>
      <c r="AT69" s="879"/>
      <c r="AV69" s="33">
        <f t="shared" si="163"/>
        <v>250056</v>
      </c>
      <c r="AW69" s="886"/>
      <c r="AY69" s="886"/>
      <c r="BB69" s="886"/>
    </row>
    <row r="70" spans="1:54" hidden="1" x14ac:dyDescent="0.2">
      <c r="A70" s="523">
        <v>26683</v>
      </c>
      <c r="B70" s="523" t="s">
        <v>553</v>
      </c>
      <c r="C70">
        <v>2002</v>
      </c>
      <c r="D70" s="524">
        <v>37347</v>
      </c>
      <c r="E70" s="524">
        <v>37711</v>
      </c>
      <c r="F70" s="522">
        <v>8000</v>
      </c>
      <c r="G70" s="525">
        <v>0.3473</v>
      </c>
      <c r="H70" s="525">
        <v>2.46E-2</v>
      </c>
      <c r="I70" s="884">
        <f t="shared" si="141"/>
        <v>0.37190000000000001</v>
      </c>
      <c r="J70" s="885">
        <v>0</v>
      </c>
      <c r="K70" s="884">
        <f t="shared" si="142"/>
        <v>0.3473</v>
      </c>
      <c r="L70" s="879">
        <f t="shared" si="143"/>
        <v>0</v>
      </c>
      <c r="M70" s="885">
        <v>0</v>
      </c>
      <c r="N70" s="884">
        <f t="shared" si="144"/>
        <v>0.3473</v>
      </c>
      <c r="O70" s="879">
        <f t="shared" si="145"/>
        <v>0</v>
      </c>
      <c r="P70" s="885">
        <v>0</v>
      </c>
      <c r="Q70" s="884">
        <f t="shared" si="146"/>
        <v>0.3473</v>
      </c>
      <c r="R70" s="879">
        <f t="shared" si="147"/>
        <v>0</v>
      </c>
      <c r="S70" s="885">
        <v>8000</v>
      </c>
      <c r="T70" s="884">
        <f t="shared" si="148"/>
        <v>0.3473</v>
      </c>
      <c r="U70" s="879">
        <f t="shared" ref="U70:U77" si="164">S70*T70*U$7</f>
        <v>83352</v>
      </c>
      <c r="V70" s="885">
        <v>8000</v>
      </c>
      <c r="W70" s="884">
        <f t="shared" ref="W70:W77" si="165">$G70</f>
        <v>0.3473</v>
      </c>
      <c r="X70" s="879">
        <f t="shared" ref="X70:X77" si="166">V70*W70*X$7</f>
        <v>86130.400000000009</v>
      </c>
      <c r="Y70" s="885">
        <v>8000</v>
      </c>
      <c r="Z70" s="884">
        <f t="shared" si="149"/>
        <v>0.3473</v>
      </c>
      <c r="AA70" s="879">
        <f t="shared" si="150"/>
        <v>83352</v>
      </c>
      <c r="AB70" s="885">
        <v>8000</v>
      </c>
      <c r="AC70" s="884">
        <f t="shared" si="151"/>
        <v>0.3473</v>
      </c>
      <c r="AD70" s="879">
        <f t="shared" si="152"/>
        <v>86130.400000000009</v>
      </c>
      <c r="AE70" s="885">
        <v>8000</v>
      </c>
      <c r="AF70" s="884">
        <f t="shared" si="153"/>
        <v>0.3473</v>
      </c>
      <c r="AG70" s="879">
        <f t="shared" si="154"/>
        <v>86130.400000000009</v>
      </c>
      <c r="AH70" s="885">
        <v>8000</v>
      </c>
      <c r="AI70" s="884">
        <f t="shared" si="155"/>
        <v>0.3473</v>
      </c>
      <c r="AJ70" s="879">
        <f t="shared" si="156"/>
        <v>83352</v>
      </c>
      <c r="AK70" s="885">
        <v>8000</v>
      </c>
      <c r="AL70" s="884">
        <f t="shared" si="157"/>
        <v>0.3473</v>
      </c>
      <c r="AM70" s="879">
        <f t="shared" si="158"/>
        <v>86130.400000000009</v>
      </c>
      <c r="AN70" s="885">
        <v>8000</v>
      </c>
      <c r="AO70" s="884">
        <f t="shared" si="159"/>
        <v>0.3473</v>
      </c>
      <c r="AP70" s="879">
        <f t="shared" si="160"/>
        <v>83352</v>
      </c>
      <c r="AQ70" s="885">
        <v>8000</v>
      </c>
      <c r="AR70" s="884">
        <f t="shared" si="161"/>
        <v>0.3473</v>
      </c>
      <c r="AS70" s="879">
        <f t="shared" si="162"/>
        <v>86130.400000000009</v>
      </c>
      <c r="AT70" s="879"/>
      <c r="AV70" s="33">
        <f t="shared" si="163"/>
        <v>764060.00000000012</v>
      </c>
      <c r="AW70" s="886"/>
      <c r="AY70" s="886"/>
      <c r="BB70" s="886"/>
    </row>
    <row r="71" spans="1:54" hidden="1" x14ac:dyDescent="0.2">
      <c r="A71" s="180">
        <v>26758</v>
      </c>
      <c r="B71" s="588" t="s">
        <v>556</v>
      </c>
      <c r="C71">
        <v>2002</v>
      </c>
      <c r="D71" s="181">
        <v>36647</v>
      </c>
      <c r="E71" s="181">
        <v>38472</v>
      </c>
      <c r="F71" s="182">
        <v>40000</v>
      </c>
      <c r="G71" s="170">
        <v>8.6599999999999996E-2</v>
      </c>
      <c r="H71" s="170">
        <v>2.46E-2</v>
      </c>
      <c r="I71" s="884">
        <f t="shared" si="141"/>
        <v>0.11119999999999999</v>
      </c>
      <c r="J71" s="885">
        <f>$F71</f>
        <v>40000</v>
      </c>
      <c r="K71" s="884">
        <f t="shared" si="142"/>
        <v>8.6599999999999996E-2</v>
      </c>
      <c r="L71" s="879">
        <f t="shared" si="143"/>
        <v>107384</v>
      </c>
      <c r="M71" s="885">
        <f>$F71</f>
        <v>40000</v>
      </c>
      <c r="N71" s="884">
        <f t="shared" si="144"/>
        <v>8.6599999999999996E-2</v>
      </c>
      <c r="O71" s="879">
        <f t="shared" si="145"/>
        <v>96992</v>
      </c>
      <c r="P71" s="885">
        <f>$F71</f>
        <v>40000</v>
      </c>
      <c r="Q71" s="884">
        <f t="shared" si="146"/>
        <v>8.6599999999999996E-2</v>
      </c>
      <c r="R71" s="879">
        <f t="shared" si="147"/>
        <v>107384</v>
      </c>
      <c r="S71" s="885">
        <f>$F71</f>
        <v>40000</v>
      </c>
      <c r="T71" s="884">
        <f t="shared" si="148"/>
        <v>8.6599999999999996E-2</v>
      </c>
      <c r="U71" s="879">
        <f t="shared" si="164"/>
        <v>103920</v>
      </c>
      <c r="V71" s="885">
        <f>$F71</f>
        <v>40000</v>
      </c>
      <c r="W71" s="884">
        <f t="shared" si="165"/>
        <v>8.6599999999999996E-2</v>
      </c>
      <c r="X71" s="879">
        <f t="shared" si="166"/>
        <v>107384</v>
      </c>
      <c r="Y71" s="885">
        <f>$F71</f>
        <v>40000</v>
      </c>
      <c r="Z71" s="884">
        <f t="shared" si="149"/>
        <v>8.6599999999999996E-2</v>
      </c>
      <c r="AA71" s="879">
        <f t="shared" si="150"/>
        <v>103920</v>
      </c>
      <c r="AB71" s="885">
        <f>$F71</f>
        <v>40000</v>
      </c>
      <c r="AC71" s="884">
        <f t="shared" si="151"/>
        <v>8.6599999999999996E-2</v>
      </c>
      <c r="AD71" s="879">
        <f t="shared" si="152"/>
        <v>107384</v>
      </c>
      <c r="AE71" s="885">
        <f>$F71</f>
        <v>40000</v>
      </c>
      <c r="AF71" s="884">
        <f t="shared" si="153"/>
        <v>8.6599999999999996E-2</v>
      </c>
      <c r="AG71" s="879">
        <f t="shared" si="154"/>
        <v>107384</v>
      </c>
      <c r="AH71" s="885">
        <f>$F71</f>
        <v>40000</v>
      </c>
      <c r="AI71" s="884">
        <f t="shared" si="155"/>
        <v>8.6599999999999996E-2</v>
      </c>
      <c r="AJ71" s="879">
        <f t="shared" si="156"/>
        <v>103920</v>
      </c>
      <c r="AK71" s="885">
        <f>$F71</f>
        <v>40000</v>
      </c>
      <c r="AL71" s="884">
        <f t="shared" si="157"/>
        <v>8.6599999999999996E-2</v>
      </c>
      <c r="AM71" s="879">
        <f t="shared" si="158"/>
        <v>107384</v>
      </c>
      <c r="AN71" s="885">
        <f>$F71</f>
        <v>40000</v>
      </c>
      <c r="AO71" s="884">
        <f t="shared" si="159"/>
        <v>8.6599999999999996E-2</v>
      </c>
      <c r="AP71" s="879">
        <f t="shared" si="160"/>
        <v>103920</v>
      </c>
      <c r="AQ71" s="885">
        <f>$F71</f>
        <v>40000</v>
      </c>
      <c r="AR71" s="884">
        <f t="shared" si="161"/>
        <v>8.6599999999999996E-2</v>
      </c>
      <c r="AS71" s="879">
        <f t="shared" si="162"/>
        <v>107384</v>
      </c>
      <c r="AT71" s="879"/>
      <c r="AV71" s="33">
        <f t="shared" si="163"/>
        <v>1264360</v>
      </c>
      <c r="AW71" s="886"/>
      <c r="AY71" s="886"/>
      <c r="BB71" s="886"/>
    </row>
    <row r="72" spans="1:54" hidden="1" x14ac:dyDescent="0.2">
      <c r="A72" s="180">
        <v>26819</v>
      </c>
      <c r="B72" s="180" t="s">
        <v>289</v>
      </c>
      <c r="C72">
        <v>2002</v>
      </c>
      <c r="D72" s="181">
        <v>36647</v>
      </c>
      <c r="E72" s="181">
        <v>38472</v>
      </c>
      <c r="F72" s="182">
        <v>10000</v>
      </c>
      <c r="G72" s="170">
        <f>0.12-0.0246</f>
        <v>9.5399999999999999E-2</v>
      </c>
      <c r="H72" s="170">
        <v>2.46E-2</v>
      </c>
      <c r="I72" s="884">
        <f t="shared" si="141"/>
        <v>0.12</v>
      </c>
      <c r="J72" s="885">
        <f>$F72</f>
        <v>10000</v>
      </c>
      <c r="K72" s="884">
        <f t="shared" si="142"/>
        <v>9.5399999999999999E-2</v>
      </c>
      <c r="L72" s="879">
        <f t="shared" si="143"/>
        <v>29574</v>
      </c>
      <c r="M72" s="885">
        <f>$F72</f>
        <v>10000</v>
      </c>
      <c r="N72" s="884">
        <f t="shared" si="144"/>
        <v>9.5399999999999999E-2</v>
      </c>
      <c r="O72" s="879">
        <f t="shared" si="145"/>
        <v>26712</v>
      </c>
      <c r="P72" s="885">
        <f>$F72</f>
        <v>10000</v>
      </c>
      <c r="Q72" s="884">
        <f t="shared" si="146"/>
        <v>9.5399999999999999E-2</v>
      </c>
      <c r="R72" s="879">
        <f t="shared" si="147"/>
        <v>29574</v>
      </c>
      <c r="S72" s="885">
        <f>$F72</f>
        <v>10000</v>
      </c>
      <c r="T72" s="884">
        <f t="shared" si="148"/>
        <v>9.5399999999999999E-2</v>
      </c>
      <c r="U72" s="879">
        <f t="shared" si="164"/>
        <v>28620</v>
      </c>
      <c r="V72" s="885">
        <f>$F72</f>
        <v>10000</v>
      </c>
      <c r="W72" s="884">
        <f t="shared" si="165"/>
        <v>9.5399999999999999E-2</v>
      </c>
      <c r="X72" s="879">
        <f t="shared" si="166"/>
        <v>29574</v>
      </c>
      <c r="Y72" s="885">
        <f>$F72</f>
        <v>10000</v>
      </c>
      <c r="Z72" s="884">
        <f t="shared" si="149"/>
        <v>9.5399999999999999E-2</v>
      </c>
      <c r="AA72" s="879">
        <f t="shared" si="150"/>
        <v>28620</v>
      </c>
      <c r="AB72" s="885">
        <f>$F72</f>
        <v>10000</v>
      </c>
      <c r="AC72" s="884">
        <f t="shared" si="151"/>
        <v>9.5399999999999999E-2</v>
      </c>
      <c r="AD72" s="879">
        <f t="shared" si="152"/>
        <v>29574</v>
      </c>
      <c r="AE72" s="885">
        <f>$F72</f>
        <v>10000</v>
      </c>
      <c r="AF72" s="884">
        <f t="shared" si="153"/>
        <v>9.5399999999999999E-2</v>
      </c>
      <c r="AG72" s="879">
        <f t="shared" si="154"/>
        <v>29574</v>
      </c>
      <c r="AH72" s="885">
        <f>$F72</f>
        <v>10000</v>
      </c>
      <c r="AI72" s="884">
        <f t="shared" si="155"/>
        <v>9.5399999999999999E-2</v>
      </c>
      <c r="AJ72" s="879">
        <f t="shared" si="156"/>
        <v>28620</v>
      </c>
      <c r="AK72" s="885">
        <f>$F72</f>
        <v>10000</v>
      </c>
      <c r="AL72" s="884">
        <f t="shared" si="157"/>
        <v>9.5399999999999999E-2</v>
      </c>
      <c r="AM72" s="879">
        <f t="shared" si="158"/>
        <v>29574</v>
      </c>
      <c r="AN72" s="885">
        <f>$F72</f>
        <v>10000</v>
      </c>
      <c r="AO72" s="884">
        <f t="shared" si="159"/>
        <v>9.5399999999999999E-2</v>
      </c>
      <c r="AP72" s="879">
        <f t="shared" si="160"/>
        <v>28620</v>
      </c>
      <c r="AQ72" s="885">
        <f>$F72</f>
        <v>10000</v>
      </c>
      <c r="AR72" s="884">
        <f t="shared" si="161"/>
        <v>9.5399999999999999E-2</v>
      </c>
      <c r="AS72" s="879">
        <f t="shared" si="162"/>
        <v>29574</v>
      </c>
      <c r="AT72" s="879"/>
      <c r="AV72" s="33">
        <f t="shared" si="163"/>
        <v>348210</v>
      </c>
      <c r="AW72" s="886"/>
      <c r="AY72" s="886"/>
      <c r="BB72" s="886"/>
    </row>
    <row r="73" spans="1:54" hidden="1" x14ac:dyDescent="0.2">
      <c r="A73" s="180">
        <v>27252</v>
      </c>
      <c r="B73" s="180" t="s">
        <v>559</v>
      </c>
      <c r="C73">
        <v>2002</v>
      </c>
      <c r="D73" s="181">
        <v>36845</v>
      </c>
      <c r="E73" s="602">
        <v>40482</v>
      </c>
      <c r="F73" s="603">
        <v>14000</v>
      </c>
      <c r="G73" s="533">
        <v>0.12540000000000001</v>
      </c>
      <c r="H73" s="533">
        <v>2.46E-2</v>
      </c>
      <c r="I73" s="884">
        <f t="shared" si="141"/>
        <v>0.15000000000000002</v>
      </c>
      <c r="J73" s="885">
        <f>$F73</f>
        <v>14000</v>
      </c>
      <c r="K73" s="884">
        <f t="shared" si="142"/>
        <v>0.12540000000000001</v>
      </c>
      <c r="L73" s="879">
        <f t="shared" si="143"/>
        <v>54423.600000000006</v>
      </c>
      <c r="M73" s="885">
        <f>$F73</f>
        <v>14000</v>
      </c>
      <c r="N73" s="884">
        <f t="shared" si="144"/>
        <v>0.12540000000000001</v>
      </c>
      <c r="O73" s="879">
        <f t="shared" si="145"/>
        <v>49156.800000000003</v>
      </c>
      <c r="P73" s="885">
        <f>$F73</f>
        <v>14000</v>
      </c>
      <c r="Q73" s="884">
        <f t="shared" si="146"/>
        <v>0.12540000000000001</v>
      </c>
      <c r="R73" s="879">
        <f t="shared" si="147"/>
        <v>54423.600000000006</v>
      </c>
      <c r="S73" s="885">
        <f>$F73</f>
        <v>14000</v>
      </c>
      <c r="T73" s="884">
        <f t="shared" si="148"/>
        <v>0.12540000000000001</v>
      </c>
      <c r="U73" s="879">
        <f t="shared" si="164"/>
        <v>52668.000000000007</v>
      </c>
      <c r="V73" s="885">
        <f>$F73</f>
        <v>14000</v>
      </c>
      <c r="W73" s="884">
        <f t="shared" si="165"/>
        <v>0.12540000000000001</v>
      </c>
      <c r="X73" s="879">
        <f t="shared" si="166"/>
        <v>54423.600000000006</v>
      </c>
      <c r="Y73" s="885">
        <f>$F73</f>
        <v>14000</v>
      </c>
      <c r="Z73" s="884">
        <f t="shared" si="149"/>
        <v>0.12540000000000001</v>
      </c>
      <c r="AA73" s="879">
        <f t="shared" si="150"/>
        <v>52668.000000000007</v>
      </c>
      <c r="AB73" s="885">
        <f>$F73</f>
        <v>14000</v>
      </c>
      <c r="AC73" s="884">
        <f t="shared" si="151"/>
        <v>0.12540000000000001</v>
      </c>
      <c r="AD73" s="879">
        <f t="shared" si="152"/>
        <v>54423.600000000006</v>
      </c>
      <c r="AE73" s="885">
        <f>$F73</f>
        <v>14000</v>
      </c>
      <c r="AF73" s="884">
        <f t="shared" si="153"/>
        <v>0.12540000000000001</v>
      </c>
      <c r="AG73" s="879">
        <f t="shared" si="154"/>
        <v>54423.600000000006</v>
      </c>
      <c r="AH73" s="885">
        <f>$F73</f>
        <v>14000</v>
      </c>
      <c r="AI73" s="884">
        <f t="shared" si="155"/>
        <v>0.12540000000000001</v>
      </c>
      <c r="AJ73" s="879">
        <f t="shared" si="156"/>
        <v>52668.000000000007</v>
      </c>
      <c r="AK73" s="885">
        <f>$F73</f>
        <v>14000</v>
      </c>
      <c r="AL73" s="884">
        <f t="shared" si="157"/>
        <v>0.12540000000000001</v>
      </c>
      <c r="AM73" s="879">
        <f t="shared" si="158"/>
        <v>54423.600000000006</v>
      </c>
      <c r="AN73" s="885">
        <f>$F73</f>
        <v>14000</v>
      </c>
      <c r="AO73" s="884">
        <f t="shared" si="159"/>
        <v>0.12540000000000001</v>
      </c>
      <c r="AP73" s="879">
        <f t="shared" si="160"/>
        <v>52668.000000000007</v>
      </c>
      <c r="AQ73" s="885">
        <f>$F73</f>
        <v>14000</v>
      </c>
      <c r="AR73" s="884">
        <f t="shared" si="161"/>
        <v>0.12540000000000001</v>
      </c>
      <c r="AS73" s="879">
        <f t="shared" si="162"/>
        <v>54423.600000000006</v>
      </c>
      <c r="AT73" s="879"/>
      <c r="AV73" s="33">
        <f t="shared" si="163"/>
        <v>640794</v>
      </c>
      <c r="AW73" s="886"/>
      <c r="AY73" s="886"/>
      <c r="BB73" s="886"/>
    </row>
    <row r="74" spans="1:54" hidden="1" x14ac:dyDescent="0.2">
      <c r="A74" s="573">
        <v>27340</v>
      </c>
      <c r="B74" s="573" t="s">
        <v>560</v>
      </c>
      <c r="C74">
        <v>2002</v>
      </c>
      <c r="D74" s="574">
        <v>36923</v>
      </c>
      <c r="E74" s="608">
        <v>37287</v>
      </c>
      <c r="F74" s="730">
        <v>20000</v>
      </c>
      <c r="G74" s="609">
        <v>0.3473</v>
      </c>
      <c r="H74" s="609">
        <v>3.1600000000000003E-2</v>
      </c>
      <c r="I74" s="884">
        <f t="shared" si="141"/>
        <v>0.37890000000000001</v>
      </c>
      <c r="J74" s="885">
        <f>$F74</f>
        <v>20000</v>
      </c>
      <c r="K74" s="884">
        <f t="shared" si="142"/>
        <v>0.3473</v>
      </c>
      <c r="L74" s="879">
        <f t="shared" si="143"/>
        <v>215326</v>
      </c>
      <c r="M74" s="885">
        <v>0</v>
      </c>
      <c r="N74" s="884">
        <f t="shared" si="144"/>
        <v>0.3473</v>
      </c>
      <c r="O74" s="879">
        <f t="shared" si="145"/>
        <v>0</v>
      </c>
      <c r="P74" s="885">
        <v>0</v>
      </c>
      <c r="Q74" s="884">
        <f t="shared" si="146"/>
        <v>0.3473</v>
      </c>
      <c r="R74" s="879">
        <f t="shared" si="147"/>
        <v>0</v>
      </c>
      <c r="S74" s="885">
        <v>0</v>
      </c>
      <c r="T74" s="884">
        <f t="shared" si="148"/>
        <v>0.3473</v>
      </c>
      <c r="U74" s="879">
        <f t="shared" si="164"/>
        <v>0</v>
      </c>
      <c r="V74" s="885">
        <v>0</v>
      </c>
      <c r="W74" s="884">
        <f t="shared" si="165"/>
        <v>0.3473</v>
      </c>
      <c r="X74" s="879">
        <f t="shared" si="166"/>
        <v>0</v>
      </c>
      <c r="Y74" s="885">
        <v>0</v>
      </c>
      <c r="Z74" s="884">
        <f t="shared" si="149"/>
        <v>0.3473</v>
      </c>
      <c r="AA74" s="879">
        <f t="shared" si="150"/>
        <v>0</v>
      </c>
      <c r="AB74" s="885">
        <v>0</v>
      </c>
      <c r="AC74" s="884">
        <f t="shared" si="151"/>
        <v>0.3473</v>
      </c>
      <c r="AD74" s="879">
        <f t="shared" si="152"/>
        <v>0</v>
      </c>
      <c r="AE74" s="885">
        <v>0</v>
      </c>
      <c r="AF74" s="884">
        <f t="shared" si="153"/>
        <v>0.3473</v>
      </c>
      <c r="AG74" s="879">
        <f t="shared" si="154"/>
        <v>0</v>
      </c>
      <c r="AH74" s="885">
        <v>0</v>
      </c>
      <c r="AI74" s="884">
        <f t="shared" si="155"/>
        <v>0.3473</v>
      </c>
      <c r="AJ74" s="879">
        <f t="shared" si="156"/>
        <v>0</v>
      </c>
      <c r="AK74" s="885">
        <v>0</v>
      </c>
      <c r="AL74" s="884">
        <f t="shared" si="157"/>
        <v>0.3473</v>
      </c>
      <c r="AM74" s="879">
        <f t="shared" si="158"/>
        <v>0</v>
      </c>
      <c r="AN74" s="885">
        <v>0</v>
      </c>
      <c r="AO74" s="884">
        <f t="shared" si="159"/>
        <v>0.3473</v>
      </c>
      <c r="AP74" s="879">
        <f t="shared" si="160"/>
        <v>0</v>
      </c>
      <c r="AQ74" s="885">
        <v>0</v>
      </c>
      <c r="AR74" s="884">
        <f t="shared" si="161"/>
        <v>0.3473</v>
      </c>
      <c r="AS74" s="879">
        <f t="shared" si="162"/>
        <v>0</v>
      </c>
      <c r="AT74" s="879"/>
      <c r="AV74" s="33">
        <f t="shared" si="163"/>
        <v>215326</v>
      </c>
      <c r="AW74" s="886"/>
      <c r="AY74" s="886"/>
      <c r="BB74" s="886"/>
    </row>
    <row r="75" spans="1:54" hidden="1" x14ac:dyDescent="0.2">
      <c r="A75" s="523">
        <v>27340</v>
      </c>
      <c r="B75" s="523" t="s">
        <v>741</v>
      </c>
      <c r="C75">
        <v>2002</v>
      </c>
      <c r="D75" s="524">
        <v>37288</v>
      </c>
      <c r="E75" s="900">
        <v>37621</v>
      </c>
      <c r="F75" s="901">
        <v>20000</v>
      </c>
      <c r="G75" s="902">
        <v>0.22539999999999999</v>
      </c>
      <c r="H75" s="902">
        <v>2.46E-2</v>
      </c>
      <c r="I75" s="903">
        <f t="shared" si="141"/>
        <v>0.25</v>
      </c>
      <c r="J75" s="904">
        <v>0</v>
      </c>
      <c r="K75" s="903">
        <f t="shared" si="142"/>
        <v>0.22539999999999999</v>
      </c>
      <c r="L75" s="905">
        <f t="shared" si="143"/>
        <v>0</v>
      </c>
      <c r="M75" s="904">
        <f>$F75</f>
        <v>20000</v>
      </c>
      <c r="N75" s="903">
        <f t="shared" si="144"/>
        <v>0.22539999999999999</v>
      </c>
      <c r="O75" s="905">
        <f t="shared" si="145"/>
        <v>126224</v>
      </c>
      <c r="P75" s="904">
        <f>$F75</f>
        <v>20000</v>
      </c>
      <c r="Q75" s="903">
        <f t="shared" si="146"/>
        <v>0.22539999999999999</v>
      </c>
      <c r="R75" s="905">
        <f t="shared" si="147"/>
        <v>139748</v>
      </c>
      <c r="S75" s="904">
        <f>$F75</f>
        <v>20000</v>
      </c>
      <c r="T75" s="903">
        <f t="shared" si="148"/>
        <v>0.22539999999999999</v>
      </c>
      <c r="U75" s="905">
        <f t="shared" si="164"/>
        <v>135240</v>
      </c>
      <c r="V75" s="904">
        <f>$F75</f>
        <v>20000</v>
      </c>
      <c r="W75" s="903">
        <f t="shared" si="165"/>
        <v>0.22539999999999999</v>
      </c>
      <c r="X75" s="905">
        <f t="shared" si="166"/>
        <v>139748</v>
      </c>
      <c r="Y75" s="904">
        <f>$F75</f>
        <v>20000</v>
      </c>
      <c r="Z75" s="903">
        <f t="shared" si="149"/>
        <v>0.22539999999999999</v>
      </c>
      <c r="AA75" s="905">
        <f t="shared" si="150"/>
        <v>135240</v>
      </c>
      <c r="AB75" s="904">
        <f>$F75</f>
        <v>20000</v>
      </c>
      <c r="AC75" s="903">
        <f t="shared" si="151"/>
        <v>0.22539999999999999</v>
      </c>
      <c r="AD75" s="905">
        <f t="shared" si="152"/>
        <v>139748</v>
      </c>
      <c r="AE75" s="904">
        <f>$F75</f>
        <v>20000</v>
      </c>
      <c r="AF75" s="903">
        <f t="shared" si="153"/>
        <v>0.22539999999999999</v>
      </c>
      <c r="AG75" s="905">
        <f t="shared" si="154"/>
        <v>139748</v>
      </c>
      <c r="AH75" s="904">
        <f>$F75</f>
        <v>20000</v>
      </c>
      <c r="AI75" s="903">
        <f t="shared" si="155"/>
        <v>0.22539999999999999</v>
      </c>
      <c r="AJ75" s="905">
        <f t="shared" si="156"/>
        <v>135240</v>
      </c>
      <c r="AK75" s="904">
        <f>$F75</f>
        <v>20000</v>
      </c>
      <c r="AL75" s="903">
        <f t="shared" si="157"/>
        <v>0.22539999999999999</v>
      </c>
      <c r="AM75" s="905">
        <f t="shared" si="158"/>
        <v>139748</v>
      </c>
      <c r="AN75" s="904">
        <f>$F75</f>
        <v>20000</v>
      </c>
      <c r="AO75" s="903">
        <f t="shared" si="159"/>
        <v>0.22539999999999999</v>
      </c>
      <c r="AP75" s="905">
        <f t="shared" si="160"/>
        <v>135240</v>
      </c>
      <c r="AQ75" s="904">
        <f>$F75</f>
        <v>20000</v>
      </c>
      <c r="AR75" s="903">
        <f t="shared" si="161"/>
        <v>0.22539999999999999</v>
      </c>
      <c r="AS75" s="905">
        <f t="shared" si="162"/>
        <v>139748</v>
      </c>
      <c r="AT75" s="905"/>
      <c r="AU75" s="906"/>
      <c r="AV75" s="907">
        <f t="shared" si="163"/>
        <v>1505672</v>
      </c>
      <c r="AW75" s="908"/>
      <c r="AY75" s="908"/>
      <c r="BB75" s="908"/>
    </row>
    <row r="76" spans="1:54" hidden="1" x14ac:dyDescent="0.2">
      <c r="A76" s="180">
        <v>27352</v>
      </c>
      <c r="B76" s="180" t="s">
        <v>27</v>
      </c>
      <c r="C76">
        <v>2002</v>
      </c>
      <c r="D76" s="181">
        <v>37196</v>
      </c>
      <c r="E76" s="602">
        <v>37560</v>
      </c>
      <c r="F76" s="603">
        <v>21500</v>
      </c>
      <c r="G76" s="533">
        <v>0.27539999999999998</v>
      </c>
      <c r="H76" s="533">
        <v>2.46E-2</v>
      </c>
      <c r="I76" s="884">
        <f t="shared" si="141"/>
        <v>0.3</v>
      </c>
      <c r="J76" s="885">
        <f>$F76</f>
        <v>21500</v>
      </c>
      <c r="K76" s="884">
        <f t="shared" si="142"/>
        <v>0.27539999999999998</v>
      </c>
      <c r="L76" s="879">
        <f t="shared" si="143"/>
        <v>183554.09999999998</v>
      </c>
      <c r="M76" s="885">
        <f>$F76</f>
        <v>21500</v>
      </c>
      <c r="N76" s="884">
        <f t="shared" si="144"/>
        <v>0.27539999999999998</v>
      </c>
      <c r="O76" s="879">
        <f t="shared" si="145"/>
        <v>165790.79999999999</v>
      </c>
      <c r="P76" s="885">
        <f>$F76</f>
        <v>21500</v>
      </c>
      <c r="Q76" s="884">
        <f t="shared" si="146"/>
        <v>0.27539999999999998</v>
      </c>
      <c r="R76" s="879">
        <f t="shared" si="147"/>
        <v>183554.09999999998</v>
      </c>
      <c r="S76" s="885">
        <f>$F76</f>
        <v>21500</v>
      </c>
      <c r="T76" s="884">
        <f t="shared" si="148"/>
        <v>0.27539999999999998</v>
      </c>
      <c r="U76" s="879">
        <f t="shared" si="164"/>
        <v>177632.99999999997</v>
      </c>
      <c r="V76" s="885">
        <f>$F76</f>
        <v>21500</v>
      </c>
      <c r="W76" s="884">
        <f t="shared" si="165"/>
        <v>0.27539999999999998</v>
      </c>
      <c r="X76" s="879">
        <f t="shared" si="166"/>
        <v>183554.09999999998</v>
      </c>
      <c r="Y76" s="885">
        <f>$F76</f>
        <v>21500</v>
      </c>
      <c r="Z76" s="884">
        <f t="shared" si="149"/>
        <v>0.27539999999999998</v>
      </c>
      <c r="AA76" s="879">
        <f t="shared" si="150"/>
        <v>177632.99999999997</v>
      </c>
      <c r="AB76" s="885">
        <f>$F76</f>
        <v>21500</v>
      </c>
      <c r="AC76" s="884">
        <f t="shared" si="151"/>
        <v>0.27539999999999998</v>
      </c>
      <c r="AD76" s="879">
        <f t="shared" si="152"/>
        <v>183554.09999999998</v>
      </c>
      <c r="AE76" s="885">
        <f>$F76</f>
        <v>21500</v>
      </c>
      <c r="AF76" s="884">
        <f t="shared" si="153"/>
        <v>0.27539999999999998</v>
      </c>
      <c r="AG76" s="879">
        <f t="shared" si="154"/>
        <v>183554.09999999998</v>
      </c>
      <c r="AH76" s="885">
        <f>$F76</f>
        <v>21500</v>
      </c>
      <c r="AI76" s="884">
        <f t="shared" si="155"/>
        <v>0.27539999999999998</v>
      </c>
      <c r="AJ76" s="879">
        <f t="shared" si="156"/>
        <v>177632.99999999997</v>
      </c>
      <c r="AK76" s="885">
        <f>$F76</f>
        <v>21500</v>
      </c>
      <c r="AL76" s="884">
        <f t="shared" si="157"/>
        <v>0.27539999999999998</v>
      </c>
      <c r="AM76" s="879">
        <f t="shared" si="158"/>
        <v>183554.09999999998</v>
      </c>
      <c r="AN76" s="885">
        <v>0</v>
      </c>
      <c r="AO76" s="884">
        <f t="shared" si="159"/>
        <v>0.27539999999999998</v>
      </c>
      <c r="AP76" s="879">
        <f t="shared" si="160"/>
        <v>0</v>
      </c>
      <c r="AQ76" s="885">
        <v>0</v>
      </c>
      <c r="AR76" s="884">
        <f t="shared" si="161"/>
        <v>0.27539999999999998</v>
      </c>
      <c r="AS76" s="879">
        <f t="shared" si="162"/>
        <v>0</v>
      </c>
      <c r="AT76" s="879"/>
      <c r="AV76" s="33">
        <f t="shared" si="163"/>
        <v>1800014.4</v>
      </c>
      <c r="AW76" s="886"/>
      <c r="AY76" s="886"/>
      <c r="BB76" s="886"/>
    </row>
    <row r="77" spans="1:54" hidden="1" x14ac:dyDescent="0.2">
      <c r="A77" s="180">
        <v>27581</v>
      </c>
      <c r="B77" s="180" t="s">
        <v>290</v>
      </c>
      <c r="C77">
        <v>2002</v>
      </c>
      <c r="D77" s="181">
        <v>37347</v>
      </c>
      <c r="E77" s="602">
        <v>37925</v>
      </c>
      <c r="F77" s="730">
        <v>14000</v>
      </c>
      <c r="G77" s="533">
        <v>0.3473</v>
      </c>
      <c r="H77" s="533">
        <v>2.46E-2</v>
      </c>
      <c r="I77" s="884">
        <f t="shared" si="141"/>
        <v>0.37190000000000001</v>
      </c>
      <c r="J77" s="885">
        <v>0</v>
      </c>
      <c r="K77" s="884">
        <f t="shared" si="142"/>
        <v>0.3473</v>
      </c>
      <c r="L77" s="879">
        <f t="shared" si="143"/>
        <v>0</v>
      </c>
      <c r="M77" s="885">
        <v>0</v>
      </c>
      <c r="N77" s="884">
        <f t="shared" si="144"/>
        <v>0.3473</v>
      </c>
      <c r="O77" s="879">
        <f t="shared" si="145"/>
        <v>0</v>
      </c>
      <c r="P77" s="885">
        <v>0</v>
      </c>
      <c r="Q77" s="884">
        <f t="shared" si="146"/>
        <v>0.3473</v>
      </c>
      <c r="R77" s="879">
        <f t="shared" si="147"/>
        <v>0</v>
      </c>
      <c r="S77" s="885">
        <f>$F77</f>
        <v>14000</v>
      </c>
      <c r="T77" s="884">
        <f t="shared" si="148"/>
        <v>0.3473</v>
      </c>
      <c r="U77" s="879">
        <f t="shared" si="164"/>
        <v>145866</v>
      </c>
      <c r="V77" s="885">
        <f>$F77</f>
        <v>14000</v>
      </c>
      <c r="W77" s="884">
        <f t="shared" si="165"/>
        <v>0.3473</v>
      </c>
      <c r="X77" s="879">
        <f t="shared" si="166"/>
        <v>150728.19999999998</v>
      </c>
      <c r="Y77" s="885">
        <f>$F77</f>
        <v>14000</v>
      </c>
      <c r="Z77" s="884">
        <f t="shared" si="149"/>
        <v>0.3473</v>
      </c>
      <c r="AA77" s="879">
        <f t="shared" si="150"/>
        <v>145866</v>
      </c>
      <c r="AB77" s="885">
        <f>$F77</f>
        <v>14000</v>
      </c>
      <c r="AC77" s="884">
        <f t="shared" si="151"/>
        <v>0.3473</v>
      </c>
      <c r="AD77" s="879">
        <f t="shared" si="152"/>
        <v>150728.19999999998</v>
      </c>
      <c r="AE77" s="885">
        <f>$F77</f>
        <v>14000</v>
      </c>
      <c r="AF77" s="884">
        <f t="shared" si="153"/>
        <v>0.3473</v>
      </c>
      <c r="AG77" s="879">
        <f t="shared" si="154"/>
        <v>150728.19999999998</v>
      </c>
      <c r="AH77" s="885">
        <f>$F77</f>
        <v>14000</v>
      </c>
      <c r="AI77" s="884">
        <f t="shared" si="155"/>
        <v>0.3473</v>
      </c>
      <c r="AJ77" s="879">
        <f t="shared" si="156"/>
        <v>145866</v>
      </c>
      <c r="AK77" s="885">
        <f>$F77</f>
        <v>14000</v>
      </c>
      <c r="AL77" s="884">
        <f t="shared" si="157"/>
        <v>0.3473</v>
      </c>
      <c r="AM77" s="879">
        <f t="shared" si="158"/>
        <v>150728.19999999998</v>
      </c>
      <c r="AN77" s="885">
        <v>0</v>
      </c>
      <c r="AO77" s="884">
        <f t="shared" si="159"/>
        <v>0.3473</v>
      </c>
      <c r="AP77" s="879">
        <f t="shared" si="160"/>
        <v>0</v>
      </c>
      <c r="AQ77" s="885">
        <v>0</v>
      </c>
      <c r="AR77" s="884">
        <f t="shared" si="161"/>
        <v>0.3473</v>
      </c>
      <c r="AS77" s="879">
        <f t="shared" si="162"/>
        <v>0</v>
      </c>
      <c r="AT77" s="879"/>
      <c r="AV77" s="33">
        <f t="shared" si="163"/>
        <v>1040510.7999999998</v>
      </c>
      <c r="AW77" s="886"/>
      <c r="AY77" s="886"/>
      <c r="BB77" s="886"/>
    </row>
    <row r="78" spans="1:54" hidden="1" x14ac:dyDescent="0.2">
      <c r="A78" s="591"/>
      <c r="B78" s="591"/>
      <c r="D78" s="489"/>
      <c r="E78" s="602"/>
      <c r="F78" s="603"/>
      <c r="G78" s="533"/>
      <c r="H78" s="533"/>
      <c r="I78" s="884"/>
      <c r="J78" s="885"/>
      <c r="K78" s="884"/>
      <c r="L78" s="879"/>
      <c r="M78" s="885"/>
      <c r="N78" s="884"/>
      <c r="O78" s="879"/>
      <c r="P78" s="885"/>
      <c r="Q78" s="884"/>
      <c r="R78" s="879"/>
      <c r="S78" s="885"/>
      <c r="T78" s="884"/>
      <c r="U78" s="879"/>
      <c r="V78" s="885"/>
      <c r="W78" s="884"/>
      <c r="X78" s="879"/>
      <c r="Y78" s="885"/>
      <c r="Z78" s="884"/>
      <c r="AA78" s="879"/>
      <c r="AB78" s="885"/>
      <c r="AC78" s="884"/>
      <c r="AD78" s="879"/>
      <c r="AE78" s="885"/>
      <c r="AF78" s="884"/>
      <c r="AG78" s="879"/>
      <c r="AH78" s="885"/>
      <c r="AI78" s="884"/>
      <c r="AJ78" s="879"/>
      <c r="AK78" s="885"/>
      <c r="AL78" s="884"/>
      <c r="AM78" s="879"/>
      <c r="AN78" s="885"/>
      <c r="AO78" s="884"/>
      <c r="AP78" s="879"/>
      <c r="AQ78" s="885"/>
      <c r="AR78" s="884"/>
      <c r="AS78" s="879"/>
      <c r="AT78" s="879"/>
      <c r="AV78" s="33"/>
      <c r="AW78" s="886"/>
      <c r="AY78" s="886"/>
      <c r="BB78" s="886"/>
    </row>
    <row r="79" spans="1:54" hidden="1" x14ac:dyDescent="0.2">
      <c r="A79" s="591"/>
      <c r="B79" s="591"/>
      <c r="D79" s="489"/>
      <c r="E79" s="602"/>
      <c r="F79" s="530"/>
      <c r="G79" s="533"/>
      <c r="H79" s="533"/>
      <c r="I79" s="884"/>
      <c r="J79" s="885"/>
      <c r="K79" s="884"/>
      <c r="L79" s="879"/>
      <c r="M79" s="885"/>
      <c r="N79" s="884"/>
      <c r="O79" s="879"/>
      <c r="P79" s="885"/>
      <c r="Q79" s="884"/>
      <c r="R79" s="879"/>
      <c r="S79" s="885"/>
      <c r="T79" s="884"/>
      <c r="U79" s="879"/>
      <c r="V79" s="885"/>
      <c r="W79" s="884"/>
      <c r="X79" s="879"/>
      <c r="Y79" s="885"/>
      <c r="Z79" s="884"/>
      <c r="AA79" s="879"/>
      <c r="AB79" s="885"/>
      <c r="AC79" s="884"/>
      <c r="AD79" s="879"/>
      <c r="AE79" s="885"/>
      <c r="AF79" s="884"/>
      <c r="AG79" s="879"/>
      <c r="AH79" s="885"/>
      <c r="AI79" s="884"/>
      <c r="AJ79" s="879"/>
      <c r="AK79" s="885"/>
      <c r="AL79" s="884"/>
      <c r="AM79" s="879"/>
      <c r="AN79" s="885"/>
      <c r="AO79" s="884"/>
      <c r="AP79" s="879"/>
      <c r="AQ79" s="885"/>
      <c r="AR79" s="884"/>
      <c r="AS79" s="879"/>
      <c r="AT79" s="879"/>
      <c r="AV79" s="33"/>
      <c r="AW79" s="886"/>
      <c r="AY79" s="886"/>
      <c r="BB79" s="886"/>
    </row>
    <row r="80" spans="1:54" hidden="1" x14ac:dyDescent="0.2">
      <c r="A80" s="540" t="s">
        <v>507</v>
      </c>
      <c r="B80" s="540" t="s">
        <v>494</v>
      </c>
      <c r="D80" s="489"/>
      <c r="E80" s="602"/>
      <c r="F80" s="531"/>
      <c r="G80" s="533"/>
      <c r="H80" s="533"/>
      <c r="I80" s="884"/>
      <c r="J80" s="885"/>
      <c r="K80" s="884"/>
      <c r="L80" s="879"/>
      <c r="M80" s="885"/>
      <c r="N80" s="884"/>
      <c r="O80" s="879"/>
      <c r="P80" s="885"/>
      <c r="Q80" s="884"/>
      <c r="R80" s="879"/>
      <c r="S80" s="885"/>
      <c r="T80" s="884"/>
      <c r="U80" s="879"/>
      <c r="V80" s="885"/>
      <c r="W80" s="884"/>
      <c r="X80" s="879"/>
      <c r="Y80" s="885"/>
      <c r="Z80" s="884"/>
      <c r="AA80" s="879"/>
      <c r="AB80" s="885"/>
      <c r="AC80" s="884"/>
      <c r="AD80" s="879"/>
      <c r="AE80" s="885"/>
      <c r="AF80" s="884"/>
      <c r="AG80" s="879"/>
      <c r="AH80" s="885"/>
      <c r="AI80" s="884"/>
      <c r="AJ80" s="879"/>
      <c r="AK80" s="885"/>
      <c r="AL80" s="884"/>
      <c r="AM80" s="879"/>
      <c r="AN80" s="885"/>
      <c r="AO80" s="884"/>
      <c r="AP80" s="879"/>
      <c r="AQ80" s="885"/>
      <c r="AR80" s="884"/>
      <c r="AS80" s="879"/>
      <c r="AT80" s="879"/>
      <c r="AV80" s="33"/>
      <c r="AW80" s="886"/>
      <c r="AY80" s="886"/>
      <c r="BB80" s="886"/>
    </row>
    <row r="81" spans="1:54" hidden="1" x14ac:dyDescent="0.2">
      <c r="A81" s="180">
        <v>25071</v>
      </c>
      <c r="B81" s="180" t="s">
        <v>297</v>
      </c>
      <c r="C81">
        <v>2002</v>
      </c>
      <c r="D81" s="181" t="s">
        <v>327</v>
      </c>
      <c r="E81" s="181">
        <v>39782</v>
      </c>
      <c r="F81" s="182">
        <v>60000</v>
      </c>
      <c r="G81" s="170">
        <v>0.16139999999999999</v>
      </c>
      <c r="H81" s="170">
        <v>1.8599999999999998E-2</v>
      </c>
      <c r="I81" s="884">
        <f>SUM(G81:H81)</f>
        <v>0.18</v>
      </c>
      <c r="J81" s="885">
        <f>$F81</f>
        <v>60000</v>
      </c>
      <c r="K81" s="884">
        <f>$G81</f>
        <v>0.16139999999999999</v>
      </c>
      <c r="L81" s="879">
        <f>J81*K81*L$7</f>
        <v>300204</v>
      </c>
      <c r="M81" s="885">
        <f>$F81</f>
        <v>60000</v>
      </c>
      <c r="N81" s="884">
        <f>$G81</f>
        <v>0.16139999999999999</v>
      </c>
      <c r="O81" s="879">
        <f>M81*N81*O$7</f>
        <v>271152</v>
      </c>
      <c r="P81" s="885">
        <f>$F81</f>
        <v>60000</v>
      </c>
      <c r="Q81" s="884">
        <f>$G81</f>
        <v>0.16139999999999999</v>
      </c>
      <c r="R81" s="879">
        <f>P81*Q81*R$7</f>
        <v>300204</v>
      </c>
      <c r="S81" s="885">
        <f>$F81</f>
        <v>60000</v>
      </c>
      <c r="T81" s="884">
        <f>$G81</f>
        <v>0.16139999999999999</v>
      </c>
      <c r="U81" s="879">
        <f>S81*T81*U$7</f>
        <v>290520</v>
      </c>
      <c r="V81" s="885">
        <f>$F81</f>
        <v>60000</v>
      </c>
      <c r="W81" s="884">
        <f>$G81</f>
        <v>0.16139999999999999</v>
      </c>
      <c r="X81" s="879">
        <f>V81*W81*X$7</f>
        <v>300204</v>
      </c>
      <c r="Y81" s="885">
        <f>$F81</f>
        <v>60000</v>
      </c>
      <c r="Z81" s="884">
        <f>$G81</f>
        <v>0.16139999999999999</v>
      </c>
      <c r="AA81" s="879">
        <f>Y81*Z81*AA$7</f>
        <v>290520</v>
      </c>
      <c r="AB81" s="885">
        <f>$F81</f>
        <v>60000</v>
      </c>
      <c r="AC81" s="884">
        <f>$G81</f>
        <v>0.16139999999999999</v>
      </c>
      <c r="AD81" s="879">
        <f>AB81*AC81*AD$7</f>
        <v>300204</v>
      </c>
      <c r="AE81" s="885">
        <f>$F81</f>
        <v>60000</v>
      </c>
      <c r="AF81" s="884">
        <f>$G81</f>
        <v>0.16139999999999999</v>
      </c>
      <c r="AG81" s="879">
        <f>AE81*AF81*AG$7</f>
        <v>300204</v>
      </c>
      <c r="AH81" s="885">
        <f>$F81</f>
        <v>60000</v>
      </c>
      <c r="AI81" s="884">
        <f>$G81</f>
        <v>0.16139999999999999</v>
      </c>
      <c r="AJ81" s="879">
        <f>AH81*AI81*AJ$7</f>
        <v>290520</v>
      </c>
      <c r="AK81" s="885">
        <f>$F81</f>
        <v>60000</v>
      </c>
      <c r="AL81" s="884">
        <f>$G81</f>
        <v>0.16139999999999999</v>
      </c>
      <c r="AM81" s="879">
        <f>AK81*AL81*AM$7</f>
        <v>300204</v>
      </c>
      <c r="AN81" s="885">
        <f>$F81</f>
        <v>60000</v>
      </c>
      <c r="AO81" s="884">
        <f>$G81</f>
        <v>0.16139999999999999</v>
      </c>
      <c r="AP81" s="879">
        <f>AN81*AO81*AP$7</f>
        <v>290520</v>
      </c>
      <c r="AQ81" s="885">
        <f>$F81</f>
        <v>60000</v>
      </c>
      <c r="AR81" s="884">
        <f>$G81</f>
        <v>0.16139999999999999</v>
      </c>
      <c r="AS81" s="879">
        <f>AQ81*AR81*AS$7</f>
        <v>300204</v>
      </c>
      <c r="AT81" s="879"/>
      <c r="AV81" s="33">
        <f>AS81+AP81+AM81+AJ81+AG81+AD81+AA81+X81+U81+R81+O81+L81</f>
        <v>3534660</v>
      </c>
      <c r="AW81" s="886"/>
      <c r="AY81" s="886"/>
      <c r="BB81" s="886"/>
    </row>
    <row r="82" spans="1:54" hidden="1" x14ac:dyDescent="0.2">
      <c r="A82" s="488"/>
      <c r="B82" s="488"/>
      <c r="D82" s="489"/>
      <c r="E82" s="528"/>
      <c r="F82" s="603"/>
      <c r="G82" s="533"/>
      <c r="H82" s="533"/>
      <c r="I82" s="884"/>
      <c r="J82" s="885"/>
      <c r="K82" s="884"/>
      <c r="L82" s="879"/>
      <c r="M82" s="885"/>
      <c r="N82" s="884"/>
      <c r="O82" s="879"/>
      <c r="P82" s="885"/>
      <c r="Q82" s="884"/>
      <c r="R82" s="879"/>
      <c r="S82" s="885"/>
      <c r="T82" s="884"/>
      <c r="U82" s="879"/>
      <c r="V82" s="885"/>
      <c r="W82" s="884"/>
      <c r="X82" s="879"/>
      <c r="Y82" s="885"/>
      <c r="Z82" s="884"/>
      <c r="AA82" s="879"/>
      <c r="AB82" s="885"/>
      <c r="AC82" s="884"/>
      <c r="AD82" s="879"/>
      <c r="AE82" s="885"/>
      <c r="AF82" s="884"/>
      <c r="AG82" s="879"/>
      <c r="AH82" s="885"/>
      <c r="AI82" s="884"/>
      <c r="AJ82" s="879"/>
      <c r="AK82" s="885"/>
      <c r="AL82" s="884"/>
      <c r="AM82" s="879"/>
      <c r="AN82" s="885"/>
      <c r="AO82" s="884"/>
      <c r="AP82" s="879"/>
      <c r="AQ82" s="885"/>
      <c r="AR82" s="884"/>
      <c r="AS82" s="879"/>
      <c r="AT82" s="879"/>
      <c r="AV82" s="33"/>
      <c r="AW82" s="886"/>
      <c r="AY82" s="886"/>
      <c r="BB82" s="886"/>
    </row>
    <row r="83" spans="1:54" hidden="1" x14ac:dyDescent="0.2">
      <c r="A83" s="488"/>
      <c r="B83" s="488"/>
      <c r="D83" s="489"/>
      <c r="E83" s="528"/>
      <c r="F83" s="530"/>
      <c r="G83" s="533"/>
      <c r="H83" s="534"/>
      <c r="I83" s="884"/>
      <c r="J83" s="885"/>
      <c r="K83" s="884"/>
      <c r="L83" s="879"/>
      <c r="M83" s="885"/>
      <c r="N83" s="884"/>
      <c r="O83" s="879"/>
      <c r="P83" s="885"/>
      <c r="Q83" s="884"/>
      <c r="R83" s="879"/>
      <c r="S83" s="885"/>
      <c r="T83" s="884"/>
      <c r="U83" s="879"/>
      <c r="V83" s="885"/>
      <c r="W83" s="884"/>
      <c r="X83" s="879"/>
      <c r="Y83" s="885"/>
      <c r="Z83" s="884"/>
      <c r="AA83" s="879"/>
      <c r="AB83" s="885"/>
      <c r="AC83" s="884"/>
      <c r="AD83" s="879"/>
      <c r="AE83" s="885"/>
      <c r="AF83" s="884"/>
      <c r="AG83" s="879"/>
      <c r="AH83" s="885"/>
      <c r="AI83" s="884"/>
      <c r="AJ83" s="879"/>
      <c r="AK83" s="885"/>
      <c r="AL83" s="884"/>
      <c r="AM83" s="879"/>
      <c r="AN83" s="885"/>
      <c r="AO83" s="884"/>
      <c r="AP83" s="879"/>
      <c r="AQ83" s="885"/>
      <c r="AR83" s="884"/>
      <c r="AS83" s="879"/>
      <c r="AT83" s="879"/>
      <c r="AV83" s="33"/>
      <c r="AW83" s="886"/>
      <c r="AY83" s="886"/>
      <c r="BB83" s="886"/>
    </row>
    <row r="84" spans="1:54" hidden="1" x14ac:dyDescent="0.2">
      <c r="A84" s="540" t="s">
        <v>512</v>
      </c>
      <c r="B84" s="540" t="s">
        <v>494</v>
      </c>
      <c r="D84" s="489"/>
      <c r="E84" s="528"/>
      <c r="F84" s="531"/>
      <c r="G84" s="534"/>
      <c r="H84" s="534"/>
      <c r="I84" s="884"/>
      <c r="J84" s="885"/>
      <c r="K84" s="884"/>
      <c r="L84" s="879"/>
      <c r="M84" s="885"/>
      <c r="N84" s="884"/>
      <c r="O84" s="879"/>
      <c r="P84" s="885"/>
      <c r="Q84" s="884"/>
      <c r="R84" s="879"/>
      <c r="S84" s="885"/>
      <c r="T84" s="884"/>
      <c r="U84" s="879"/>
      <c r="V84" s="885"/>
      <c r="W84" s="884"/>
      <c r="X84" s="879"/>
      <c r="Y84" s="885"/>
      <c r="Z84" s="884"/>
      <c r="AA84" s="879"/>
      <c r="AB84" s="885"/>
      <c r="AC84" s="884"/>
      <c r="AD84" s="879"/>
      <c r="AE84" s="885"/>
      <c r="AF84" s="884"/>
      <c r="AG84" s="879"/>
      <c r="AH84" s="885"/>
      <c r="AI84" s="884"/>
      <c r="AJ84" s="879"/>
      <c r="AK84" s="885"/>
      <c r="AL84" s="884"/>
      <c r="AM84" s="879"/>
      <c r="AN84" s="885"/>
      <c r="AO84" s="884"/>
      <c r="AP84" s="879"/>
      <c r="AQ84" s="885"/>
      <c r="AR84" s="884"/>
      <c r="AS84" s="879"/>
      <c r="AT84" s="879"/>
      <c r="AV84" s="33"/>
      <c r="AW84" s="886"/>
      <c r="AY84" s="886"/>
      <c r="BB84" s="886"/>
    </row>
    <row r="85" spans="1:54" hidden="1" x14ac:dyDescent="0.2">
      <c r="A85" s="180">
        <v>24670</v>
      </c>
      <c r="B85" s="180" t="s">
        <v>294</v>
      </c>
      <c r="C85">
        <v>2002</v>
      </c>
      <c r="D85" s="181" t="s">
        <v>327</v>
      </c>
      <c r="E85" s="181" t="s">
        <v>295</v>
      </c>
      <c r="F85" s="182">
        <v>10000</v>
      </c>
      <c r="G85" s="170">
        <v>0.15140000000000001</v>
      </c>
      <c r="H85" s="170">
        <v>1.8599999999999998E-2</v>
      </c>
      <c r="I85" s="884">
        <f t="shared" ref="I85:I96" si="167">SUM(G85:H85)</f>
        <v>0.17</v>
      </c>
      <c r="J85" s="885">
        <f t="shared" ref="J85:J94" si="168">$F85</f>
        <v>10000</v>
      </c>
      <c r="K85" s="884">
        <f t="shared" ref="K85:K96" si="169">$G85</f>
        <v>0.15140000000000001</v>
      </c>
      <c r="L85" s="879">
        <f t="shared" ref="L85:L96" si="170">J85*K85*L$7</f>
        <v>46934</v>
      </c>
      <c r="M85" s="885">
        <f t="shared" ref="M85:M94" si="171">$F85</f>
        <v>10000</v>
      </c>
      <c r="N85" s="884">
        <f t="shared" ref="N85:N96" si="172">$G85</f>
        <v>0.15140000000000001</v>
      </c>
      <c r="O85" s="879">
        <f t="shared" ref="O85:O96" si="173">M85*N85*O$7</f>
        <v>42392</v>
      </c>
      <c r="P85" s="885">
        <f t="shared" ref="P85:P94" si="174">$F85</f>
        <v>10000</v>
      </c>
      <c r="Q85" s="884">
        <f t="shared" ref="Q85:Q96" si="175">$G85</f>
        <v>0.15140000000000001</v>
      </c>
      <c r="R85" s="879">
        <f t="shared" ref="R85:R96" si="176">P85*Q85*R$7</f>
        <v>46934</v>
      </c>
      <c r="S85" s="885">
        <f t="shared" ref="S85:S94" si="177">$F85</f>
        <v>10000</v>
      </c>
      <c r="T85" s="884">
        <f t="shared" ref="T85:T96" si="178">$G85</f>
        <v>0.15140000000000001</v>
      </c>
      <c r="U85" s="879">
        <f t="shared" ref="U85:U94" si="179">S85*T85*U$7</f>
        <v>45420</v>
      </c>
      <c r="V85" s="885">
        <f t="shared" ref="V85:V94" si="180">$F85</f>
        <v>10000</v>
      </c>
      <c r="W85" s="884">
        <f t="shared" ref="W85:W96" si="181">$G85</f>
        <v>0.15140000000000001</v>
      </c>
      <c r="X85" s="879">
        <f t="shared" ref="X85:X96" si="182">V85*W85*X$7</f>
        <v>46934</v>
      </c>
      <c r="Y85" s="885">
        <f t="shared" ref="Y85:Y94" si="183">$F85</f>
        <v>10000</v>
      </c>
      <c r="Z85" s="884">
        <f t="shared" ref="Z85:Z96" si="184">$G85</f>
        <v>0.15140000000000001</v>
      </c>
      <c r="AA85" s="879">
        <f t="shared" ref="AA85:AA96" si="185">Y85*Z85*AA$7</f>
        <v>45420</v>
      </c>
      <c r="AB85" s="885">
        <f t="shared" ref="AB85:AB94" si="186">$F85</f>
        <v>10000</v>
      </c>
      <c r="AC85" s="884">
        <f t="shared" ref="AC85:AC96" si="187">$G85</f>
        <v>0.15140000000000001</v>
      </c>
      <c r="AD85" s="879">
        <f t="shared" ref="AD85:AD96" si="188">AB85*AC85*AD$7</f>
        <v>46934</v>
      </c>
      <c r="AE85" s="885">
        <f t="shared" ref="AE85:AE94" si="189">$F85</f>
        <v>10000</v>
      </c>
      <c r="AF85" s="884">
        <f t="shared" ref="AF85:AF96" si="190">$G85</f>
        <v>0.15140000000000001</v>
      </c>
      <c r="AG85" s="879">
        <f t="shared" ref="AG85:AG96" si="191">AE85*AF85*AG$7</f>
        <v>46934</v>
      </c>
      <c r="AH85" s="885">
        <f t="shared" ref="AH85:AH94" si="192">$F85</f>
        <v>10000</v>
      </c>
      <c r="AI85" s="884">
        <f t="shared" ref="AI85:AI96" si="193">$G85</f>
        <v>0.15140000000000001</v>
      </c>
      <c r="AJ85" s="879">
        <f t="shared" ref="AJ85:AJ96" si="194">AH85*AI85*AJ$7</f>
        <v>45420</v>
      </c>
      <c r="AK85" s="885">
        <f t="shared" ref="AK85:AK94" si="195">$F85</f>
        <v>10000</v>
      </c>
      <c r="AL85" s="884">
        <f t="shared" ref="AL85:AL96" si="196">$G85</f>
        <v>0.15140000000000001</v>
      </c>
      <c r="AM85" s="879">
        <f t="shared" ref="AM85:AM96" si="197">AK85*AL85*AM$7</f>
        <v>46934</v>
      </c>
      <c r="AN85" s="885">
        <f t="shared" ref="AN85:AN96" si="198">$F85</f>
        <v>10000</v>
      </c>
      <c r="AO85" s="884">
        <f t="shared" ref="AO85:AO96" si="199">$G85</f>
        <v>0.15140000000000001</v>
      </c>
      <c r="AP85" s="879">
        <f t="shared" ref="AP85:AP96" si="200">AN85*AO85*AP$7</f>
        <v>45420</v>
      </c>
      <c r="AQ85" s="885">
        <f t="shared" ref="AQ85:AQ96" si="201">$F85</f>
        <v>10000</v>
      </c>
      <c r="AR85" s="884">
        <f t="shared" ref="AR85:AR96" si="202">$G85</f>
        <v>0.15140000000000001</v>
      </c>
      <c r="AS85" s="879">
        <f t="shared" ref="AS85:AS96" si="203">AQ85*AR85*AS$7</f>
        <v>46934</v>
      </c>
      <c r="AT85" s="879"/>
      <c r="AV85" s="33">
        <f t="shared" ref="AV85:AV96" si="204">AS85+AP85+AM85+AJ85+AG85+AD85+AA85+X85+U85+R85+O85+L85</f>
        <v>552610</v>
      </c>
      <c r="AW85" s="886"/>
      <c r="AY85" s="886"/>
      <c r="BB85" s="886"/>
    </row>
    <row r="86" spans="1:54" hidden="1" x14ac:dyDescent="0.2">
      <c r="A86" s="180">
        <v>25071</v>
      </c>
      <c r="B86" s="180" t="s">
        <v>297</v>
      </c>
      <c r="C86">
        <v>2002</v>
      </c>
      <c r="D86" s="181" t="s">
        <v>327</v>
      </c>
      <c r="E86" s="181">
        <v>39782</v>
      </c>
      <c r="F86" s="182">
        <v>30000</v>
      </c>
      <c r="G86" s="170">
        <v>0.16139999999999999</v>
      </c>
      <c r="H86" s="170">
        <v>1.8599999999999998E-2</v>
      </c>
      <c r="I86" s="884">
        <f t="shared" si="167"/>
        <v>0.18</v>
      </c>
      <c r="J86" s="885">
        <f t="shared" si="168"/>
        <v>30000</v>
      </c>
      <c r="K86" s="884">
        <f t="shared" si="169"/>
        <v>0.16139999999999999</v>
      </c>
      <c r="L86" s="879">
        <f t="shared" si="170"/>
        <v>150102</v>
      </c>
      <c r="M86" s="885">
        <f t="shared" si="171"/>
        <v>30000</v>
      </c>
      <c r="N86" s="884">
        <f t="shared" si="172"/>
        <v>0.16139999999999999</v>
      </c>
      <c r="O86" s="879">
        <f t="shared" si="173"/>
        <v>135576</v>
      </c>
      <c r="P86" s="885">
        <f t="shared" si="174"/>
        <v>30000</v>
      </c>
      <c r="Q86" s="884">
        <f t="shared" si="175"/>
        <v>0.16139999999999999</v>
      </c>
      <c r="R86" s="879">
        <f t="shared" si="176"/>
        <v>150102</v>
      </c>
      <c r="S86" s="885">
        <f t="shared" si="177"/>
        <v>30000</v>
      </c>
      <c r="T86" s="884">
        <f t="shared" si="178"/>
        <v>0.16139999999999999</v>
      </c>
      <c r="U86" s="879">
        <f t="shared" si="179"/>
        <v>145260</v>
      </c>
      <c r="V86" s="885">
        <f t="shared" si="180"/>
        <v>30000</v>
      </c>
      <c r="W86" s="884">
        <f t="shared" si="181"/>
        <v>0.16139999999999999</v>
      </c>
      <c r="X86" s="879">
        <f t="shared" si="182"/>
        <v>150102</v>
      </c>
      <c r="Y86" s="885">
        <f t="shared" si="183"/>
        <v>30000</v>
      </c>
      <c r="Z86" s="884">
        <f t="shared" si="184"/>
        <v>0.16139999999999999</v>
      </c>
      <c r="AA86" s="879">
        <f t="shared" si="185"/>
        <v>145260</v>
      </c>
      <c r="AB86" s="885">
        <f t="shared" si="186"/>
        <v>30000</v>
      </c>
      <c r="AC86" s="884">
        <f t="shared" si="187"/>
        <v>0.16139999999999999</v>
      </c>
      <c r="AD86" s="879">
        <f t="shared" si="188"/>
        <v>150102</v>
      </c>
      <c r="AE86" s="885">
        <f t="shared" si="189"/>
        <v>30000</v>
      </c>
      <c r="AF86" s="884">
        <f t="shared" si="190"/>
        <v>0.16139999999999999</v>
      </c>
      <c r="AG86" s="879">
        <f t="shared" si="191"/>
        <v>150102</v>
      </c>
      <c r="AH86" s="885">
        <f t="shared" si="192"/>
        <v>30000</v>
      </c>
      <c r="AI86" s="884">
        <f t="shared" si="193"/>
        <v>0.16139999999999999</v>
      </c>
      <c r="AJ86" s="879">
        <f t="shared" si="194"/>
        <v>145260</v>
      </c>
      <c r="AK86" s="885">
        <f t="shared" si="195"/>
        <v>30000</v>
      </c>
      <c r="AL86" s="884">
        <f t="shared" si="196"/>
        <v>0.16139999999999999</v>
      </c>
      <c r="AM86" s="879">
        <f t="shared" si="197"/>
        <v>150102</v>
      </c>
      <c r="AN86" s="885">
        <f t="shared" si="198"/>
        <v>30000</v>
      </c>
      <c r="AO86" s="884">
        <f t="shared" si="199"/>
        <v>0.16139999999999999</v>
      </c>
      <c r="AP86" s="879">
        <f t="shared" si="200"/>
        <v>145260</v>
      </c>
      <c r="AQ86" s="885">
        <f t="shared" si="201"/>
        <v>30000</v>
      </c>
      <c r="AR86" s="884">
        <f t="shared" si="202"/>
        <v>0.16139999999999999</v>
      </c>
      <c r="AS86" s="879">
        <f t="shared" si="203"/>
        <v>150102</v>
      </c>
      <c r="AT86" s="879"/>
      <c r="AV86" s="33">
        <f t="shared" si="204"/>
        <v>1767330</v>
      </c>
      <c r="AW86" s="886"/>
      <c r="AY86" s="886"/>
      <c r="BB86" s="886"/>
    </row>
    <row r="87" spans="1:54" hidden="1" x14ac:dyDescent="0.2">
      <c r="A87" s="180">
        <v>25700</v>
      </c>
      <c r="B87" s="180" t="s">
        <v>297</v>
      </c>
      <c r="C87">
        <v>2002</v>
      </c>
      <c r="D87" s="181">
        <v>36526</v>
      </c>
      <c r="E87" s="181">
        <v>37621</v>
      </c>
      <c r="F87" s="182">
        <v>25000</v>
      </c>
      <c r="G87" s="170">
        <v>0.1714</v>
      </c>
      <c r="H87" s="170">
        <v>1.8599999999999998E-2</v>
      </c>
      <c r="I87" s="884">
        <f t="shared" si="167"/>
        <v>0.19</v>
      </c>
      <c r="J87" s="885">
        <f t="shared" si="168"/>
        <v>25000</v>
      </c>
      <c r="K87" s="884">
        <f t="shared" si="169"/>
        <v>0.1714</v>
      </c>
      <c r="L87" s="879">
        <f t="shared" si="170"/>
        <v>132835</v>
      </c>
      <c r="M87" s="885">
        <f t="shared" si="171"/>
        <v>25000</v>
      </c>
      <c r="N87" s="884">
        <f t="shared" si="172"/>
        <v>0.1714</v>
      </c>
      <c r="O87" s="879">
        <f t="shared" si="173"/>
        <v>119980</v>
      </c>
      <c r="P87" s="885">
        <f t="shared" si="174"/>
        <v>25000</v>
      </c>
      <c r="Q87" s="884">
        <f t="shared" si="175"/>
        <v>0.1714</v>
      </c>
      <c r="R87" s="879">
        <f t="shared" si="176"/>
        <v>132835</v>
      </c>
      <c r="S87" s="885">
        <f t="shared" si="177"/>
        <v>25000</v>
      </c>
      <c r="T87" s="884">
        <f t="shared" si="178"/>
        <v>0.1714</v>
      </c>
      <c r="U87" s="879">
        <f t="shared" si="179"/>
        <v>128550</v>
      </c>
      <c r="V87" s="885">
        <f t="shared" si="180"/>
        <v>25000</v>
      </c>
      <c r="W87" s="884">
        <f t="shared" si="181"/>
        <v>0.1714</v>
      </c>
      <c r="X87" s="879">
        <f t="shared" si="182"/>
        <v>132835</v>
      </c>
      <c r="Y87" s="885">
        <f t="shared" si="183"/>
        <v>25000</v>
      </c>
      <c r="Z87" s="884">
        <f t="shared" si="184"/>
        <v>0.1714</v>
      </c>
      <c r="AA87" s="879">
        <f t="shared" si="185"/>
        <v>128550</v>
      </c>
      <c r="AB87" s="885">
        <f t="shared" si="186"/>
        <v>25000</v>
      </c>
      <c r="AC87" s="884">
        <f t="shared" si="187"/>
        <v>0.1714</v>
      </c>
      <c r="AD87" s="879">
        <f t="shared" si="188"/>
        <v>132835</v>
      </c>
      <c r="AE87" s="885">
        <f t="shared" si="189"/>
        <v>25000</v>
      </c>
      <c r="AF87" s="884">
        <f t="shared" si="190"/>
        <v>0.1714</v>
      </c>
      <c r="AG87" s="879">
        <f t="shared" si="191"/>
        <v>132835</v>
      </c>
      <c r="AH87" s="885">
        <f t="shared" si="192"/>
        <v>25000</v>
      </c>
      <c r="AI87" s="884">
        <f t="shared" si="193"/>
        <v>0.1714</v>
      </c>
      <c r="AJ87" s="879">
        <f t="shared" si="194"/>
        <v>128550</v>
      </c>
      <c r="AK87" s="885">
        <f t="shared" si="195"/>
        <v>25000</v>
      </c>
      <c r="AL87" s="884">
        <f t="shared" si="196"/>
        <v>0.1714</v>
      </c>
      <c r="AM87" s="879">
        <f t="shared" si="197"/>
        <v>132835</v>
      </c>
      <c r="AN87" s="885">
        <f t="shared" si="198"/>
        <v>25000</v>
      </c>
      <c r="AO87" s="884">
        <f t="shared" si="199"/>
        <v>0.1714</v>
      </c>
      <c r="AP87" s="879">
        <f t="shared" si="200"/>
        <v>128550</v>
      </c>
      <c r="AQ87" s="885">
        <f t="shared" si="201"/>
        <v>25000</v>
      </c>
      <c r="AR87" s="884">
        <f t="shared" si="202"/>
        <v>0.1714</v>
      </c>
      <c r="AS87" s="879">
        <f t="shared" si="203"/>
        <v>132835</v>
      </c>
      <c r="AT87" s="879"/>
      <c r="AV87" s="33">
        <f t="shared" si="204"/>
        <v>1564025</v>
      </c>
      <c r="AW87" s="886"/>
      <c r="AY87" s="886"/>
      <c r="BB87" s="886"/>
    </row>
    <row r="88" spans="1:54" hidden="1" x14ac:dyDescent="0.2">
      <c r="A88" s="180">
        <v>26125</v>
      </c>
      <c r="B88" s="180" t="s">
        <v>298</v>
      </c>
      <c r="C88">
        <v>2002</v>
      </c>
      <c r="D88" s="181">
        <v>35947</v>
      </c>
      <c r="E88" s="181">
        <v>37772</v>
      </c>
      <c r="F88" s="182">
        <v>8600</v>
      </c>
      <c r="G88" s="170">
        <v>0.1114</v>
      </c>
      <c r="H88" s="170">
        <v>1.8599999999999998E-2</v>
      </c>
      <c r="I88" s="884">
        <f t="shared" si="167"/>
        <v>0.13</v>
      </c>
      <c r="J88" s="885">
        <f t="shared" si="168"/>
        <v>8600</v>
      </c>
      <c r="K88" s="884">
        <f t="shared" si="169"/>
        <v>0.1114</v>
      </c>
      <c r="L88" s="879">
        <f t="shared" si="170"/>
        <v>29699.239999999998</v>
      </c>
      <c r="M88" s="885">
        <f t="shared" si="171"/>
        <v>8600</v>
      </c>
      <c r="N88" s="884">
        <f t="shared" si="172"/>
        <v>0.1114</v>
      </c>
      <c r="O88" s="879">
        <f t="shared" si="173"/>
        <v>26825.119999999999</v>
      </c>
      <c r="P88" s="885">
        <f t="shared" si="174"/>
        <v>8600</v>
      </c>
      <c r="Q88" s="884">
        <f t="shared" si="175"/>
        <v>0.1114</v>
      </c>
      <c r="R88" s="879">
        <f t="shared" si="176"/>
        <v>29699.239999999998</v>
      </c>
      <c r="S88" s="885">
        <f t="shared" si="177"/>
        <v>8600</v>
      </c>
      <c r="T88" s="884">
        <f t="shared" si="178"/>
        <v>0.1114</v>
      </c>
      <c r="U88" s="879">
        <f t="shared" si="179"/>
        <v>28741.199999999997</v>
      </c>
      <c r="V88" s="885">
        <f t="shared" si="180"/>
        <v>8600</v>
      </c>
      <c r="W88" s="884">
        <f t="shared" si="181"/>
        <v>0.1114</v>
      </c>
      <c r="X88" s="879">
        <f t="shared" si="182"/>
        <v>29699.239999999998</v>
      </c>
      <c r="Y88" s="885">
        <f t="shared" si="183"/>
        <v>8600</v>
      </c>
      <c r="Z88" s="884">
        <f t="shared" si="184"/>
        <v>0.1114</v>
      </c>
      <c r="AA88" s="879">
        <f t="shared" si="185"/>
        <v>28741.199999999997</v>
      </c>
      <c r="AB88" s="885">
        <f t="shared" si="186"/>
        <v>8600</v>
      </c>
      <c r="AC88" s="884">
        <f t="shared" si="187"/>
        <v>0.1114</v>
      </c>
      <c r="AD88" s="879">
        <f t="shared" si="188"/>
        <v>29699.239999999998</v>
      </c>
      <c r="AE88" s="885">
        <f t="shared" si="189"/>
        <v>8600</v>
      </c>
      <c r="AF88" s="884">
        <f t="shared" si="190"/>
        <v>0.1114</v>
      </c>
      <c r="AG88" s="879">
        <f t="shared" si="191"/>
        <v>29699.239999999998</v>
      </c>
      <c r="AH88" s="885">
        <f t="shared" si="192"/>
        <v>8600</v>
      </c>
      <c r="AI88" s="884">
        <f t="shared" si="193"/>
        <v>0.1114</v>
      </c>
      <c r="AJ88" s="879">
        <f t="shared" si="194"/>
        <v>28741.199999999997</v>
      </c>
      <c r="AK88" s="885">
        <f t="shared" si="195"/>
        <v>8600</v>
      </c>
      <c r="AL88" s="884">
        <f t="shared" si="196"/>
        <v>0.1114</v>
      </c>
      <c r="AM88" s="879">
        <f t="shared" si="197"/>
        <v>29699.239999999998</v>
      </c>
      <c r="AN88" s="885">
        <f t="shared" si="198"/>
        <v>8600</v>
      </c>
      <c r="AO88" s="884">
        <f t="shared" si="199"/>
        <v>0.1114</v>
      </c>
      <c r="AP88" s="879">
        <f t="shared" si="200"/>
        <v>28741.199999999997</v>
      </c>
      <c r="AQ88" s="885">
        <f t="shared" si="201"/>
        <v>8600</v>
      </c>
      <c r="AR88" s="884">
        <f t="shared" si="202"/>
        <v>0.1114</v>
      </c>
      <c r="AS88" s="879">
        <f t="shared" si="203"/>
        <v>29699.239999999998</v>
      </c>
      <c r="AT88" s="879"/>
      <c r="AV88" s="33">
        <f t="shared" si="204"/>
        <v>349684.6</v>
      </c>
      <c r="AW88" s="886"/>
      <c r="AY88" s="886"/>
      <c r="BB88" s="886"/>
    </row>
    <row r="89" spans="1:54" hidden="1" x14ac:dyDescent="0.2">
      <c r="A89" s="180">
        <v>26719</v>
      </c>
      <c r="B89" s="180" t="s">
        <v>568</v>
      </c>
      <c r="C89">
        <v>2002</v>
      </c>
      <c r="D89" s="181" t="s">
        <v>569</v>
      </c>
      <c r="E89" s="181">
        <v>38472</v>
      </c>
      <c r="F89" s="603">
        <v>25000</v>
      </c>
      <c r="G89" s="533">
        <v>0.18640000000000001</v>
      </c>
      <c r="H89" s="170">
        <v>1.8599999999999998E-2</v>
      </c>
      <c r="I89" s="884">
        <f t="shared" si="167"/>
        <v>0.20500000000000002</v>
      </c>
      <c r="J89" s="885">
        <f t="shared" si="168"/>
        <v>25000</v>
      </c>
      <c r="K89" s="884">
        <f t="shared" si="169"/>
        <v>0.18640000000000001</v>
      </c>
      <c r="L89" s="879">
        <f t="shared" si="170"/>
        <v>144460</v>
      </c>
      <c r="M89" s="885">
        <f t="shared" si="171"/>
        <v>25000</v>
      </c>
      <c r="N89" s="884">
        <f t="shared" si="172"/>
        <v>0.18640000000000001</v>
      </c>
      <c r="O89" s="879">
        <f t="shared" si="173"/>
        <v>130480</v>
      </c>
      <c r="P89" s="885">
        <f t="shared" si="174"/>
        <v>25000</v>
      </c>
      <c r="Q89" s="884">
        <f t="shared" si="175"/>
        <v>0.18640000000000001</v>
      </c>
      <c r="R89" s="879">
        <f t="shared" si="176"/>
        <v>144460</v>
      </c>
      <c r="S89" s="885">
        <f t="shared" si="177"/>
        <v>25000</v>
      </c>
      <c r="T89" s="884">
        <f t="shared" si="178"/>
        <v>0.18640000000000001</v>
      </c>
      <c r="U89" s="879">
        <f t="shared" si="179"/>
        <v>139800</v>
      </c>
      <c r="V89" s="885">
        <f t="shared" si="180"/>
        <v>25000</v>
      </c>
      <c r="W89" s="884">
        <f t="shared" si="181"/>
        <v>0.18640000000000001</v>
      </c>
      <c r="X89" s="879">
        <f t="shared" si="182"/>
        <v>144460</v>
      </c>
      <c r="Y89" s="885">
        <f t="shared" si="183"/>
        <v>25000</v>
      </c>
      <c r="Z89" s="884">
        <f t="shared" si="184"/>
        <v>0.18640000000000001</v>
      </c>
      <c r="AA89" s="879">
        <f t="shared" si="185"/>
        <v>139800</v>
      </c>
      <c r="AB89" s="885">
        <f t="shared" si="186"/>
        <v>25000</v>
      </c>
      <c r="AC89" s="884">
        <f t="shared" si="187"/>
        <v>0.18640000000000001</v>
      </c>
      <c r="AD89" s="879">
        <f t="shared" si="188"/>
        <v>144460</v>
      </c>
      <c r="AE89" s="885">
        <f t="shared" si="189"/>
        <v>25000</v>
      </c>
      <c r="AF89" s="884">
        <f t="shared" si="190"/>
        <v>0.18640000000000001</v>
      </c>
      <c r="AG89" s="879">
        <f t="shared" si="191"/>
        <v>144460</v>
      </c>
      <c r="AH89" s="885">
        <f t="shared" si="192"/>
        <v>25000</v>
      </c>
      <c r="AI89" s="884">
        <f t="shared" si="193"/>
        <v>0.18640000000000001</v>
      </c>
      <c r="AJ89" s="879">
        <f t="shared" si="194"/>
        <v>139800</v>
      </c>
      <c r="AK89" s="885">
        <f t="shared" si="195"/>
        <v>25000</v>
      </c>
      <c r="AL89" s="884">
        <f t="shared" si="196"/>
        <v>0.18640000000000001</v>
      </c>
      <c r="AM89" s="879">
        <f t="shared" si="197"/>
        <v>144460</v>
      </c>
      <c r="AN89" s="885">
        <f t="shared" si="198"/>
        <v>25000</v>
      </c>
      <c r="AO89" s="884">
        <f t="shared" si="199"/>
        <v>0.18640000000000001</v>
      </c>
      <c r="AP89" s="879">
        <f t="shared" si="200"/>
        <v>139800</v>
      </c>
      <c r="AQ89" s="885">
        <f t="shared" si="201"/>
        <v>25000</v>
      </c>
      <c r="AR89" s="884">
        <f t="shared" si="202"/>
        <v>0.18640000000000001</v>
      </c>
      <c r="AS89" s="879">
        <f t="shared" si="203"/>
        <v>144460</v>
      </c>
      <c r="AT89" s="879"/>
      <c r="AV89" s="33">
        <f t="shared" si="204"/>
        <v>1700900</v>
      </c>
      <c r="AW89" s="886"/>
      <c r="AY89" s="886"/>
      <c r="BB89" s="886"/>
    </row>
    <row r="90" spans="1:54" hidden="1" x14ac:dyDescent="0.2">
      <c r="A90" s="180">
        <v>26813</v>
      </c>
      <c r="B90" s="180" t="s">
        <v>572</v>
      </c>
      <c r="C90">
        <v>2002</v>
      </c>
      <c r="D90" s="181" t="s">
        <v>569</v>
      </c>
      <c r="E90" s="181">
        <v>39569</v>
      </c>
      <c r="F90" s="603">
        <v>3500</v>
      </c>
      <c r="G90" s="533">
        <v>0.1739</v>
      </c>
      <c r="H90" s="170">
        <v>1.8599999999999998E-2</v>
      </c>
      <c r="I90" s="884">
        <f t="shared" si="167"/>
        <v>0.1925</v>
      </c>
      <c r="J90" s="885">
        <f t="shared" si="168"/>
        <v>3500</v>
      </c>
      <c r="K90" s="884">
        <f t="shared" si="169"/>
        <v>0.1739</v>
      </c>
      <c r="L90" s="879">
        <f t="shared" si="170"/>
        <v>18868.149999999998</v>
      </c>
      <c r="M90" s="885">
        <f t="shared" si="171"/>
        <v>3500</v>
      </c>
      <c r="N90" s="884">
        <f t="shared" si="172"/>
        <v>0.1739</v>
      </c>
      <c r="O90" s="879">
        <f t="shared" si="173"/>
        <v>17042.2</v>
      </c>
      <c r="P90" s="885">
        <f t="shared" si="174"/>
        <v>3500</v>
      </c>
      <c r="Q90" s="884">
        <f t="shared" si="175"/>
        <v>0.1739</v>
      </c>
      <c r="R90" s="879">
        <f t="shared" si="176"/>
        <v>18868.149999999998</v>
      </c>
      <c r="S90" s="885">
        <f t="shared" si="177"/>
        <v>3500</v>
      </c>
      <c r="T90" s="884">
        <f t="shared" si="178"/>
        <v>0.1739</v>
      </c>
      <c r="U90" s="879">
        <f t="shared" si="179"/>
        <v>18259.5</v>
      </c>
      <c r="V90" s="885">
        <f t="shared" si="180"/>
        <v>3500</v>
      </c>
      <c r="W90" s="884">
        <f t="shared" si="181"/>
        <v>0.1739</v>
      </c>
      <c r="X90" s="879">
        <f t="shared" si="182"/>
        <v>18868.149999999998</v>
      </c>
      <c r="Y90" s="885">
        <f t="shared" si="183"/>
        <v>3500</v>
      </c>
      <c r="Z90" s="884">
        <f t="shared" si="184"/>
        <v>0.1739</v>
      </c>
      <c r="AA90" s="879">
        <f t="shared" si="185"/>
        <v>18259.5</v>
      </c>
      <c r="AB90" s="885">
        <f t="shared" si="186"/>
        <v>3500</v>
      </c>
      <c r="AC90" s="884">
        <f t="shared" si="187"/>
        <v>0.1739</v>
      </c>
      <c r="AD90" s="879">
        <f t="shared" si="188"/>
        <v>18868.149999999998</v>
      </c>
      <c r="AE90" s="885">
        <f t="shared" si="189"/>
        <v>3500</v>
      </c>
      <c r="AF90" s="884">
        <f t="shared" si="190"/>
        <v>0.1739</v>
      </c>
      <c r="AG90" s="879">
        <f t="shared" si="191"/>
        <v>18868.149999999998</v>
      </c>
      <c r="AH90" s="885">
        <f t="shared" si="192"/>
        <v>3500</v>
      </c>
      <c r="AI90" s="884">
        <f t="shared" si="193"/>
        <v>0.1739</v>
      </c>
      <c r="AJ90" s="879">
        <f t="shared" si="194"/>
        <v>18259.5</v>
      </c>
      <c r="AK90" s="885">
        <f t="shared" si="195"/>
        <v>3500</v>
      </c>
      <c r="AL90" s="884">
        <f t="shared" si="196"/>
        <v>0.1739</v>
      </c>
      <c r="AM90" s="879">
        <f t="shared" si="197"/>
        <v>18868.149999999998</v>
      </c>
      <c r="AN90" s="885">
        <f t="shared" si="198"/>
        <v>3500</v>
      </c>
      <c r="AO90" s="884">
        <f t="shared" si="199"/>
        <v>0.1739</v>
      </c>
      <c r="AP90" s="879">
        <f t="shared" si="200"/>
        <v>18259.5</v>
      </c>
      <c r="AQ90" s="885">
        <f t="shared" si="201"/>
        <v>3500</v>
      </c>
      <c r="AR90" s="884">
        <f t="shared" si="202"/>
        <v>0.1739</v>
      </c>
      <c r="AS90" s="879">
        <f t="shared" si="203"/>
        <v>18868.149999999998</v>
      </c>
      <c r="AT90" s="879"/>
      <c r="AV90" s="33">
        <f t="shared" si="204"/>
        <v>222157.24999999997</v>
      </c>
      <c r="AW90" s="886"/>
      <c r="AY90" s="886"/>
      <c r="BB90" s="886"/>
    </row>
    <row r="91" spans="1:54" hidden="1" x14ac:dyDescent="0.2">
      <c r="A91" s="180">
        <v>26816</v>
      </c>
      <c r="B91" s="180" t="s">
        <v>27</v>
      </c>
      <c r="C91">
        <v>2002</v>
      </c>
      <c r="D91" s="181" t="s">
        <v>569</v>
      </c>
      <c r="E91" s="181">
        <v>38472</v>
      </c>
      <c r="F91" s="603">
        <v>21500</v>
      </c>
      <c r="G91" s="533">
        <v>0.15140000000000001</v>
      </c>
      <c r="H91" s="170">
        <v>1.8599999999999998E-2</v>
      </c>
      <c r="I91" s="884">
        <f t="shared" si="167"/>
        <v>0.17</v>
      </c>
      <c r="J91" s="885">
        <f t="shared" si="168"/>
        <v>21500</v>
      </c>
      <c r="K91" s="884">
        <f t="shared" si="169"/>
        <v>0.15140000000000001</v>
      </c>
      <c r="L91" s="879">
        <f t="shared" si="170"/>
        <v>100908.1</v>
      </c>
      <c r="M91" s="885">
        <f t="shared" si="171"/>
        <v>21500</v>
      </c>
      <c r="N91" s="884">
        <f t="shared" si="172"/>
        <v>0.15140000000000001</v>
      </c>
      <c r="O91" s="879">
        <f t="shared" si="173"/>
        <v>91142.800000000017</v>
      </c>
      <c r="P91" s="885">
        <f t="shared" si="174"/>
        <v>21500</v>
      </c>
      <c r="Q91" s="884">
        <f t="shared" si="175"/>
        <v>0.15140000000000001</v>
      </c>
      <c r="R91" s="879">
        <f t="shared" si="176"/>
        <v>100908.1</v>
      </c>
      <c r="S91" s="885">
        <f t="shared" si="177"/>
        <v>21500</v>
      </c>
      <c r="T91" s="884">
        <f t="shared" si="178"/>
        <v>0.15140000000000001</v>
      </c>
      <c r="U91" s="879">
        <f t="shared" si="179"/>
        <v>97653.000000000015</v>
      </c>
      <c r="V91" s="885">
        <f t="shared" si="180"/>
        <v>21500</v>
      </c>
      <c r="W91" s="884">
        <f t="shared" si="181"/>
        <v>0.15140000000000001</v>
      </c>
      <c r="X91" s="879">
        <f t="shared" si="182"/>
        <v>100908.1</v>
      </c>
      <c r="Y91" s="885">
        <f t="shared" si="183"/>
        <v>21500</v>
      </c>
      <c r="Z91" s="884">
        <f t="shared" si="184"/>
        <v>0.15140000000000001</v>
      </c>
      <c r="AA91" s="879">
        <f t="shared" si="185"/>
        <v>97653.000000000015</v>
      </c>
      <c r="AB91" s="885">
        <f t="shared" si="186"/>
        <v>21500</v>
      </c>
      <c r="AC91" s="884">
        <f t="shared" si="187"/>
        <v>0.15140000000000001</v>
      </c>
      <c r="AD91" s="879">
        <f t="shared" si="188"/>
        <v>100908.1</v>
      </c>
      <c r="AE91" s="885">
        <f t="shared" si="189"/>
        <v>21500</v>
      </c>
      <c r="AF91" s="884">
        <f t="shared" si="190"/>
        <v>0.15140000000000001</v>
      </c>
      <c r="AG91" s="879">
        <f t="shared" si="191"/>
        <v>100908.1</v>
      </c>
      <c r="AH91" s="885">
        <f t="shared" si="192"/>
        <v>21500</v>
      </c>
      <c r="AI91" s="884">
        <f t="shared" si="193"/>
        <v>0.15140000000000001</v>
      </c>
      <c r="AJ91" s="879">
        <f t="shared" si="194"/>
        <v>97653.000000000015</v>
      </c>
      <c r="AK91" s="885">
        <f t="shared" si="195"/>
        <v>21500</v>
      </c>
      <c r="AL91" s="884">
        <f t="shared" si="196"/>
        <v>0.15140000000000001</v>
      </c>
      <c r="AM91" s="879">
        <f t="shared" si="197"/>
        <v>100908.1</v>
      </c>
      <c r="AN91" s="885">
        <f t="shared" si="198"/>
        <v>21500</v>
      </c>
      <c r="AO91" s="884">
        <f t="shared" si="199"/>
        <v>0.15140000000000001</v>
      </c>
      <c r="AP91" s="879">
        <f t="shared" si="200"/>
        <v>97653.000000000015</v>
      </c>
      <c r="AQ91" s="885">
        <f t="shared" si="201"/>
        <v>21500</v>
      </c>
      <c r="AR91" s="884">
        <f t="shared" si="202"/>
        <v>0.15140000000000001</v>
      </c>
      <c r="AS91" s="879">
        <f t="shared" si="203"/>
        <v>100908.1</v>
      </c>
      <c r="AT91" s="879"/>
      <c r="AV91" s="33">
        <f t="shared" si="204"/>
        <v>1188111.5</v>
      </c>
      <c r="AW91" s="886"/>
      <c r="AY91" s="886"/>
      <c r="BB91" s="886"/>
    </row>
    <row r="92" spans="1:54" hidden="1" x14ac:dyDescent="0.2">
      <c r="A92" s="180">
        <v>26884</v>
      </c>
      <c r="B92" s="180" t="s">
        <v>575</v>
      </c>
      <c r="C92">
        <v>2002</v>
      </c>
      <c r="D92" s="181" t="s">
        <v>569</v>
      </c>
      <c r="E92" s="181">
        <v>38656</v>
      </c>
      <c r="F92" s="182">
        <v>40000</v>
      </c>
      <c r="G92" s="170">
        <v>0.18390000000000001</v>
      </c>
      <c r="H92" s="170">
        <v>1.8599999999999998E-2</v>
      </c>
      <c r="I92" s="884">
        <f t="shared" si="167"/>
        <v>0.20250000000000001</v>
      </c>
      <c r="J92" s="885">
        <f t="shared" si="168"/>
        <v>40000</v>
      </c>
      <c r="K92" s="884">
        <f t="shared" si="169"/>
        <v>0.18390000000000001</v>
      </c>
      <c r="L92" s="879">
        <f t="shared" si="170"/>
        <v>228036</v>
      </c>
      <c r="M92" s="885">
        <f t="shared" si="171"/>
        <v>40000</v>
      </c>
      <c r="N92" s="884">
        <f t="shared" si="172"/>
        <v>0.18390000000000001</v>
      </c>
      <c r="O92" s="879">
        <f t="shared" si="173"/>
        <v>205968</v>
      </c>
      <c r="P92" s="885">
        <f t="shared" si="174"/>
        <v>40000</v>
      </c>
      <c r="Q92" s="884">
        <f t="shared" si="175"/>
        <v>0.18390000000000001</v>
      </c>
      <c r="R92" s="879">
        <f t="shared" si="176"/>
        <v>228036</v>
      </c>
      <c r="S92" s="885">
        <f t="shared" si="177"/>
        <v>40000</v>
      </c>
      <c r="T92" s="884">
        <f t="shared" si="178"/>
        <v>0.18390000000000001</v>
      </c>
      <c r="U92" s="879">
        <f t="shared" si="179"/>
        <v>220680</v>
      </c>
      <c r="V92" s="885">
        <f t="shared" si="180"/>
        <v>40000</v>
      </c>
      <c r="W92" s="884">
        <f t="shared" si="181"/>
        <v>0.18390000000000001</v>
      </c>
      <c r="X92" s="879">
        <f t="shared" si="182"/>
        <v>228036</v>
      </c>
      <c r="Y92" s="885">
        <f t="shared" si="183"/>
        <v>40000</v>
      </c>
      <c r="Z92" s="884">
        <f t="shared" si="184"/>
        <v>0.18390000000000001</v>
      </c>
      <c r="AA92" s="879">
        <f t="shared" si="185"/>
        <v>220680</v>
      </c>
      <c r="AB92" s="885">
        <f t="shared" si="186"/>
        <v>40000</v>
      </c>
      <c r="AC92" s="884">
        <f t="shared" si="187"/>
        <v>0.18390000000000001</v>
      </c>
      <c r="AD92" s="879">
        <f t="shared" si="188"/>
        <v>228036</v>
      </c>
      <c r="AE92" s="885">
        <f t="shared" si="189"/>
        <v>40000</v>
      </c>
      <c r="AF92" s="884">
        <f t="shared" si="190"/>
        <v>0.18390000000000001</v>
      </c>
      <c r="AG92" s="879">
        <f t="shared" si="191"/>
        <v>228036</v>
      </c>
      <c r="AH92" s="885">
        <f t="shared" si="192"/>
        <v>40000</v>
      </c>
      <c r="AI92" s="884">
        <f t="shared" si="193"/>
        <v>0.18390000000000001</v>
      </c>
      <c r="AJ92" s="879">
        <f t="shared" si="194"/>
        <v>220680</v>
      </c>
      <c r="AK92" s="885">
        <f t="shared" si="195"/>
        <v>40000</v>
      </c>
      <c r="AL92" s="884">
        <f t="shared" si="196"/>
        <v>0.18390000000000001</v>
      </c>
      <c r="AM92" s="879">
        <f t="shared" si="197"/>
        <v>228036</v>
      </c>
      <c r="AN92" s="885">
        <f t="shared" si="198"/>
        <v>40000</v>
      </c>
      <c r="AO92" s="884">
        <f t="shared" si="199"/>
        <v>0.18390000000000001</v>
      </c>
      <c r="AP92" s="879">
        <f t="shared" si="200"/>
        <v>220680</v>
      </c>
      <c r="AQ92" s="885">
        <f t="shared" si="201"/>
        <v>40000</v>
      </c>
      <c r="AR92" s="884">
        <f t="shared" si="202"/>
        <v>0.18390000000000001</v>
      </c>
      <c r="AS92" s="879">
        <f t="shared" si="203"/>
        <v>228036</v>
      </c>
      <c r="AT92" s="879"/>
      <c r="AV92" s="33">
        <f t="shared" si="204"/>
        <v>2684940</v>
      </c>
      <c r="AW92" s="886"/>
      <c r="AY92" s="886"/>
      <c r="BB92" s="886"/>
    </row>
    <row r="93" spans="1:54" hidden="1" x14ac:dyDescent="0.2">
      <c r="A93" s="180">
        <v>26960</v>
      </c>
      <c r="B93" s="180" t="s">
        <v>299</v>
      </c>
      <c r="C93">
        <v>2002</v>
      </c>
      <c r="D93" s="181"/>
      <c r="E93" s="181">
        <v>38077</v>
      </c>
      <c r="F93" s="182">
        <v>20000</v>
      </c>
      <c r="G93" s="170">
        <v>0.1714</v>
      </c>
      <c r="H93" s="170">
        <v>1.8599999999999998E-2</v>
      </c>
      <c r="I93" s="884">
        <f t="shared" si="167"/>
        <v>0.19</v>
      </c>
      <c r="J93" s="885">
        <f t="shared" si="168"/>
        <v>20000</v>
      </c>
      <c r="K93" s="884">
        <f t="shared" si="169"/>
        <v>0.1714</v>
      </c>
      <c r="L93" s="879">
        <f t="shared" si="170"/>
        <v>106268</v>
      </c>
      <c r="M93" s="885">
        <f t="shared" si="171"/>
        <v>20000</v>
      </c>
      <c r="N93" s="884">
        <f t="shared" si="172"/>
        <v>0.1714</v>
      </c>
      <c r="O93" s="879">
        <f t="shared" si="173"/>
        <v>95984</v>
      </c>
      <c r="P93" s="885">
        <f t="shared" si="174"/>
        <v>20000</v>
      </c>
      <c r="Q93" s="884">
        <f t="shared" si="175"/>
        <v>0.1714</v>
      </c>
      <c r="R93" s="879">
        <f t="shared" si="176"/>
        <v>106268</v>
      </c>
      <c r="S93" s="885">
        <f t="shared" si="177"/>
        <v>20000</v>
      </c>
      <c r="T93" s="884">
        <f t="shared" si="178"/>
        <v>0.1714</v>
      </c>
      <c r="U93" s="879">
        <f t="shared" si="179"/>
        <v>102840</v>
      </c>
      <c r="V93" s="885">
        <f t="shared" si="180"/>
        <v>20000</v>
      </c>
      <c r="W93" s="884">
        <f t="shared" si="181"/>
        <v>0.1714</v>
      </c>
      <c r="X93" s="879">
        <f t="shared" si="182"/>
        <v>106268</v>
      </c>
      <c r="Y93" s="885">
        <f t="shared" si="183"/>
        <v>20000</v>
      </c>
      <c r="Z93" s="884">
        <f t="shared" si="184"/>
        <v>0.1714</v>
      </c>
      <c r="AA93" s="879">
        <f t="shared" si="185"/>
        <v>102840</v>
      </c>
      <c r="AB93" s="885">
        <f t="shared" si="186"/>
        <v>20000</v>
      </c>
      <c r="AC93" s="884">
        <f t="shared" si="187"/>
        <v>0.1714</v>
      </c>
      <c r="AD93" s="879">
        <f t="shared" si="188"/>
        <v>106268</v>
      </c>
      <c r="AE93" s="885">
        <f t="shared" si="189"/>
        <v>20000</v>
      </c>
      <c r="AF93" s="884">
        <f t="shared" si="190"/>
        <v>0.1714</v>
      </c>
      <c r="AG93" s="879">
        <f t="shared" si="191"/>
        <v>106268</v>
      </c>
      <c r="AH93" s="885">
        <f t="shared" si="192"/>
        <v>20000</v>
      </c>
      <c r="AI93" s="884">
        <f t="shared" si="193"/>
        <v>0.1714</v>
      </c>
      <c r="AJ93" s="879">
        <f t="shared" si="194"/>
        <v>102840</v>
      </c>
      <c r="AK93" s="885">
        <f t="shared" si="195"/>
        <v>20000</v>
      </c>
      <c r="AL93" s="884">
        <f t="shared" si="196"/>
        <v>0.1714</v>
      </c>
      <c r="AM93" s="879">
        <f t="shared" si="197"/>
        <v>106268</v>
      </c>
      <c r="AN93" s="885">
        <f t="shared" si="198"/>
        <v>20000</v>
      </c>
      <c r="AO93" s="884">
        <f t="shared" si="199"/>
        <v>0.1714</v>
      </c>
      <c r="AP93" s="879">
        <f t="shared" si="200"/>
        <v>102840</v>
      </c>
      <c r="AQ93" s="885">
        <f t="shared" si="201"/>
        <v>20000</v>
      </c>
      <c r="AR93" s="884">
        <f t="shared" si="202"/>
        <v>0.1714</v>
      </c>
      <c r="AS93" s="879">
        <f t="shared" si="203"/>
        <v>106268</v>
      </c>
      <c r="AT93" s="879"/>
      <c r="AV93" s="33">
        <f t="shared" si="204"/>
        <v>1251220</v>
      </c>
      <c r="AW93" s="886"/>
      <c r="AY93" s="886"/>
      <c r="BB93" s="886"/>
    </row>
    <row r="94" spans="1:54" hidden="1" x14ac:dyDescent="0.2">
      <c r="A94" s="180">
        <v>27454</v>
      </c>
      <c r="B94" s="180" t="s">
        <v>289</v>
      </c>
      <c r="C94">
        <v>2002</v>
      </c>
      <c r="D94" s="181">
        <v>37257</v>
      </c>
      <c r="E94" s="181">
        <v>37621</v>
      </c>
      <c r="F94" s="733">
        <v>27500</v>
      </c>
      <c r="G94" s="170">
        <v>0.3659</v>
      </c>
      <c r="H94" s="170">
        <v>1.8599999999999998E-2</v>
      </c>
      <c r="I94" s="884">
        <f t="shared" si="167"/>
        <v>0.38450000000000001</v>
      </c>
      <c r="J94" s="885">
        <f t="shared" si="168"/>
        <v>27500</v>
      </c>
      <c r="K94" s="884">
        <f t="shared" si="169"/>
        <v>0.3659</v>
      </c>
      <c r="L94" s="879">
        <f t="shared" si="170"/>
        <v>311929.75</v>
      </c>
      <c r="M94" s="885">
        <f t="shared" si="171"/>
        <v>27500</v>
      </c>
      <c r="N94" s="884">
        <f t="shared" si="172"/>
        <v>0.3659</v>
      </c>
      <c r="O94" s="879">
        <f t="shared" si="173"/>
        <v>281743</v>
      </c>
      <c r="P94" s="885">
        <f t="shared" si="174"/>
        <v>27500</v>
      </c>
      <c r="Q94" s="884">
        <f t="shared" si="175"/>
        <v>0.3659</v>
      </c>
      <c r="R94" s="879">
        <f t="shared" si="176"/>
        <v>311929.75</v>
      </c>
      <c r="S94" s="885">
        <f t="shared" si="177"/>
        <v>27500</v>
      </c>
      <c r="T94" s="884">
        <f t="shared" si="178"/>
        <v>0.3659</v>
      </c>
      <c r="U94" s="879">
        <f t="shared" si="179"/>
        <v>301867.5</v>
      </c>
      <c r="V94" s="885">
        <f t="shared" si="180"/>
        <v>27500</v>
      </c>
      <c r="W94" s="884">
        <f t="shared" si="181"/>
        <v>0.3659</v>
      </c>
      <c r="X94" s="879">
        <f t="shared" si="182"/>
        <v>311929.75</v>
      </c>
      <c r="Y94" s="885">
        <f t="shared" si="183"/>
        <v>27500</v>
      </c>
      <c r="Z94" s="884">
        <f t="shared" si="184"/>
        <v>0.3659</v>
      </c>
      <c r="AA94" s="879">
        <f t="shared" si="185"/>
        <v>301867.5</v>
      </c>
      <c r="AB94" s="885">
        <f t="shared" si="186"/>
        <v>27500</v>
      </c>
      <c r="AC94" s="884">
        <f t="shared" si="187"/>
        <v>0.3659</v>
      </c>
      <c r="AD94" s="879">
        <f t="shared" si="188"/>
        <v>311929.75</v>
      </c>
      <c r="AE94" s="885">
        <f t="shared" si="189"/>
        <v>27500</v>
      </c>
      <c r="AF94" s="884">
        <f t="shared" si="190"/>
        <v>0.3659</v>
      </c>
      <c r="AG94" s="879">
        <f t="shared" si="191"/>
        <v>311929.75</v>
      </c>
      <c r="AH94" s="885">
        <f t="shared" si="192"/>
        <v>27500</v>
      </c>
      <c r="AI94" s="884">
        <f t="shared" si="193"/>
        <v>0.3659</v>
      </c>
      <c r="AJ94" s="879">
        <f t="shared" si="194"/>
        <v>301867.5</v>
      </c>
      <c r="AK94" s="885">
        <f t="shared" si="195"/>
        <v>27500</v>
      </c>
      <c r="AL94" s="884">
        <f t="shared" si="196"/>
        <v>0.3659</v>
      </c>
      <c r="AM94" s="879">
        <f t="shared" si="197"/>
        <v>311929.75</v>
      </c>
      <c r="AN94" s="885">
        <f t="shared" si="198"/>
        <v>27500</v>
      </c>
      <c r="AO94" s="884">
        <f t="shared" si="199"/>
        <v>0.3659</v>
      </c>
      <c r="AP94" s="879">
        <f t="shared" si="200"/>
        <v>301867.5</v>
      </c>
      <c r="AQ94" s="885">
        <f t="shared" si="201"/>
        <v>27500</v>
      </c>
      <c r="AR94" s="884">
        <f t="shared" si="202"/>
        <v>0.3659</v>
      </c>
      <c r="AS94" s="879">
        <f t="shared" si="203"/>
        <v>311929.75</v>
      </c>
      <c r="AT94" s="879"/>
      <c r="AV94" s="33">
        <f t="shared" si="204"/>
        <v>3672721.25</v>
      </c>
      <c r="AW94" s="886"/>
      <c r="AY94" s="886"/>
      <c r="BB94" s="886"/>
    </row>
    <row r="95" spans="1:54" hidden="1" x14ac:dyDescent="0.2">
      <c r="A95" s="180">
        <v>27456</v>
      </c>
      <c r="B95" s="180" t="s">
        <v>300</v>
      </c>
      <c r="C95">
        <v>2002</v>
      </c>
      <c r="D95" s="181">
        <v>37561</v>
      </c>
      <c r="E95" s="181">
        <v>37621</v>
      </c>
      <c r="F95" s="733">
        <v>21500</v>
      </c>
      <c r="G95" s="170">
        <v>0.3659</v>
      </c>
      <c r="H95" s="170">
        <v>1.8599999999999998E-2</v>
      </c>
      <c r="I95" s="884">
        <f t="shared" si="167"/>
        <v>0.38450000000000001</v>
      </c>
      <c r="J95" s="885">
        <v>0</v>
      </c>
      <c r="K95" s="884">
        <f t="shared" si="169"/>
        <v>0.3659</v>
      </c>
      <c r="L95" s="879">
        <f t="shared" si="170"/>
        <v>0</v>
      </c>
      <c r="M95" s="885">
        <v>0</v>
      </c>
      <c r="N95" s="884">
        <f t="shared" si="172"/>
        <v>0.3659</v>
      </c>
      <c r="O95" s="879">
        <f t="shared" si="173"/>
        <v>0</v>
      </c>
      <c r="P95" s="885">
        <v>0</v>
      </c>
      <c r="Q95" s="884">
        <f t="shared" si="175"/>
        <v>0.3659</v>
      </c>
      <c r="R95" s="879">
        <f t="shared" si="176"/>
        <v>0</v>
      </c>
      <c r="S95" s="885">
        <v>0</v>
      </c>
      <c r="T95" s="884">
        <f t="shared" si="178"/>
        <v>0.3659</v>
      </c>
      <c r="U95" s="879">
        <v>0</v>
      </c>
      <c r="V95" s="885">
        <v>0</v>
      </c>
      <c r="W95" s="884">
        <f t="shared" si="181"/>
        <v>0.3659</v>
      </c>
      <c r="X95" s="879">
        <f t="shared" si="182"/>
        <v>0</v>
      </c>
      <c r="Y95" s="885">
        <v>0</v>
      </c>
      <c r="Z95" s="884">
        <f t="shared" si="184"/>
        <v>0.3659</v>
      </c>
      <c r="AA95" s="879">
        <f t="shared" si="185"/>
        <v>0</v>
      </c>
      <c r="AB95" s="885">
        <v>0</v>
      </c>
      <c r="AC95" s="884">
        <f t="shared" si="187"/>
        <v>0.3659</v>
      </c>
      <c r="AD95" s="879">
        <f t="shared" si="188"/>
        <v>0</v>
      </c>
      <c r="AE95" s="885">
        <v>0</v>
      </c>
      <c r="AF95" s="884">
        <f t="shared" si="190"/>
        <v>0.3659</v>
      </c>
      <c r="AG95" s="879">
        <f t="shared" si="191"/>
        <v>0</v>
      </c>
      <c r="AH95" s="885">
        <v>0</v>
      </c>
      <c r="AI95" s="884">
        <f t="shared" si="193"/>
        <v>0.3659</v>
      </c>
      <c r="AJ95" s="879">
        <f t="shared" si="194"/>
        <v>0</v>
      </c>
      <c r="AK95" s="885">
        <v>0</v>
      </c>
      <c r="AL95" s="884">
        <f t="shared" si="196"/>
        <v>0.3659</v>
      </c>
      <c r="AM95" s="879">
        <f t="shared" si="197"/>
        <v>0</v>
      </c>
      <c r="AN95" s="885">
        <f t="shared" si="198"/>
        <v>21500</v>
      </c>
      <c r="AO95" s="884">
        <f t="shared" si="199"/>
        <v>0.3659</v>
      </c>
      <c r="AP95" s="879">
        <f t="shared" si="200"/>
        <v>236005.5</v>
      </c>
      <c r="AQ95" s="885">
        <f t="shared" si="201"/>
        <v>21500</v>
      </c>
      <c r="AR95" s="884">
        <f t="shared" si="202"/>
        <v>0.3659</v>
      </c>
      <c r="AS95" s="879">
        <f t="shared" si="203"/>
        <v>243872.35</v>
      </c>
      <c r="AT95" s="879"/>
      <c r="AV95" s="33">
        <f t="shared" si="204"/>
        <v>479877.85</v>
      </c>
      <c r="AW95" s="886"/>
      <c r="AY95" s="886"/>
      <c r="BB95" s="886"/>
    </row>
    <row r="96" spans="1:54" s="906" customFormat="1" hidden="1" x14ac:dyDescent="0.2">
      <c r="A96" s="523">
        <v>27566</v>
      </c>
      <c r="B96" s="523" t="s">
        <v>293</v>
      </c>
      <c r="C96">
        <v>2002</v>
      </c>
      <c r="D96" s="524">
        <v>37316</v>
      </c>
      <c r="E96" s="524">
        <v>39172</v>
      </c>
      <c r="F96" s="522">
        <v>20000</v>
      </c>
      <c r="G96" s="525">
        <v>0.3679</v>
      </c>
      <c r="H96" s="525">
        <f>0.0186+0.005</f>
        <v>2.3599999999999999E-2</v>
      </c>
      <c r="I96" s="903">
        <f t="shared" si="167"/>
        <v>0.39150000000000001</v>
      </c>
      <c r="J96" s="904">
        <v>0</v>
      </c>
      <c r="K96" s="903">
        <f t="shared" si="169"/>
        <v>0.3679</v>
      </c>
      <c r="L96" s="905">
        <f t="shared" si="170"/>
        <v>0</v>
      </c>
      <c r="M96" s="904">
        <v>0</v>
      </c>
      <c r="N96" s="903">
        <f t="shared" si="172"/>
        <v>0.3679</v>
      </c>
      <c r="O96" s="905">
        <f t="shared" si="173"/>
        <v>0</v>
      </c>
      <c r="P96" s="904">
        <f>$F96</f>
        <v>20000</v>
      </c>
      <c r="Q96" s="903">
        <f t="shared" si="175"/>
        <v>0.3679</v>
      </c>
      <c r="R96" s="905">
        <f t="shared" si="176"/>
        <v>228098</v>
      </c>
      <c r="S96" s="904">
        <f>$F96</f>
        <v>20000</v>
      </c>
      <c r="T96" s="903">
        <f t="shared" si="178"/>
        <v>0.3679</v>
      </c>
      <c r="U96" s="905">
        <f>S96*T96*U$7</f>
        <v>220740</v>
      </c>
      <c r="V96" s="904">
        <f>$F96</f>
        <v>20000</v>
      </c>
      <c r="W96" s="903">
        <f t="shared" si="181"/>
        <v>0.3679</v>
      </c>
      <c r="X96" s="905">
        <f t="shared" si="182"/>
        <v>228098</v>
      </c>
      <c r="Y96" s="904">
        <f>$F96</f>
        <v>20000</v>
      </c>
      <c r="Z96" s="903">
        <f t="shared" si="184"/>
        <v>0.3679</v>
      </c>
      <c r="AA96" s="905">
        <f t="shared" si="185"/>
        <v>220740</v>
      </c>
      <c r="AB96" s="904">
        <f>$F96</f>
        <v>20000</v>
      </c>
      <c r="AC96" s="903">
        <f t="shared" si="187"/>
        <v>0.3679</v>
      </c>
      <c r="AD96" s="905">
        <f t="shared" si="188"/>
        <v>228098</v>
      </c>
      <c r="AE96" s="904">
        <f>$F96</f>
        <v>20000</v>
      </c>
      <c r="AF96" s="903">
        <f t="shared" si="190"/>
        <v>0.3679</v>
      </c>
      <c r="AG96" s="905">
        <f t="shared" si="191"/>
        <v>228098</v>
      </c>
      <c r="AH96" s="904">
        <f>$F96</f>
        <v>20000</v>
      </c>
      <c r="AI96" s="903">
        <f t="shared" si="193"/>
        <v>0.3679</v>
      </c>
      <c r="AJ96" s="905">
        <f t="shared" si="194"/>
        <v>220740</v>
      </c>
      <c r="AK96" s="904">
        <f>$F96</f>
        <v>20000</v>
      </c>
      <c r="AL96" s="903">
        <f t="shared" si="196"/>
        <v>0.3679</v>
      </c>
      <c r="AM96" s="905">
        <f t="shared" si="197"/>
        <v>228098</v>
      </c>
      <c r="AN96" s="904">
        <f t="shared" si="198"/>
        <v>20000</v>
      </c>
      <c r="AO96" s="903">
        <f t="shared" si="199"/>
        <v>0.3679</v>
      </c>
      <c r="AP96" s="905">
        <f t="shared" si="200"/>
        <v>220740</v>
      </c>
      <c r="AQ96" s="904">
        <f t="shared" si="201"/>
        <v>20000</v>
      </c>
      <c r="AR96" s="903">
        <f t="shared" si="202"/>
        <v>0.3679</v>
      </c>
      <c r="AS96" s="905">
        <f t="shared" si="203"/>
        <v>228098</v>
      </c>
      <c r="AT96" s="905"/>
      <c r="AV96" s="907">
        <f t="shared" si="204"/>
        <v>2251548</v>
      </c>
      <c r="AW96" s="908"/>
      <c r="AY96" s="908"/>
      <c r="BB96" s="908"/>
    </row>
    <row r="97" spans="1:54" hidden="1" x14ac:dyDescent="0.2">
      <c r="A97" s="591"/>
      <c r="B97" s="591"/>
      <c r="D97" s="593"/>
      <c r="E97" s="602" t="s">
        <v>742</v>
      </c>
      <c r="F97" s="603"/>
      <c r="G97" s="533"/>
      <c r="H97" s="533"/>
      <c r="I97" s="884"/>
      <c r="J97" s="885"/>
      <c r="K97" s="884"/>
      <c r="L97" s="879"/>
      <c r="M97" s="885"/>
      <c r="N97" s="884"/>
      <c r="O97" s="879"/>
      <c r="P97" s="885"/>
      <c r="Q97" s="884"/>
      <c r="R97" s="879"/>
      <c r="S97" s="885"/>
      <c r="T97" s="884"/>
      <c r="U97" s="879"/>
      <c r="V97" s="885"/>
      <c r="W97" s="884"/>
      <c r="X97" s="879"/>
      <c r="Y97" s="885"/>
      <c r="Z97" s="884"/>
      <c r="AA97" s="879"/>
      <c r="AB97" s="885"/>
      <c r="AC97" s="884"/>
      <c r="AD97" s="879"/>
      <c r="AE97" s="885"/>
      <c r="AF97" s="884"/>
      <c r="AG97" s="879"/>
      <c r="AH97" s="885"/>
      <c r="AI97" s="884"/>
      <c r="AJ97" s="879"/>
      <c r="AK97" s="885"/>
      <c r="AL97" s="884"/>
      <c r="AM97" s="879"/>
      <c r="AN97" s="885"/>
      <c r="AO97" s="884"/>
      <c r="AP97" s="879"/>
      <c r="AQ97" s="885"/>
      <c r="AR97" s="884"/>
      <c r="AS97" s="879"/>
      <c r="AT97" s="879"/>
      <c r="AV97" s="33"/>
      <c r="AW97" s="886"/>
      <c r="AY97" s="886"/>
      <c r="BB97" s="886"/>
    </row>
    <row r="98" spans="1:54" s="11" customFormat="1" hidden="1" x14ac:dyDescent="0.2">
      <c r="A98" s="591"/>
      <c r="B98" s="591"/>
      <c r="D98" s="593"/>
      <c r="E98" s="602"/>
      <c r="F98" s="530"/>
      <c r="G98" s="533"/>
      <c r="H98" s="533"/>
      <c r="I98" s="909"/>
      <c r="J98" s="885"/>
      <c r="K98" s="909"/>
      <c r="L98" s="891"/>
      <c r="M98" s="885"/>
      <c r="N98" s="909"/>
      <c r="O98" s="891"/>
      <c r="P98" s="885"/>
      <c r="Q98" s="909"/>
      <c r="R98" s="891"/>
      <c r="S98" s="885"/>
      <c r="T98" s="909"/>
      <c r="U98" s="891"/>
      <c r="V98" s="885"/>
      <c r="W98" s="909"/>
      <c r="X98" s="891"/>
      <c r="Y98" s="885"/>
      <c r="Z98" s="909"/>
      <c r="AA98" s="891"/>
      <c r="AB98" s="885"/>
      <c r="AC98" s="909"/>
      <c r="AD98" s="891"/>
      <c r="AE98" s="885"/>
      <c r="AF98" s="909"/>
      <c r="AG98" s="891"/>
      <c r="AH98" s="885"/>
      <c r="AI98" s="909"/>
      <c r="AJ98" s="891"/>
      <c r="AK98" s="885"/>
      <c r="AL98" s="909"/>
      <c r="AM98" s="891"/>
      <c r="AN98" s="885"/>
      <c r="AO98" s="909"/>
      <c r="AP98" s="891"/>
      <c r="AQ98" s="885"/>
      <c r="AR98" s="909"/>
      <c r="AS98" s="891"/>
      <c r="AT98" s="891"/>
      <c r="AV98" s="823"/>
      <c r="AW98" s="910"/>
      <c r="AY98" s="910"/>
      <c r="BB98" s="910"/>
    </row>
    <row r="99" spans="1:54" s="11" customFormat="1" hidden="1" x14ac:dyDescent="0.2">
      <c r="A99" s="540" t="s">
        <v>534</v>
      </c>
      <c r="B99" s="540" t="s">
        <v>494</v>
      </c>
      <c r="D99" s="593"/>
      <c r="E99" s="602"/>
      <c r="F99" s="603"/>
      <c r="G99" s="533"/>
      <c r="H99" s="533"/>
      <c r="I99" s="909"/>
      <c r="J99" s="885"/>
      <c r="K99" s="909"/>
      <c r="L99" s="891"/>
      <c r="M99" s="885"/>
      <c r="N99" s="909"/>
      <c r="O99" s="891"/>
      <c r="P99" s="885"/>
      <c r="Q99" s="909"/>
      <c r="R99" s="891"/>
      <c r="S99" s="885"/>
      <c r="T99" s="909"/>
      <c r="U99" s="891"/>
      <c r="V99" s="885"/>
      <c r="W99" s="909"/>
      <c r="X99" s="891"/>
      <c r="Y99" s="885"/>
      <c r="Z99" s="909"/>
      <c r="AA99" s="891"/>
      <c r="AB99" s="885"/>
      <c r="AC99" s="909"/>
      <c r="AD99" s="891"/>
      <c r="AE99" s="885"/>
      <c r="AF99" s="909"/>
      <c r="AG99" s="891"/>
      <c r="AH99" s="885"/>
      <c r="AI99" s="909"/>
      <c r="AJ99" s="891"/>
      <c r="AK99" s="885"/>
      <c r="AL99" s="909"/>
      <c r="AM99" s="891"/>
      <c r="AN99" s="885"/>
      <c r="AO99" s="909"/>
      <c r="AP99" s="891"/>
      <c r="AQ99" s="885"/>
      <c r="AR99" s="909"/>
      <c r="AS99" s="891"/>
      <c r="AT99" s="891"/>
      <c r="AV99" s="823"/>
      <c r="AW99" s="910"/>
      <c r="AY99" s="910"/>
      <c r="BB99" s="910"/>
    </row>
    <row r="100" spans="1:54" s="11" customFormat="1" hidden="1" x14ac:dyDescent="0.2">
      <c r="A100" s="180">
        <v>20746</v>
      </c>
      <c r="B100" s="180" t="s">
        <v>576</v>
      </c>
      <c r="C100" s="11">
        <v>2002</v>
      </c>
      <c r="D100" s="579" t="s">
        <v>5</v>
      </c>
      <c r="E100" s="181">
        <v>38835</v>
      </c>
      <c r="F100" s="733">
        <v>20000</v>
      </c>
      <c r="G100" s="170">
        <f>0.3109-0.0443</f>
        <v>0.2666</v>
      </c>
      <c r="H100" s="565">
        <v>1.84E-2</v>
      </c>
      <c r="I100" s="909">
        <f t="shared" ref="I100:I107" si="205">SUM(G100:H100)</f>
        <v>0.28500000000000003</v>
      </c>
      <c r="J100" s="885">
        <f t="shared" ref="J100:J107" si="206">$F100</f>
        <v>20000</v>
      </c>
      <c r="K100" s="909">
        <f t="shared" ref="K100:K107" si="207">$G100</f>
        <v>0.2666</v>
      </c>
      <c r="L100" s="891">
        <f t="shared" ref="L100:L107" si="208">J100*K100*L$7</f>
        <v>165292</v>
      </c>
      <c r="M100" s="885">
        <f t="shared" ref="M100:M107" si="209">$F100</f>
        <v>20000</v>
      </c>
      <c r="N100" s="909">
        <f t="shared" ref="N100:N107" si="210">$G100</f>
        <v>0.2666</v>
      </c>
      <c r="O100" s="891">
        <f t="shared" ref="O100:O107" si="211">M100*N100*O$7</f>
        <v>149296</v>
      </c>
      <c r="P100" s="885">
        <f>$F100</f>
        <v>20000</v>
      </c>
      <c r="Q100" s="909">
        <f t="shared" ref="Q100:Q107" si="212">$G100</f>
        <v>0.2666</v>
      </c>
      <c r="R100" s="891">
        <f t="shared" ref="R100:R107" si="213">P100*Q100*R$7</f>
        <v>165292</v>
      </c>
      <c r="S100" s="885">
        <f>$F100</f>
        <v>20000</v>
      </c>
      <c r="T100" s="909">
        <f t="shared" ref="T100:T107" si="214">$G100</f>
        <v>0.2666</v>
      </c>
      <c r="U100" s="891">
        <f t="shared" ref="U100:U107" si="215">S100*T100*U$7</f>
        <v>159960</v>
      </c>
      <c r="V100" s="885">
        <f>$F100</f>
        <v>20000</v>
      </c>
      <c r="W100" s="909">
        <f t="shared" ref="W100:W107" si="216">$G100</f>
        <v>0.2666</v>
      </c>
      <c r="X100" s="891">
        <f t="shared" ref="X100:X107" si="217">V100*W100*X$7</f>
        <v>165292</v>
      </c>
      <c r="Y100" s="885">
        <f>$F100</f>
        <v>20000</v>
      </c>
      <c r="Z100" s="909">
        <f t="shared" ref="Z100:Z107" si="218">$G100</f>
        <v>0.2666</v>
      </c>
      <c r="AA100" s="891">
        <f t="shared" ref="AA100:AA107" si="219">Y100*Z100*AA$7</f>
        <v>159960</v>
      </c>
      <c r="AB100" s="885">
        <f>$F100</f>
        <v>20000</v>
      </c>
      <c r="AC100" s="909">
        <f t="shared" ref="AC100:AC107" si="220">$G100</f>
        <v>0.2666</v>
      </c>
      <c r="AD100" s="891">
        <f t="shared" ref="AD100:AD107" si="221">AB100*AC100*AD$7</f>
        <v>165292</v>
      </c>
      <c r="AE100" s="885">
        <f>$F100</f>
        <v>20000</v>
      </c>
      <c r="AF100" s="909">
        <f t="shared" ref="AF100:AF107" si="222">$G100</f>
        <v>0.2666</v>
      </c>
      <c r="AG100" s="891">
        <f t="shared" ref="AG100:AG107" si="223">AE100*AF100*AG$7</f>
        <v>165292</v>
      </c>
      <c r="AH100" s="885">
        <f>$F100</f>
        <v>20000</v>
      </c>
      <c r="AI100" s="909">
        <f t="shared" ref="AI100:AI107" si="224">$G100</f>
        <v>0.2666</v>
      </c>
      <c r="AJ100" s="891">
        <f t="shared" ref="AJ100:AJ107" si="225">AH100*AI100*AJ$7</f>
        <v>159960</v>
      </c>
      <c r="AK100" s="885">
        <f>$F100</f>
        <v>20000</v>
      </c>
      <c r="AL100" s="909">
        <f t="shared" ref="AL100:AL107" si="226">$G100</f>
        <v>0.2666</v>
      </c>
      <c r="AM100" s="891">
        <f t="shared" ref="AM100:AM107" si="227">AK100*AL100*AM$7</f>
        <v>165292</v>
      </c>
      <c r="AN100" s="885">
        <f>$F100</f>
        <v>20000</v>
      </c>
      <c r="AO100" s="909">
        <f t="shared" ref="AO100:AO107" si="228">$G100</f>
        <v>0.2666</v>
      </c>
      <c r="AP100" s="891">
        <f t="shared" ref="AP100:AP107" si="229">AN100*AO100*AP$7</f>
        <v>159960</v>
      </c>
      <c r="AQ100" s="885">
        <f>$F100</f>
        <v>20000</v>
      </c>
      <c r="AR100" s="909">
        <f t="shared" ref="AR100:AR107" si="230">$G100</f>
        <v>0.2666</v>
      </c>
      <c r="AS100" s="891">
        <f t="shared" ref="AS100:AS107" si="231">AQ100*AR100*AS$7</f>
        <v>165292</v>
      </c>
      <c r="AT100" s="891"/>
      <c r="AV100" s="823">
        <f t="shared" ref="AV100:AV107" si="232">AS100+AP100+AM100+AJ100+AG100+AD100+AA100+X100+U100+R100+O100+L100</f>
        <v>1946180</v>
      </c>
      <c r="AW100" s="910"/>
      <c r="AY100" s="910"/>
      <c r="BB100" s="910"/>
    </row>
    <row r="101" spans="1:54" s="11" customFormat="1" hidden="1" x14ac:dyDescent="0.2">
      <c r="A101" s="180">
        <v>20747</v>
      </c>
      <c r="B101" s="180" t="s">
        <v>578</v>
      </c>
      <c r="C101" s="11">
        <v>2002</v>
      </c>
      <c r="D101" s="579" t="s">
        <v>579</v>
      </c>
      <c r="E101" s="181">
        <v>37315</v>
      </c>
      <c r="F101" s="733">
        <v>10000</v>
      </c>
      <c r="G101" s="170">
        <f>0.3062-0.0369</f>
        <v>0.26930000000000004</v>
      </c>
      <c r="H101" s="565">
        <v>2.5399999999999999E-2</v>
      </c>
      <c r="I101" s="909">
        <f t="shared" si="205"/>
        <v>0.29470000000000002</v>
      </c>
      <c r="J101" s="885">
        <f t="shared" si="206"/>
        <v>10000</v>
      </c>
      <c r="K101" s="909">
        <f t="shared" si="207"/>
        <v>0.26930000000000004</v>
      </c>
      <c r="L101" s="891">
        <f t="shared" si="208"/>
        <v>83483.000000000015</v>
      </c>
      <c r="M101" s="885">
        <f t="shared" si="209"/>
        <v>10000</v>
      </c>
      <c r="N101" s="909">
        <f t="shared" si="210"/>
        <v>0.26930000000000004</v>
      </c>
      <c r="O101" s="891">
        <f t="shared" si="211"/>
        <v>75404.000000000015</v>
      </c>
      <c r="P101" s="885">
        <v>0</v>
      </c>
      <c r="Q101" s="909">
        <f t="shared" si="212"/>
        <v>0.26930000000000004</v>
      </c>
      <c r="R101" s="891">
        <f t="shared" si="213"/>
        <v>0</v>
      </c>
      <c r="S101" s="885">
        <v>0</v>
      </c>
      <c r="T101" s="909">
        <f t="shared" si="214"/>
        <v>0.26930000000000004</v>
      </c>
      <c r="U101" s="891">
        <f t="shared" si="215"/>
        <v>0</v>
      </c>
      <c r="V101" s="885">
        <v>0</v>
      </c>
      <c r="W101" s="909">
        <f t="shared" si="216"/>
        <v>0.26930000000000004</v>
      </c>
      <c r="X101" s="891">
        <f t="shared" si="217"/>
        <v>0</v>
      </c>
      <c r="Y101" s="885">
        <v>0</v>
      </c>
      <c r="Z101" s="909">
        <f t="shared" si="218"/>
        <v>0.26930000000000004</v>
      </c>
      <c r="AA101" s="891">
        <f t="shared" si="219"/>
        <v>0</v>
      </c>
      <c r="AB101" s="885">
        <v>0</v>
      </c>
      <c r="AC101" s="909">
        <f t="shared" si="220"/>
        <v>0.26930000000000004</v>
      </c>
      <c r="AD101" s="891">
        <f t="shared" si="221"/>
        <v>0</v>
      </c>
      <c r="AE101" s="885">
        <v>0</v>
      </c>
      <c r="AF101" s="909">
        <f t="shared" si="222"/>
        <v>0.26930000000000004</v>
      </c>
      <c r="AG101" s="891">
        <f t="shared" si="223"/>
        <v>0</v>
      </c>
      <c r="AH101" s="885">
        <v>0</v>
      </c>
      <c r="AI101" s="909">
        <f t="shared" si="224"/>
        <v>0.26930000000000004</v>
      </c>
      <c r="AJ101" s="891">
        <f t="shared" si="225"/>
        <v>0</v>
      </c>
      <c r="AK101" s="885">
        <v>0</v>
      </c>
      <c r="AL101" s="909">
        <f t="shared" si="226"/>
        <v>0.26930000000000004</v>
      </c>
      <c r="AM101" s="891">
        <f t="shared" si="227"/>
        <v>0</v>
      </c>
      <c r="AN101" s="885">
        <v>0</v>
      </c>
      <c r="AO101" s="909">
        <f t="shared" si="228"/>
        <v>0.26930000000000004</v>
      </c>
      <c r="AP101" s="891">
        <f t="shared" si="229"/>
        <v>0</v>
      </c>
      <c r="AQ101" s="885">
        <v>0</v>
      </c>
      <c r="AR101" s="909">
        <f t="shared" si="230"/>
        <v>0.26930000000000004</v>
      </c>
      <c r="AS101" s="891">
        <f t="shared" si="231"/>
        <v>0</v>
      </c>
      <c r="AT101" s="891"/>
      <c r="AV101" s="823">
        <f t="shared" si="232"/>
        <v>158887.00000000003</v>
      </c>
      <c r="AW101" s="910"/>
      <c r="AY101" s="910"/>
      <c r="BB101" s="910"/>
    </row>
    <row r="102" spans="1:54" s="11" customFormat="1" hidden="1" x14ac:dyDescent="0.2">
      <c r="A102" s="180">
        <v>20748</v>
      </c>
      <c r="B102" s="180" t="s">
        <v>578</v>
      </c>
      <c r="C102" s="11">
        <v>2002</v>
      </c>
      <c r="D102" s="579" t="s">
        <v>579</v>
      </c>
      <c r="E102" s="181">
        <v>37315</v>
      </c>
      <c r="F102" s="733">
        <v>10000</v>
      </c>
      <c r="G102" s="170">
        <f>0.305-0.0369</f>
        <v>0.2681</v>
      </c>
      <c r="H102" s="565">
        <v>2.5399999999999999E-2</v>
      </c>
      <c r="I102" s="909">
        <f t="shared" si="205"/>
        <v>0.29349999999999998</v>
      </c>
      <c r="J102" s="885">
        <f t="shared" si="206"/>
        <v>10000</v>
      </c>
      <c r="K102" s="909">
        <f t="shared" si="207"/>
        <v>0.2681</v>
      </c>
      <c r="L102" s="891">
        <f t="shared" si="208"/>
        <v>83111</v>
      </c>
      <c r="M102" s="885">
        <f t="shared" si="209"/>
        <v>10000</v>
      </c>
      <c r="N102" s="909">
        <f t="shared" si="210"/>
        <v>0.2681</v>
      </c>
      <c r="O102" s="891">
        <f t="shared" si="211"/>
        <v>75068</v>
      </c>
      <c r="P102" s="885">
        <v>0</v>
      </c>
      <c r="Q102" s="909">
        <f t="shared" si="212"/>
        <v>0.2681</v>
      </c>
      <c r="R102" s="891">
        <f t="shared" si="213"/>
        <v>0</v>
      </c>
      <c r="S102" s="885">
        <v>0</v>
      </c>
      <c r="T102" s="909">
        <f t="shared" si="214"/>
        <v>0.2681</v>
      </c>
      <c r="U102" s="891">
        <f t="shared" si="215"/>
        <v>0</v>
      </c>
      <c r="V102" s="885">
        <v>0</v>
      </c>
      <c r="W102" s="909">
        <f t="shared" si="216"/>
        <v>0.2681</v>
      </c>
      <c r="X102" s="891">
        <f t="shared" si="217"/>
        <v>0</v>
      </c>
      <c r="Y102" s="885">
        <v>0</v>
      </c>
      <c r="Z102" s="909">
        <f t="shared" si="218"/>
        <v>0.2681</v>
      </c>
      <c r="AA102" s="891">
        <f t="shared" si="219"/>
        <v>0</v>
      </c>
      <c r="AB102" s="885">
        <v>0</v>
      </c>
      <c r="AC102" s="909">
        <f t="shared" si="220"/>
        <v>0.2681</v>
      </c>
      <c r="AD102" s="891">
        <f t="shared" si="221"/>
        <v>0</v>
      </c>
      <c r="AE102" s="885">
        <v>0</v>
      </c>
      <c r="AF102" s="909">
        <f t="shared" si="222"/>
        <v>0.2681</v>
      </c>
      <c r="AG102" s="891">
        <f t="shared" si="223"/>
        <v>0</v>
      </c>
      <c r="AH102" s="885">
        <v>0</v>
      </c>
      <c r="AI102" s="909">
        <f t="shared" si="224"/>
        <v>0.2681</v>
      </c>
      <c r="AJ102" s="891">
        <f t="shared" si="225"/>
        <v>0</v>
      </c>
      <c r="AK102" s="885">
        <v>0</v>
      </c>
      <c r="AL102" s="909">
        <f t="shared" si="226"/>
        <v>0.2681</v>
      </c>
      <c r="AM102" s="891">
        <f t="shared" si="227"/>
        <v>0</v>
      </c>
      <c r="AN102" s="885">
        <v>0</v>
      </c>
      <c r="AO102" s="909">
        <f t="shared" si="228"/>
        <v>0.2681</v>
      </c>
      <c r="AP102" s="891">
        <f t="shared" si="229"/>
        <v>0</v>
      </c>
      <c r="AQ102" s="885">
        <v>0</v>
      </c>
      <c r="AR102" s="909">
        <f t="shared" si="230"/>
        <v>0.2681</v>
      </c>
      <c r="AS102" s="891">
        <f t="shared" si="231"/>
        <v>0</v>
      </c>
      <c r="AT102" s="891"/>
      <c r="AV102" s="823">
        <f t="shared" si="232"/>
        <v>158179</v>
      </c>
      <c r="AW102" s="910"/>
      <c r="AY102" s="910"/>
      <c r="BB102" s="910"/>
    </row>
    <row r="103" spans="1:54" s="11" customFormat="1" hidden="1" x14ac:dyDescent="0.2">
      <c r="A103" s="180">
        <v>21165</v>
      </c>
      <c r="B103" s="180" t="s">
        <v>581</v>
      </c>
      <c r="C103" s="11">
        <v>2002</v>
      </c>
      <c r="D103" s="579" t="s">
        <v>579</v>
      </c>
      <c r="E103" s="181">
        <v>39172</v>
      </c>
      <c r="F103" s="733">
        <v>150000</v>
      </c>
      <c r="G103" s="170">
        <f>0.3138-0.0443</f>
        <v>0.26950000000000002</v>
      </c>
      <c r="H103" s="565">
        <v>2.5399999999999999E-2</v>
      </c>
      <c r="I103" s="909">
        <f t="shared" si="205"/>
        <v>0.2949</v>
      </c>
      <c r="J103" s="885">
        <f t="shared" si="206"/>
        <v>150000</v>
      </c>
      <c r="K103" s="909">
        <f t="shared" si="207"/>
        <v>0.26950000000000002</v>
      </c>
      <c r="L103" s="891">
        <f t="shared" si="208"/>
        <v>1253175</v>
      </c>
      <c r="M103" s="885">
        <f t="shared" si="209"/>
        <v>150000</v>
      </c>
      <c r="N103" s="909">
        <f t="shared" si="210"/>
        <v>0.26950000000000002</v>
      </c>
      <c r="O103" s="891">
        <f t="shared" si="211"/>
        <v>1131900</v>
      </c>
      <c r="P103" s="885">
        <f>$F103</f>
        <v>150000</v>
      </c>
      <c r="Q103" s="909">
        <f t="shared" si="212"/>
        <v>0.26950000000000002</v>
      </c>
      <c r="R103" s="891">
        <f t="shared" si="213"/>
        <v>1253175</v>
      </c>
      <c r="S103" s="885">
        <f>$F103</f>
        <v>150000</v>
      </c>
      <c r="T103" s="909">
        <f t="shared" si="214"/>
        <v>0.26950000000000002</v>
      </c>
      <c r="U103" s="891">
        <f t="shared" si="215"/>
        <v>1212750</v>
      </c>
      <c r="V103" s="885">
        <f>$F103</f>
        <v>150000</v>
      </c>
      <c r="W103" s="909">
        <f t="shared" si="216"/>
        <v>0.26950000000000002</v>
      </c>
      <c r="X103" s="891">
        <f t="shared" si="217"/>
        <v>1253175</v>
      </c>
      <c r="Y103" s="885">
        <f>$F103</f>
        <v>150000</v>
      </c>
      <c r="Z103" s="909">
        <f t="shared" si="218"/>
        <v>0.26950000000000002</v>
      </c>
      <c r="AA103" s="891">
        <f t="shared" si="219"/>
        <v>1212750</v>
      </c>
      <c r="AB103" s="885">
        <f>$F103</f>
        <v>150000</v>
      </c>
      <c r="AC103" s="909">
        <f t="shared" si="220"/>
        <v>0.26950000000000002</v>
      </c>
      <c r="AD103" s="891">
        <f t="shared" si="221"/>
        <v>1253175</v>
      </c>
      <c r="AE103" s="885">
        <f>$F103</f>
        <v>150000</v>
      </c>
      <c r="AF103" s="909">
        <f t="shared" si="222"/>
        <v>0.26950000000000002</v>
      </c>
      <c r="AG103" s="891">
        <f t="shared" si="223"/>
        <v>1253175</v>
      </c>
      <c r="AH103" s="885">
        <f>$F103</f>
        <v>150000</v>
      </c>
      <c r="AI103" s="909">
        <f t="shared" si="224"/>
        <v>0.26950000000000002</v>
      </c>
      <c r="AJ103" s="891">
        <f t="shared" si="225"/>
        <v>1212750</v>
      </c>
      <c r="AK103" s="885">
        <f>$F103</f>
        <v>150000</v>
      </c>
      <c r="AL103" s="909">
        <f t="shared" si="226"/>
        <v>0.26950000000000002</v>
      </c>
      <c r="AM103" s="891">
        <f t="shared" si="227"/>
        <v>1253175</v>
      </c>
      <c r="AN103" s="885">
        <f>$F103</f>
        <v>150000</v>
      </c>
      <c r="AO103" s="909">
        <f t="shared" si="228"/>
        <v>0.26950000000000002</v>
      </c>
      <c r="AP103" s="891">
        <f t="shared" si="229"/>
        <v>1212750</v>
      </c>
      <c r="AQ103" s="885">
        <f>$F103</f>
        <v>150000</v>
      </c>
      <c r="AR103" s="909">
        <f t="shared" si="230"/>
        <v>0.26950000000000002</v>
      </c>
      <c r="AS103" s="891">
        <f t="shared" si="231"/>
        <v>1253175</v>
      </c>
      <c r="AT103" s="891"/>
      <c r="AV103" s="823">
        <f t="shared" si="232"/>
        <v>14755125</v>
      </c>
      <c r="AW103" s="910"/>
      <c r="AY103" s="910"/>
      <c r="BB103" s="910"/>
    </row>
    <row r="104" spans="1:54" s="11" customFormat="1" hidden="1" x14ac:dyDescent="0.2">
      <c r="A104" s="180">
        <v>26372</v>
      </c>
      <c r="B104" s="588" t="s">
        <v>542</v>
      </c>
      <c r="C104" s="11">
        <v>2002</v>
      </c>
      <c r="D104" s="579" t="s">
        <v>579</v>
      </c>
      <c r="E104" s="181">
        <v>39172</v>
      </c>
      <c r="F104" s="733">
        <v>25000</v>
      </c>
      <c r="G104" s="170">
        <f>0.3137-0.0443</f>
        <v>0.26939999999999997</v>
      </c>
      <c r="H104" s="565">
        <v>2.5399999999999999E-2</v>
      </c>
      <c r="I104" s="909">
        <f t="shared" si="205"/>
        <v>0.29479999999999995</v>
      </c>
      <c r="J104" s="885">
        <f t="shared" si="206"/>
        <v>25000</v>
      </c>
      <c r="K104" s="909">
        <f t="shared" si="207"/>
        <v>0.26939999999999997</v>
      </c>
      <c r="L104" s="891">
        <f t="shared" si="208"/>
        <v>208784.99999999997</v>
      </c>
      <c r="M104" s="885">
        <f t="shared" si="209"/>
        <v>25000</v>
      </c>
      <c r="N104" s="909">
        <f t="shared" si="210"/>
        <v>0.26939999999999997</v>
      </c>
      <c r="O104" s="891">
        <f t="shared" si="211"/>
        <v>188579.99999999997</v>
      </c>
      <c r="P104" s="885">
        <f>$F104</f>
        <v>25000</v>
      </c>
      <c r="Q104" s="909">
        <f t="shared" si="212"/>
        <v>0.26939999999999997</v>
      </c>
      <c r="R104" s="891">
        <f t="shared" si="213"/>
        <v>208784.99999999997</v>
      </c>
      <c r="S104" s="885">
        <f>$F104</f>
        <v>25000</v>
      </c>
      <c r="T104" s="909">
        <f t="shared" si="214"/>
        <v>0.26939999999999997</v>
      </c>
      <c r="U104" s="891">
        <f t="shared" si="215"/>
        <v>202049.99999999997</v>
      </c>
      <c r="V104" s="885">
        <f>$F104</f>
        <v>25000</v>
      </c>
      <c r="W104" s="909">
        <f t="shared" si="216"/>
        <v>0.26939999999999997</v>
      </c>
      <c r="X104" s="891">
        <f t="shared" si="217"/>
        <v>208784.99999999997</v>
      </c>
      <c r="Y104" s="885">
        <f>$F104</f>
        <v>25000</v>
      </c>
      <c r="Z104" s="909">
        <f t="shared" si="218"/>
        <v>0.26939999999999997</v>
      </c>
      <c r="AA104" s="891">
        <f t="shared" si="219"/>
        <v>202049.99999999997</v>
      </c>
      <c r="AB104" s="885">
        <f>$F104</f>
        <v>25000</v>
      </c>
      <c r="AC104" s="909">
        <f t="shared" si="220"/>
        <v>0.26939999999999997</v>
      </c>
      <c r="AD104" s="891">
        <f t="shared" si="221"/>
        <v>208784.99999999997</v>
      </c>
      <c r="AE104" s="885">
        <f>$F104</f>
        <v>25000</v>
      </c>
      <c r="AF104" s="909">
        <f t="shared" si="222"/>
        <v>0.26939999999999997</v>
      </c>
      <c r="AG104" s="891">
        <f t="shared" si="223"/>
        <v>208784.99999999997</v>
      </c>
      <c r="AH104" s="885">
        <f>$F104</f>
        <v>25000</v>
      </c>
      <c r="AI104" s="909">
        <f t="shared" si="224"/>
        <v>0.26939999999999997</v>
      </c>
      <c r="AJ104" s="891">
        <f t="shared" si="225"/>
        <v>202049.99999999997</v>
      </c>
      <c r="AK104" s="885">
        <f>$F104</f>
        <v>25000</v>
      </c>
      <c r="AL104" s="909">
        <f t="shared" si="226"/>
        <v>0.26939999999999997</v>
      </c>
      <c r="AM104" s="891">
        <f t="shared" si="227"/>
        <v>208784.99999999997</v>
      </c>
      <c r="AN104" s="885">
        <f>$F104</f>
        <v>25000</v>
      </c>
      <c r="AO104" s="909">
        <f t="shared" si="228"/>
        <v>0.26939999999999997</v>
      </c>
      <c r="AP104" s="891">
        <f t="shared" si="229"/>
        <v>202049.99999999997</v>
      </c>
      <c r="AQ104" s="885">
        <f>$F104</f>
        <v>25000</v>
      </c>
      <c r="AR104" s="909">
        <f t="shared" si="230"/>
        <v>0.26939999999999997</v>
      </c>
      <c r="AS104" s="891">
        <f t="shared" si="231"/>
        <v>208784.99999999997</v>
      </c>
      <c r="AT104" s="891"/>
      <c r="AV104" s="823">
        <f t="shared" si="232"/>
        <v>2458274.9999999995</v>
      </c>
      <c r="AW104" s="910"/>
      <c r="AY104" s="910"/>
      <c r="BB104" s="910"/>
    </row>
    <row r="105" spans="1:54" s="11" customFormat="1" hidden="1" x14ac:dyDescent="0.2">
      <c r="A105" s="180">
        <v>20822</v>
      </c>
      <c r="B105" s="180" t="s">
        <v>582</v>
      </c>
      <c r="C105" s="11">
        <v>2002</v>
      </c>
      <c r="D105" s="579" t="s">
        <v>579</v>
      </c>
      <c r="E105" s="181">
        <v>39141</v>
      </c>
      <c r="F105" s="733">
        <v>25000</v>
      </c>
      <c r="G105" s="170">
        <f>0.2096-0.0369</f>
        <v>0.17270000000000002</v>
      </c>
      <c r="H105" s="565">
        <v>2.5399999999999999E-2</v>
      </c>
      <c r="I105" s="909">
        <f t="shared" si="205"/>
        <v>0.19810000000000003</v>
      </c>
      <c r="J105" s="885">
        <f t="shared" si="206"/>
        <v>25000</v>
      </c>
      <c r="K105" s="909">
        <f t="shared" si="207"/>
        <v>0.17270000000000002</v>
      </c>
      <c r="L105" s="891">
        <f t="shared" si="208"/>
        <v>133842.50000000003</v>
      </c>
      <c r="M105" s="885">
        <f t="shared" si="209"/>
        <v>25000</v>
      </c>
      <c r="N105" s="909">
        <f t="shared" si="210"/>
        <v>0.17270000000000002</v>
      </c>
      <c r="O105" s="891">
        <f t="shared" si="211"/>
        <v>120890.00000000003</v>
      </c>
      <c r="P105" s="885">
        <f>$F105</f>
        <v>25000</v>
      </c>
      <c r="Q105" s="909">
        <f t="shared" si="212"/>
        <v>0.17270000000000002</v>
      </c>
      <c r="R105" s="891">
        <f t="shared" si="213"/>
        <v>133842.50000000003</v>
      </c>
      <c r="S105" s="885">
        <f>$F105</f>
        <v>25000</v>
      </c>
      <c r="T105" s="909">
        <f t="shared" si="214"/>
        <v>0.17270000000000002</v>
      </c>
      <c r="U105" s="891">
        <f t="shared" si="215"/>
        <v>129525.00000000003</v>
      </c>
      <c r="V105" s="885">
        <f>$F105</f>
        <v>25000</v>
      </c>
      <c r="W105" s="909">
        <f t="shared" si="216"/>
        <v>0.17270000000000002</v>
      </c>
      <c r="X105" s="891">
        <f t="shared" si="217"/>
        <v>133842.50000000003</v>
      </c>
      <c r="Y105" s="885">
        <f>$F105</f>
        <v>25000</v>
      </c>
      <c r="Z105" s="909">
        <f t="shared" si="218"/>
        <v>0.17270000000000002</v>
      </c>
      <c r="AA105" s="891">
        <f t="shared" si="219"/>
        <v>129525.00000000003</v>
      </c>
      <c r="AB105" s="885">
        <f>$F105</f>
        <v>25000</v>
      </c>
      <c r="AC105" s="909">
        <f t="shared" si="220"/>
        <v>0.17270000000000002</v>
      </c>
      <c r="AD105" s="891">
        <f t="shared" si="221"/>
        <v>133842.50000000003</v>
      </c>
      <c r="AE105" s="885">
        <f>$F105</f>
        <v>25000</v>
      </c>
      <c r="AF105" s="909">
        <f t="shared" si="222"/>
        <v>0.17270000000000002</v>
      </c>
      <c r="AG105" s="891">
        <f t="shared" si="223"/>
        <v>133842.50000000003</v>
      </c>
      <c r="AH105" s="885">
        <f>$F105</f>
        <v>25000</v>
      </c>
      <c r="AI105" s="909">
        <f t="shared" si="224"/>
        <v>0.17270000000000002</v>
      </c>
      <c r="AJ105" s="891">
        <f t="shared" si="225"/>
        <v>129525.00000000003</v>
      </c>
      <c r="AK105" s="885">
        <f>$F105</f>
        <v>25000</v>
      </c>
      <c r="AL105" s="909">
        <f t="shared" si="226"/>
        <v>0.17270000000000002</v>
      </c>
      <c r="AM105" s="891">
        <f t="shared" si="227"/>
        <v>133842.50000000003</v>
      </c>
      <c r="AN105" s="885">
        <f>$F105</f>
        <v>25000</v>
      </c>
      <c r="AO105" s="909">
        <f t="shared" si="228"/>
        <v>0.17270000000000002</v>
      </c>
      <c r="AP105" s="891">
        <f t="shared" si="229"/>
        <v>129525.00000000003</v>
      </c>
      <c r="AQ105" s="885">
        <f>$F105</f>
        <v>25000</v>
      </c>
      <c r="AR105" s="909">
        <f t="shared" si="230"/>
        <v>0.17270000000000002</v>
      </c>
      <c r="AS105" s="891">
        <f t="shared" si="231"/>
        <v>133842.50000000003</v>
      </c>
      <c r="AT105" s="891"/>
      <c r="AV105" s="823">
        <f t="shared" si="232"/>
        <v>1575887.5000000002</v>
      </c>
      <c r="AW105" s="910"/>
      <c r="AY105" s="910"/>
      <c r="BB105" s="910"/>
    </row>
    <row r="106" spans="1:54" s="11" customFormat="1" hidden="1" x14ac:dyDescent="0.2">
      <c r="A106" s="180">
        <v>26678</v>
      </c>
      <c r="B106" s="510" t="s">
        <v>544</v>
      </c>
      <c r="C106" s="11">
        <v>2002</v>
      </c>
      <c r="D106" s="579" t="s">
        <v>579</v>
      </c>
      <c r="E106" s="181">
        <v>39172</v>
      </c>
      <c r="F106" s="733">
        <v>25000</v>
      </c>
      <c r="G106" s="170">
        <f>0.3124-0.0443</f>
        <v>0.2681</v>
      </c>
      <c r="H106" s="565">
        <v>2.5399999999999999E-2</v>
      </c>
      <c r="I106" s="909">
        <f t="shared" si="205"/>
        <v>0.29349999999999998</v>
      </c>
      <c r="J106" s="885">
        <f t="shared" si="206"/>
        <v>25000</v>
      </c>
      <c r="K106" s="909">
        <f t="shared" si="207"/>
        <v>0.2681</v>
      </c>
      <c r="L106" s="891">
        <f t="shared" si="208"/>
        <v>207777.5</v>
      </c>
      <c r="M106" s="885">
        <f t="shared" si="209"/>
        <v>25000</v>
      </c>
      <c r="N106" s="909">
        <f t="shared" si="210"/>
        <v>0.2681</v>
      </c>
      <c r="O106" s="891">
        <f t="shared" si="211"/>
        <v>187670</v>
      </c>
      <c r="P106" s="885">
        <f>$F106</f>
        <v>25000</v>
      </c>
      <c r="Q106" s="909">
        <f t="shared" si="212"/>
        <v>0.2681</v>
      </c>
      <c r="R106" s="891">
        <f t="shared" si="213"/>
        <v>207777.5</v>
      </c>
      <c r="S106" s="885">
        <f>$F106</f>
        <v>25000</v>
      </c>
      <c r="T106" s="909">
        <f t="shared" si="214"/>
        <v>0.2681</v>
      </c>
      <c r="U106" s="891">
        <f t="shared" si="215"/>
        <v>201075</v>
      </c>
      <c r="V106" s="885">
        <f>$F106</f>
        <v>25000</v>
      </c>
      <c r="W106" s="909">
        <f t="shared" si="216"/>
        <v>0.2681</v>
      </c>
      <c r="X106" s="891">
        <f t="shared" si="217"/>
        <v>207777.5</v>
      </c>
      <c r="Y106" s="885">
        <f>$F106</f>
        <v>25000</v>
      </c>
      <c r="Z106" s="909">
        <f t="shared" si="218"/>
        <v>0.2681</v>
      </c>
      <c r="AA106" s="891">
        <f t="shared" si="219"/>
        <v>201075</v>
      </c>
      <c r="AB106" s="885">
        <f>$F106</f>
        <v>25000</v>
      </c>
      <c r="AC106" s="909">
        <f t="shared" si="220"/>
        <v>0.2681</v>
      </c>
      <c r="AD106" s="891">
        <f t="shared" si="221"/>
        <v>207777.5</v>
      </c>
      <c r="AE106" s="885">
        <f>$F106</f>
        <v>25000</v>
      </c>
      <c r="AF106" s="909">
        <f t="shared" si="222"/>
        <v>0.2681</v>
      </c>
      <c r="AG106" s="891">
        <f t="shared" si="223"/>
        <v>207777.5</v>
      </c>
      <c r="AH106" s="885">
        <f>$F106</f>
        <v>25000</v>
      </c>
      <c r="AI106" s="909">
        <f t="shared" si="224"/>
        <v>0.2681</v>
      </c>
      <c r="AJ106" s="891">
        <f t="shared" si="225"/>
        <v>201075</v>
      </c>
      <c r="AK106" s="885">
        <f>$F106</f>
        <v>25000</v>
      </c>
      <c r="AL106" s="909">
        <f t="shared" si="226"/>
        <v>0.2681</v>
      </c>
      <c r="AM106" s="891">
        <f t="shared" si="227"/>
        <v>207777.5</v>
      </c>
      <c r="AN106" s="885">
        <f>$F106</f>
        <v>25000</v>
      </c>
      <c r="AO106" s="909">
        <f t="shared" si="228"/>
        <v>0.2681</v>
      </c>
      <c r="AP106" s="891">
        <f t="shared" si="229"/>
        <v>201075</v>
      </c>
      <c r="AQ106" s="885">
        <f>$F106</f>
        <v>25000</v>
      </c>
      <c r="AR106" s="909">
        <f t="shared" si="230"/>
        <v>0.2681</v>
      </c>
      <c r="AS106" s="891">
        <f t="shared" si="231"/>
        <v>207777.5</v>
      </c>
      <c r="AT106" s="891"/>
      <c r="AV106" s="823">
        <f t="shared" si="232"/>
        <v>2446412.5</v>
      </c>
      <c r="AW106" s="910"/>
      <c r="AY106" s="910"/>
      <c r="BB106" s="910"/>
    </row>
    <row r="107" spans="1:54" s="11" customFormat="1" hidden="1" x14ac:dyDescent="0.2">
      <c r="A107" s="180">
        <v>27583</v>
      </c>
      <c r="B107" s="510" t="s">
        <v>584</v>
      </c>
      <c r="C107" s="11">
        <v>2002</v>
      </c>
      <c r="D107" s="623" t="s">
        <v>585</v>
      </c>
      <c r="E107" s="624" t="s">
        <v>586</v>
      </c>
      <c r="F107" s="733">
        <v>1300</v>
      </c>
      <c r="G107" s="170">
        <v>0.22889999999999999</v>
      </c>
      <c r="H107" s="565">
        <v>1.5299999999999999E-2</v>
      </c>
      <c r="I107" s="909">
        <f t="shared" si="205"/>
        <v>0.2442</v>
      </c>
      <c r="J107" s="885">
        <f t="shared" si="206"/>
        <v>1300</v>
      </c>
      <c r="K107" s="909">
        <f t="shared" si="207"/>
        <v>0.22889999999999999</v>
      </c>
      <c r="L107" s="891">
        <f t="shared" si="208"/>
        <v>9224.67</v>
      </c>
      <c r="M107" s="885">
        <f t="shared" si="209"/>
        <v>1300</v>
      </c>
      <c r="N107" s="909">
        <f t="shared" si="210"/>
        <v>0.22889999999999999</v>
      </c>
      <c r="O107" s="891">
        <f t="shared" si="211"/>
        <v>8331.9599999999991</v>
      </c>
      <c r="P107" s="885">
        <f>$F107</f>
        <v>1300</v>
      </c>
      <c r="Q107" s="909">
        <f t="shared" si="212"/>
        <v>0.22889999999999999</v>
      </c>
      <c r="R107" s="891">
        <f t="shared" si="213"/>
        <v>9224.67</v>
      </c>
      <c r="S107" s="885">
        <f>$F107</f>
        <v>1300</v>
      </c>
      <c r="T107" s="909">
        <f t="shared" si="214"/>
        <v>0.22889999999999999</v>
      </c>
      <c r="U107" s="891">
        <f t="shared" si="215"/>
        <v>8927.1</v>
      </c>
      <c r="V107" s="885">
        <f>$F107</f>
        <v>1300</v>
      </c>
      <c r="W107" s="909">
        <f t="shared" si="216"/>
        <v>0.22889999999999999</v>
      </c>
      <c r="X107" s="891">
        <f t="shared" si="217"/>
        <v>9224.67</v>
      </c>
      <c r="Y107" s="885">
        <v>0</v>
      </c>
      <c r="Z107" s="909">
        <f t="shared" si="218"/>
        <v>0.22889999999999999</v>
      </c>
      <c r="AA107" s="891">
        <f t="shared" si="219"/>
        <v>0</v>
      </c>
      <c r="AB107" s="885">
        <v>0</v>
      </c>
      <c r="AC107" s="909">
        <f t="shared" si="220"/>
        <v>0.22889999999999999</v>
      </c>
      <c r="AD107" s="891">
        <f t="shared" si="221"/>
        <v>0</v>
      </c>
      <c r="AE107" s="885">
        <v>0</v>
      </c>
      <c r="AF107" s="909">
        <f t="shared" si="222"/>
        <v>0.22889999999999999</v>
      </c>
      <c r="AG107" s="891">
        <f t="shared" si="223"/>
        <v>0</v>
      </c>
      <c r="AH107" s="885">
        <v>0</v>
      </c>
      <c r="AI107" s="909">
        <f t="shared" si="224"/>
        <v>0.22889999999999999</v>
      </c>
      <c r="AJ107" s="891">
        <f t="shared" si="225"/>
        <v>0</v>
      </c>
      <c r="AK107" s="885">
        <v>0</v>
      </c>
      <c r="AL107" s="909">
        <f t="shared" si="226"/>
        <v>0.22889999999999999</v>
      </c>
      <c r="AM107" s="891">
        <f t="shared" si="227"/>
        <v>0</v>
      </c>
      <c r="AN107" s="885">
        <v>0</v>
      </c>
      <c r="AO107" s="909">
        <f t="shared" si="228"/>
        <v>0.22889999999999999</v>
      </c>
      <c r="AP107" s="891">
        <f t="shared" si="229"/>
        <v>0</v>
      </c>
      <c r="AQ107" s="885">
        <v>0</v>
      </c>
      <c r="AR107" s="909">
        <f t="shared" si="230"/>
        <v>0.22889999999999999</v>
      </c>
      <c r="AS107" s="891">
        <f t="shared" si="231"/>
        <v>0</v>
      </c>
      <c r="AT107" s="891"/>
      <c r="AV107" s="823">
        <f t="shared" si="232"/>
        <v>44933.07</v>
      </c>
      <c r="AW107" s="910"/>
      <c r="AY107" s="910"/>
      <c r="BB107" s="910"/>
    </row>
    <row r="108" spans="1:54" s="11" customFormat="1" hidden="1" x14ac:dyDescent="0.2">
      <c r="A108" s="591"/>
      <c r="B108" s="591"/>
      <c r="D108" s="489"/>
      <c r="E108" s="602"/>
      <c r="F108" s="603"/>
      <c r="G108" s="533"/>
      <c r="H108" s="533"/>
      <c r="I108" s="909"/>
      <c r="J108" s="885"/>
      <c r="K108" s="909"/>
      <c r="L108" s="891"/>
      <c r="M108" s="885"/>
      <c r="N108" s="909"/>
      <c r="O108" s="891"/>
      <c r="P108" s="885"/>
      <c r="Q108" s="909"/>
      <c r="R108" s="891"/>
      <c r="S108" s="885"/>
      <c r="T108" s="909"/>
      <c r="U108" s="891"/>
      <c r="V108" s="885"/>
      <c r="W108" s="909"/>
      <c r="X108" s="891"/>
      <c r="Y108" s="885"/>
      <c r="Z108" s="909"/>
      <c r="AA108" s="891"/>
      <c r="AB108" s="885"/>
      <c r="AC108" s="909"/>
      <c r="AD108" s="891"/>
      <c r="AE108" s="885"/>
      <c r="AF108" s="909"/>
      <c r="AG108" s="891"/>
      <c r="AH108" s="885"/>
      <c r="AI108" s="909"/>
      <c r="AJ108" s="891"/>
      <c r="AK108" s="885"/>
      <c r="AL108" s="909"/>
      <c r="AM108" s="891"/>
      <c r="AN108" s="885"/>
      <c r="AO108" s="909"/>
      <c r="AP108" s="891"/>
      <c r="AQ108" s="885"/>
      <c r="AR108" s="909"/>
      <c r="AS108" s="891"/>
      <c r="AT108" s="891"/>
      <c r="AV108" s="823"/>
      <c r="AW108" s="910"/>
      <c r="AY108" s="910"/>
      <c r="BB108" s="910"/>
    </row>
    <row r="109" spans="1:54" s="11" customFormat="1" hidden="1" x14ac:dyDescent="0.2">
      <c r="A109" s="540" t="s">
        <v>512</v>
      </c>
      <c r="B109" s="540" t="s">
        <v>512</v>
      </c>
      <c r="C109" s="528"/>
      <c r="D109" s="528"/>
      <c r="E109" s="181"/>
      <c r="F109" s="840"/>
      <c r="G109" s="911"/>
      <c r="H109" s="909"/>
      <c r="I109" s="909"/>
      <c r="J109" s="885"/>
      <c r="K109" s="909"/>
      <c r="L109" s="891"/>
      <c r="M109" s="885"/>
      <c r="N109" s="909"/>
      <c r="O109" s="891"/>
      <c r="P109" s="885"/>
      <c r="Q109" s="909"/>
      <c r="R109" s="891"/>
      <c r="S109" s="885"/>
      <c r="T109" s="909"/>
      <c r="U109" s="891"/>
      <c r="V109" s="885"/>
      <c r="W109" s="909"/>
      <c r="X109" s="891"/>
      <c r="Y109" s="885"/>
      <c r="Z109" s="909"/>
      <c r="AA109" s="891"/>
      <c r="AB109" s="885"/>
      <c r="AC109" s="909"/>
      <c r="AD109" s="891"/>
      <c r="AE109" s="885"/>
      <c r="AF109" s="909"/>
      <c r="AG109" s="891"/>
      <c r="AH109" s="885"/>
      <c r="AI109" s="909"/>
      <c r="AJ109" s="891"/>
      <c r="AK109" s="885"/>
      <c r="AL109" s="909"/>
      <c r="AM109" s="891"/>
      <c r="AN109" s="885"/>
      <c r="AO109" s="909"/>
      <c r="AP109" s="891"/>
      <c r="AQ109" s="885"/>
      <c r="AR109" s="909"/>
      <c r="AS109" s="891"/>
      <c r="AT109" s="891"/>
      <c r="AV109" s="823"/>
      <c r="AW109" s="910"/>
      <c r="AX109" s="823"/>
      <c r="AY109" s="910"/>
      <c r="BB109" s="910"/>
    </row>
    <row r="110" spans="1:54" s="11" customFormat="1" hidden="1" x14ac:dyDescent="0.2">
      <c r="A110" s="180">
        <v>20715</v>
      </c>
      <c r="B110" s="180" t="s">
        <v>285</v>
      </c>
      <c r="C110" s="11">
        <v>2002</v>
      </c>
      <c r="D110" s="579" t="s">
        <v>8</v>
      </c>
      <c r="E110" s="181">
        <v>38656</v>
      </c>
      <c r="F110" s="733">
        <v>200000</v>
      </c>
      <c r="G110" s="170">
        <v>0.1052</v>
      </c>
      <c r="H110" s="565">
        <v>1.1000000000000001E-3</v>
      </c>
      <c r="I110" s="909">
        <f t="shared" ref="I110:I118" si="233">SUM(G110:H110)</f>
        <v>0.10630000000000001</v>
      </c>
      <c r="J110" s="885">
        <f t="shared" ref="J110:J118" si="234">$F110</f>
        <v>200000</v>
      </c>
      <c r="K110" s="909">
        <f t="shared" ref="K110:K118" si="235">$G110</f>
        <v>0.1052</v>
      </c>
      <c r="L110" s="891">
        <f t="shared" ref="L110:L118" si="236">J110*K110*L$7</f>
        <v>652240</v>
      </c>
      <c r="M110" s="885">
        <f t="shared" ref="M110:M118" si="237">$F110</f>
        <v>200000</v>
      </c>
      <c r="N110" s="909">
        <f t="shared" ref="N110:N118" si="238">$G110</f>
        <v>0.1052</v>
      </c>
      <c r="O110" s="891">
        <f t="shared" ref="O110:O118" si="239">M110*N110*O$7</f>
        <v>589120</v>
      </c>
      <c r="P110" s="885">
        <f t="shared" ref="P110:P118" si="240">$F110</f>
        <v>200000</v>
      </c>
      <c r="Q110" s="909">
        <f t="shared" ref="Q110:Q118" si="241">$G110</f>
        <v>0.1052</v>
      </c>
      <c r="R110" s="891">
        <f t="shared" ref="R110:R118" si="242">P110*Q110*R$7</f>
        <v>652240</v>
      </c>
      <c r="S110" s="885">
        <f t="shared" ref="S110:S118" si="243">$F110</f>
        <v>200000</v>
      </c>
      <c r="T110" s="909">
        <f t="shared" ref="T110:T118" si="244">$G110</f>
        <v>0.1052</v>
      </c>
      <c r="U110" s="891">
        <f t="shared" ref="U110:U118" si="245">S110*T110*U$7</f>
        <v>631200</v>
      </c>
      <c r="V110" s="885">
        <f t="shared" ref="V110:V118" si="246">$F110</f>
        <v>200000</v>
      </c>
      <c r="W110" s="909">
        <f t="shared" ref="W110:W118" si="247">$G110</f>
        <v>0.1052</v>
      </c>
      <c r="X110" s="891">
        <f t="shared" ref="X110:X118" si="248">V110*W110*X$7</f>
        <v>652240</v>
      </c>
      <c r="Y110" s="885">
        <f t="shared" ref="Y110:Y118" si="249">$F110</f>
        <v>200000</v>
      </c>
      <c r="Z110" s="909">
        <f t="shared" ref="Z110:Z118" si="250">$G110</f>
        <v>0.1052</v>
      </c>
      <c r="AA110" s="891">
        <f t="shared" ref="AA110:AA118" si="251">Y110*Z110*AA$7</f>
        <v>631200</v>
      </c>
      <c r="AB110" s="885">
        <f t="shared" ref="AB110:AB118" si="252">$F110</f>
        <v>200000</v>
      </c>
      <c r="AC110" s="909">
        <f t="shared" ref="AC110:AC118" si="253">$G110</f>
        <v>0.1052</v>
      </c>
      <c r="AD110" s="891">
        <f t="shared" ref="AD110:AD118" si="254">AB110*AC110*AD$7</f>
        <v>652240</v>
      </c>
      <c r="AE110" s="885">
        <f t="shared" ref="AE110:AE118" si="255">$F110</f>
        <v>200000</v>
      </c>
      <c r="AF110" s="909">
        <f t="shared" ref="AF110:AF118" si="256">$G110</f>
        <v>0.1052</v>
      </c>
      <c r="AG110" s="891">
        <f t="shared" ref="AG110:AG118" si="257">AE110*AF110*AG$7</f>
        <v>652240</v>
      </c>
      <c r="AH110" s="885">
        <f t="shared" ref="AH110:AH118" si="258">$F110</f>
        <v>200000</v>
      </c>
      <c r="AI110" s="909">
        <f t="shared" ref="AI110:AI118" si="259">$G110</f>
        <v>0.1052</v>
      </c>
      <c r="AJ110" s="891">
        <f t="shared" ref="AJ110:AJ118" si="260">AH110*AI110*AJ$7</f>
        <v>631200</v>
      </c>
      <c r="AK110" s="885">
        <f t="shared" ref="AK110:AK118" si="261">$F110</f>
        <v>200000</v>
      </c>
      <c r="AL110" s="909">
        <f t="shared" ref="AL110:AL118" si="262">$G110</f>
        <v>0.1052</v>
      </c>
      <c r="AM110" s="891">
        <f t="shared" ref="AM110:AM118" si="263">AK110*AL110*AM$7</f>
        <v>652240</v>
      </c>
      <c r="AN110" s="885">
        <f t="shared" ref="AN110:AN118" si="264">$F110</f>
        <v>200000</v>
      </c>
      <c r="AO110" s="909">
        <f t="shared" ref="AO110:AO118" si="265">$G110</f>
        <v>0.1052</v>
      </c>
      <c r="AP110" s="891">
        <f t="shared" ref="AP110:AP118" si="266">AN110*AO110*AP$7</f>
        <v>631200</v>
      </c>
      <c r="AQ110" s="885">
        <f t="shared" ref="AQ110:AQ118" si="267">$F110</f>
        <v>200000</v>
      </c>
      <c r="AR110" s="909">
        <f t="shared" ref="AR110:AR118" si="268">$G110</f>
        <v>0.1052</v>
      </c>
      <c r="AS110" s="891">
        <f t="shared" ref="AS110:AS118" si="269">AQ110*AR110*AS$7</f>
        <v>652240</v>
      </c>
      <c r="AT110" s="891"/>
      <c r="AV110" s="823">
        <f t="shared" ref="AV110:AV118" si="270">AS110+AP110+AM110+AJ110+AG110+AD110+AA110+X110+U110+R110+O110+L110</f>
        <v>7679600</v>
      </c>
      <c r="AW110" s="910"/>
      <c r="AX110" s="823"/>
      <c r="AY110" s="910"/>
      <c r="BB110" s="910"/>
    </row>
    <row r="111" spans="1:54" s="11" customFormat="1" hidden="1" x14ac:dyDescent="0.2">
      <c r="A111" s="180">
        <v>20835</v>
      </c>
      <c r="B111" s="180" t="s">
        <v>293</v>
      </c>
      <c r="C111" s="11">
        <v>2002</v>
      </c>
      <c r="D111" s="579" t="s">
        <v>535</v>
      </c>
      <c r="E111" s="181">
        <v>37315</v>
      </c>
      <c r="F111" s="733">
        <v>20000</v>
      </c>
      <c r="G111" s="170">
        <v>0.1052</v>
      </c>
      <c r="H111" s="565">
        <v>1.1000000000000001E-3</v>
      </c>
      <c r="I111" s="909">
        <f t="shared" si="233"/>
        <v>0.10630000000000001</v>
      </c>
      <c r="J111" s="885">
        <f t="shared" si="234"/>
        <v>20000</v>
      </c>
      <c r="K111" s="909">
        <f t="shared" si="235"/>
        <v>0.1052</v>
      </c>
      <c r="L111" s="891">
        <f t="shared" si="236"/>
        <v>65224</v>
      </c>
      <c r="M111" s="885">
        <f t="shared" si="237"/>
        <v>20000</v>
      </c>
      <c r="N111" s="909">
        <f t="shared" si="238"/>
        <v>0.1052</v>
      </c>
      <c r="O111" s="891">
        <f t="shared" si="239"/>
        <v>58912</v>
      </c>
      <c r="P111" s="885">
        <f t="shared" si="240"/>
        <v>20000</v>
      </c>
      <c r="Q111" s="909">
        <f t="shared" si="241"/>
        <v>0.1052</v>
      </c>
      <c r="R111" s="891">
        <f t="shared" si="242"/>
        <v>65224</v>
      </c>
      <c r="S111" s="885">
        <f t="shared" si="243"/>
        <v>20000</v>
      </c>
      <c r="T111" s="909">
        <f t="shared" si="244"/>
        <v>0.1052</v>
      </c>
      <c r="U111" s="891">
        <f t="shared" si="245"/>
        <v>63120</v>
      </c>
      <c r="V111" s="885">
        <f t="shared" si="246"/>
        <v>20000</v>
      </c>
      <c r="W111" s="909">
        <f t="shared" si="247"/>
        <v>0.1052</v>
      </c>
      <c r="X111" s="891">
        <f t="shared" si="248"/>
        <v>65224</v>
      </c>
      <c r="Y111" s="885">
        <f t="shared" si="249"/>
        <v>20000</v>
      </c>
      <c r="Z111" s="909">
        <f t="shared" si="250"/>
        <v>0.1052</v>
      </c>
      <c r="AA111" s="891">
        <f t="shared" si="251"/>
        <v>63120</v>
      </c>
      <c r="AB111" s="885">
        <f t="shared" si="252"/>
        <v>20000</v>
      </c>
      <c r="AC111" s="909">
        <f t="shared" si="253"/>
        <v>0.1052</v>
      </c>
      <c r="AD111" s="891">
        <f t="shared" si="254"/>
        <v>65224</v>
      </c>
      <c r="AE111" s="885">
        <f t="shared" si="255"/>
        <v>20000</v>
      </c>
      <c r="AF111" s="909">
        <f t="shared" si="256"/>
        <v>0.1052</v>
      </c>
      <c r="AG111" s="891">
        <f t="shared" si="257"/>
        <v>65224</v>
      </c>
      <c r="AH111" s="885">
        <f t="shared" si="258"/>
        <v>20000</v>
      </c>
      <c r="AI111" s="909">
        <f t="shared" si="259"/>
        <v>0.1052</v>
      </c>
      <c r="AJ111" s="891">
        <f t="shared" si="260"/>
        <v>63120</v>
      </c>
      <c r="AK111" s="885">
        <f t="shared" si="261"/>
        <v>20000</v>
      </c>
      <c r="AL111" s="909">
        <f t="shared" si="262"/>
        <v>0.1052</v>
      </c>
      <c r="AM111" s="891">
        <f t="shared" si="263"/>
        <v>65224</v>
      </c>
      <c r="AN111" s="885">
        <f t="shared" si="264"/>
        <v>20000</v>
      </c>
      <c r="AO111" s="909">
        <f t="shared" si="265"/>
        <v>0.1052</v>
      </c>
      <c r="AP111" s="891">
        <f t="shared" si="266"/>
        <v>63120</v>
      </c>
      <c r="AQ111" s="885">
        <f t="shared" si="267"/>
        <v>20000</v>
      </c>
      <c r="AR111" s="909">
        <f t="shared" si="268"/>
        <v>0.1052</v>
      </c>
      <c r="AS111" s="891">
        <f t="shared" si="269"/>
        <v>65224</v>
      </c>
      <c r="AT111" s="891"/>
      <c r="AV111" s="823">
        <f t="shared" si="270"/>
        <v>767960</v>
      </c>
      <c r="AW111" s="910"/>
      <c r="AX111" s="823"/>
      <c r="AY111" s="910"/>
      <c r="BB111" s="910"/>
    </row>
    <row r="112" spans="1:54" s="11" customFormat="1" hidden="1" x14ac:dyDescent="0.2">
      <c r="A112" s="180">
        <v>21175</v>
      </c>
      <c r="B112" s="180" t="s">
        <v>536</v>
      </c>
      <c r="C112" s="11">
        <v>2002</v>
      </c>
      <c r="D112" s="579" t="s">
        <v>535</v>
      </c>
      <c r="E112" s="181">
        <v>39172</v>
      </c>
      <c r="F112" s="733">
        <v>150000</v>
      </c>
      <c r="G112" s="170">
        <v>0.1052</v>
      </c>
      <c r="H112" s="565">
        <v>1.1000000000000001E-3</v>
      </c>
      <c r="I112" s="909">
        <f t="shared" si="233"/>
        <v>0.10630000000000001</v>
      </c>
      <c r="J112" s="885">
        <f t="shared" si="234"/>
        <v>150000</v>
      </c>
      <c r="K112" s="909">
        <f t="shared" si="235"/>
        <v>0.1052</v>
      </c>
      <c r="L112" s="891">
        <f t="shared" si="236"/>
        <v>489180</v>
      </c>
      <c r="M112" s="885">
        <f t="shared" si="237"/>
        <v>150000</v>
      </c>
      <c r="N112" s="909">
        <f t="shared" si="238"/>
        <v>0.1052</v>
      </c>
      <c r="O112" s="891">
        <f t="shared" si="239"/>
        <v>441840</v>
      </c>
      <c r="P112" s="885">
        <f t="shared" si="240"/>
        <v>150000</v>
      </c>
      <c r="Q112" s="909">
        <f t="shared" si="241"/>
        <v>0.1052</v>
      </c>
      <c r="R112" s="891">
        <f t="shared" si="242"/>
        <v>489180</v>
      </c>
      <c r="S112" s="885">
        <f t="shared" si="243"/>
        <v>150000</v>
      </c>
      <c r="T112" s="909">
        <f t="shared" si="244"/>
        <v>0.1052</v>
      </c>
      <c r="U112" s="891">
        <f t="shared" si="245"/>
        <v>473400</v>
      </c>
      <c r="V112" s="885">
        <f t="shared" si="246"/>
        <v>150000</v>
      </c>
      <c r="W112" s="909">
        <f t="shared" si="247"/>
        <v>0.1052</v>
      </c>
      <c r="X112" s="891">
        <f t="shared" si="248"/>
        <v>489180</v>
      </c>
      <c r="Y112" s="885">
        <f t="shared" si="249"/>
        <v>150000</v>
      </c>
      <c r="Z112" s="909">
        <f t="shared" si="250"/>
        <v>0.1052</v>
      </c>
      <c r="AA112" s="891">
        <f t="shared" si="251"/>
        <v>473400</v>
      </c>
      <c r="AB112" s="885">
        <f t="shared" si="252"/>
        <v>150000</v>
      </c>
      <c r="AC112" s="909">
        <f t="shared" si="253"/>
        <v>0.1052</v>
      </c>
      <c r="AD112" s="891">
        <f t="shared" si="254"/>
        <v>489180</v>
      </c>
      <c r="AE112" s="885">
        <f t="shared" si="255"/>
        <v>150000</v>
      </c>
      <c r="AF112" s="909">
        <f t="shared" si="256"/>
        <v>0.1052</v>
      </c>
      <c r="AG112" s="891">
        <f t="shared" si="257"/>
        <v>489180</v>
      </c>
      <c r="AH112" s="885">
        <f t="shared" si="258"/>
        <v>150000</v>
      </c>
      <c r="AI112" s="909">
        <f t="shared" si="259"/>
        <v>0.1052</v>
      </c>
      <c r="AJ112" s="891">
        <f t="shared" si="260"/>
        <v>473400</v>
      </c>
      <c r="AK112" s="885">
        <f t="shared" si="261"/>
        <v>150000</v>
      </c>
      <c r="AL112" s="909">
        <f t="shared" si="262"/>
        <v>0.1052</v>
      </c>
      <c r="AM112" s="891">
        <f t="shared" si="263"/>
        <v>489180</v>
      </c>
      <c r="AN112" s="885">
        <f t="shared" si="264"/>
        <v>150000</v>
      </c>
      <c r="AO112" s="909">
        <f t="shared" si="265"/>
        <v>0.1052</v>
      </c>
      <c r="AP112" s="891">
        <f t="shared" si="266"/>
        <v>473400</v>
      </c>
      <c r="AQ112" s="885">
        <f t="shared" si="267"/>
        <v>150000</v>
      </c>
      <c r="AR112" s="909">
        <f t="shared" si="268"/>
        <v>0.1052</v>
      </c>
      <c r="AS112" s="891">
        <f t="shared" si="269"/>
        <v>489180</v>
      </c>
      <c r="AT112" s="891"/>
      <c r="AV112" s="823">
        <f t="shared" si="270"/>
        <v>5759700</v>
      </c>
      <c r="AW112" s="910"/>
      <c r="AX112" s="823"/>
      <c r="AY112" s="910"/>
      <c r="BB112" s="910"/>
    </row>
    <row r="113" spans="1:54" s="11" customFormat="1" hidden="1" x14ac:dyDescent="0.2">
      <c r="A113" s="488">
        <v>21372</v>
      </c>
      <c r="B113" s="488" t="s">
        <v>539</v>
      </c>
      <c r="C113" s="11">
        <v>2002</v>
      </c>
      <c r="D113" s="584" t="s">
        <v>540</v>
      </c>
      <c r="E113" s="489">
        <v>34393</v>
      </c>
      <c r="F113" s="733">
        <v>1346</v>
      </c>
      <c r="G113" s="534"/>
      <c r="H113" s="585"/>
      <c r="I113" s="909">
        <f t="shared" si="233"/>
        <v>0</v>
      </c>
      <c r="J113" s="885">
        <f t="shared" si="234"/>
        <v>1346</v>
      </c>
      <c r="K113" s="909">
        <f t="shared" si="235"/>
        <v>0</v>
      </c>
      <c r="L113" s="891">
        <f t="shared" si="236"/>
        <v>0</v>
      </c>
      <c r="M113" s="885">
        <f t="shared" si="237"/>
        <v>1346</v>
      </c>
      <c r="N113" s="909">
        <f t="shared" si="238"/>
        <v>0</v>
      </c>
      <c r="O113" s="891">
        <f t="shared" si="239"/>
        <v>0</v>
      </c>
      <c r="P113" s="885">
        <f t="shared" si="240"/>
        <v>1346</v>
      </c>
      <c r="Q113" s="909">
        <f t="shared" si="241"/>
        <v>0</v>
      </c>
      <c r="R113" s="891">
        <f t="shared" si="242"/>
        <v>0</v>
      </c>
      <c r="S113" s="885">
        <f t="shared" si="243"/>
        <v>1346</v>
      </c>
      <c r="T113" s="909">
        <f t="shared" si="244"/>
        <v>0</v>
      </c>
      <c r="U113" s="891">
        <f t="shared" si="245"/>
        <v>0</v>
      </c>
      <c r="V113" s="885">
        <f t="shared" si="246"/>
        <v>1346</v>
      </c>
      <c r="W113" s="909">
        <f t="shared" si="247"/>
        <v>0</v>
      </c>
      <c r="X113" s="891">
        <f t="shared" si="248"/>
        <v>0</v>
      </c>
      <c r="Y113" s="885">
        <f t="shared" si="249"/>
        <v>1346</v>
      </c>
      <c r="Z113" s="909">
        <f t="shared" si="250"/>
        <v>0</v>
      </c>
      <c r="AA113" s="891">
        <f t="shared" si="251"/>
        <v>0</v>
      </c>
      <c r="AB113" s="885">
        <f t="shared" si="252"/>
        <v>1346</v>
      </c>
      <c r="AC113" s="909">
        <f t="shared" si="253"/>
        <v>0</v>
      </c>
      <c r="AD113" s="891">
        <f t="shared" si="254"/>
        <v>0</v>
      </c>
      <c r="AE113" s="885">
        <f t="shared" si="255"/>
        <v>1346</v>
      </c>
      <c r="AF113" s="909">
        <f t="shared" si="256"/>
        <v>0</v>
      </c>
      <c r="AG113" s="891">
        <f t="shared" si="257"/>
        <v>0</v>
      </c>
      <c r="AH113" s="885">
        <f t="shared" si="258"/>
        <v>1346</v>
      </c>
      <c r="AI113" s="909">
        <f t="shared" si="259"/>
        <v>0</v>
      </c>
      <c r="AJ113" s="891">
        <f t="shared" si="260"/>
        <v>0</v>
      </c>
      <c r="AK113" s="885">
        <f t="shared" si="261"/>
        <v>1346</v>
      </c>
      <c r="AL113" s="909">
        <f t="shared" si="262"/>
        <v>0</v>
      </c>
      <c r="AM113" s="891">
        <f t="shared" si="263"/>
        <v>0</v>
      </c>
      <c r="AN113" s="885">
        <f t="shared" si="264"/>
        <v>1346</v>
      </c>
      <c r="AO113" s="909">
        <f t="shared" si="265"/>
        <v>0</v>
      </c>
      <c r="AP113" s="891">
        <f t="shared" si="266"/>
        <v>0</v>
      </c>
      <c r="AQ113" s="885">
        <f t="shared" si="267"/>
        <v>1346</v>
      </c>
      <c r="AR113" s="909">
        <f t="shared" si="268"/>
        <v>0</v>
      </c>
      <c r="AS113" s="891">
        <f t="shared" si="269"/>
        <v>0</v>
      </c>
      <c r="AT113" s="891"/>
      <c r="AV113" s="823">
        <f t="shared" si="270"/>
        <v>0</v>
      </c>
      <c r="AW113" s="910"/>
      <c r="AX113" s="823"/>
      <c r="AY113" s="910"/>
      <c r="BB113" s="910"/>
    </row>
    <row r="114" spans="1:54" s="11" customFormat="1" hidden="1" x14ac:dyDescent="0.2">
      <c r="A114" s="180">
        <v>21375</v>
      </c>
      <c r="B114" s="180" t="s">
        <v>301</v>
      </c>
      <c r="C114" s="11">
        <v>2002</v>
      </c>
      <c r="D114" s="579" t="s">
        <v>535</v>
      </c>
      <c r="E114" s="181">
        <v>39141</v>
      </c>
      <c r="F114" s="733">
        <v>20000</v>
      </c>
      <c r="G114" s="170">
        <v>0.1052</v>
      </c>
      <c r="H114" s="565">
        <v>1.1000000000000001E-3</v>
      </c>
      <c r="I114" s="909">
        <f t="shared" si="233"/>
        <v>0.10630000000000001</v>
      </c>
      <c r="J114" s="885">
        <f t="shared" si="234"/>
        <v>20000</v>
      </c>
      <c r="K114" s="909">
        <f t="shared" si="235"/>
        <v>0.1052</v>
      </c>
      <c r="L114" s="891">
        <f t="shared" si="236"/>
        <v>65224</v>
      </c>
      <c r="M114" s="885">
        <f t="shared" si="237"/>
        <v>20000</v>
      </c>
      <c r="N114" s="909">
        <f t="shared" si="238"/>
        <v>0.1052</v>
      </c>
      <c r="O114" s="891">
        <f t="shared" si="239"/>
        <v>58912</v>
      </c>
      <c r="P114" s="885">
        <f t="shared" si="240"/>
        <v>20000</v>
      </c>
      <c r="Q114" s="909">
        <f t="shared" si="241"/>
        <v>0.1052</v>
      </c>
      <c r="R114" s="891">
        <f t="shared" si="242"/>
        <v>65224</v>
      </c>
      <c r="S114" s="885">
        <f t="shared" si="243"/>
        <v>20000</v>
      </c>
      <c r="T114" s="909">
        <f t="shared" si="244"/>
        <v>0.1052</v>
      </c>
      <c r="U114" s="891">
        <f t="shared" si="245"/>
        <v>63120</v>
      </c>
      <c r="V114" s="885">
        <f t="shared" si="246"/>
        <v>20000</v>
      </c>
      <c r="W114" s="909">
        <f t="shared" si="247"/>
        <v>0.1052</v>
      </c>
      <c r="X114" s="891">
        <f t="shared" si="248"/>
        <v>65224</v>
      </c>
      <c r="Y114" s="885">
        <f t="shared" si="249"/>
        <v>20000</v>
      </c>
      <c r="Z114" s="909">
        <f t="shared" si="250"/>
        <v>0.1052</v>
      </c>
      <c r="AA114" s="891">
        <f t="shared" si="251"/>
        <v>63120</v>
      </c>
      <c r="AB114" s="885">
        <f t="shared" si="252"/>
        <v>20000</v>
      </c>
      <c r="AC114" s="909">
        <f t="shared" si="253"/>
        <v>0.1052</v>
      </c>
      <c r="AD114" s="891">
        <f t="shared" si="254"/>
        <v>65224</v>
      </c>
      <c r="AE114" s="885">
        <f t="shared" si="255"/>
        <v>20000</v>
      </c>
      <c r="AF114" s="909">
        <f t="shared" si="256"/>
        <v>0.1052</v>
      </c>
      <c r="AG114" s="891">
        <f t="shared" si="257"/>
        <v>65224</v>
      </c>
      <c r="AH114" s="885">
        <f t="shared" si="258"/>
        <v>20000</v>
      </c>
      <c r="AI114" s="909">
        <f t="shared" si="259"/>
        <v>0.1052</v>
      </c>
      <c r="AJ114" s="891">
        <f t="shared" si="260"/>
        <v>63120</v>
      </c>
      <c r="AK114" s="885">
        <f t="shared" si="261"/>
        <v>20000</v>
      </c>
      <c r="AL114" s="909">
        <f t="shared" si="262"/>
        <v>0.1052</v>
      </c>
      <c r="AM114" s="891">
        <f t="shared" si="263"/>
        <v>65224</v>
      </c>
      <c r="AN114" s="885">
        <f t="shared" si="264"/>
        <v>20000</v>
      </c>
      <c r="AO114" s="909">
        <f t="shared" si="265"/>
        <v>0.1052</v>
      </c>
      <c r="AP114" s="891">
        <f t="shared" si="266"/>
        <v>63120</v>
      </c>
      <c r="AQ114" s="885">
        <f t="shared" si="267"/>
        <v>20000</v>
      </c>
      <c r="AR114" s="909">
        <f t="shared" si="268"/>
        <v>0.1052</v>
      </c>
      <c r="AS114" s="891">
        <f t="shared" si="269"/>
        <v>65224</v>
      </c>
      <c r="AT114" s="891"/>
      <c r="AV114" s="823">
        <f t="shared" si="270"/>
        <v>767960</v>
      </c>
      <c r="AW114" s="910"/>
      <c r="AX114" s="823"/>
      <c r="AY114" s="910"/>
      <c r="BB114" s="910"/>
    </row>
    <row r="115" spans="1:54" s="11" customFormat="1" hidden="1" x14ac:dyDescent="0.2">
      <c r="A115" s="180">
        <v>26371</v>
      </c>
      <c r="B115" s="588" t="s">
        <v>542</v>
      </c>
      <c r="C115" s="11">
        <v>2002</v>
      </c>
      <c r="D115" s="579" t="s">
        <v>535</v>
      </c>
      <c r="E115" s="181">
        <v>39172</v>
      </c>
      <c r="F115" s="733">
        <v>25000</v>
      </c>
      <c r="G115" s="170">
        <v>0.1052</v>
      </c>
      <c r="H115" s="565">
        <v>1.1000000000000001E-3</v>
      </c>
      <c r="I115" s="909">
        <f t="shared" si="233"/>
        <v>0.10630000000000001</v>
      </c>
      <c r="J115" s="885">
        <f t="shared" si="234"/>
        <v>25000</v>
      </c>
      <c r="K115" s="909">
        <f t="shared" si="235"/>
        <v>0.1052</v>
      </c>
      <c r="L115" s="891">
        <f t="shared" si="236"/>
        <v>81530</v>
      </c>
      <c r="M115" s="885">
        <f t="shared" si="237"/>
        <v>25000</v>
      </c>
      <c r="N115" s="909">
        <f t="shared" si="238"/>
        <v>0.1052</v>
      </c>
      <c r="O115" s="891">
        <f t="shared" si="239"/>
        <v>73640</v>
      </c>
      <c r="P115" s="885">
        <f t="shared" si="240"/>
        <v>25000</v>
      </c>
      <c r="Q115" s="909">
        <f t="shared" si="241"/>
        <v>0.1052</v>
      </c>
      <c r="R115" s="891">
        <f t="shared" si="242"/>
        <v>81530</v>
      </c>
      <c r="S115" s="885">
        <f t="shared" si="243"/>
        <v>25000</v>
      </c>
      <c r="T115" s="909">
        <f t="shared" si="244"/>
        <v>0.1052</v>
      </c>
      <c r="U115" s="891">
        <f t="shared" si="245"/>
        <v>78900</v>
      </c>
      <c r="V115" s="885">
        <f t="shared" si="246"/>
        <v>25000</v>
      </c>
      <c r="W115" s="909">
        <f t="shared" si="247"/>
        <v>0.1052</v>
      </c>
      <c r="X115" s="891">
        <f t="shared" si="248"/>
        <v>81530</v>
      </c>
      <c r="Y115" s="885">
        <f t="shared" si="249"/>
        <v>25000</v>
      </c>
      <c r="Z115" s="909">
        <f t="shared" si="250"/>
        <v>0.1052</v>
      </c>
      <c r="AA115" s="891">
        <f t="shared" si="251"/>
        <v>78900</v>
      </c>
      <c r="AB115" s="885">
        <f t="shared" si="252"/>
        <v>25000</v>
      </c>
      <c r="AC115" s="909">
        <f t="shared" si="253"/>
        <v>0.1052</v>
      </c>
      <c r="AD115" s="891">
        <f t="shared" si="254"/>
        <v>81530</v>
      </c>
      <c r="AE115" s="885">
        <f t="shared" si="255"/>
        <v>25000</v>
      </c>
      <c r="AF115" s="909">
        <f t="shared" si="256"/>
        <v>0.1052</v>
      </c>
      <c r="AG115" s="891">
        <f t="shared" si="257"/>
        <v>81530</v>
      </c>
      <c r="AH115" s="885">
        <f t="shared" si="258"/>
        <v>25000</v>
      </c>
      <c r="AI115" s="909">
        <f t="shared" si="259"/>
        <v>0.1052</v>
      </c>
      <c r="AJ115" s="891">
        <f t="shared" si="260"/>
        <v>78900</v>
      </c>
      <c r="AK115" s="885">
        <f t="shared" si="261"/>
        <v>25000</v>
      </c>
      <c r="AL115" s="909">
        <f t="shared" si="262"/>
        <v>0.1052</v>
      </c>
      <c r="AM115" s="891">
        <f t="shared" si="263"/>
        <v>81530</v>
      </c>
      <c r="AN115" s="885">
        <f t="shared" si="264"/>
        <v>25000</v>
      </c>
      <c r="AO115" s="909">
        <f t="shared" si="265"/>
        <v>0.1052</v>
      </c>
      <c r="AP115" s="891">
        <f t="shared" si="266"/>
        <v>78900</v>
      </c>
      <c r="AQ115" s="885">
        <f t="shared" si="267"/>
        <v>25000</v>
      </c>
      <c r="AR115" s="909">
        <f t="shared" si="268"/>
        <v>0.1052</v>
      </c>
      <c r="AS115" s="891">
        <f t="shared" si="269"/>
        <v>81530</v>
      </c>
      <c r="AT115" s="891"/>
      <c r="AV115" s="823">
        <f t="shared" si="270"/>
        <v>959950</v>
      </c>
      <c r="AW115" s="910"/>
      <c r="AX115" s="823"/>
      <c r="AY115" s="910"/>
      <c r="BB115" s="910"/>
    </row>
    <row r="116" spans="1:54" s="11" customFormat="1" hidden="1" x14ac:dyDescent="0.2">
      <c r="A116" s="180">
        <v>26519</v>
      </c>
      <c r="B116" s="180" t="s">
        <v>543</v>
      </c>
      <c r="C116" s="11">
        <v>2002</v>
      </c>
      <c r="D116" s="579" t="s">
        <v>535</v>
      </c>
      <c r="E116" s="181">
        <v>39141</v>
      </c>
      <c r="F116" s="733">
        <v>25000</v>
      </c>
      <c r="G116" s="170">
        <v>0.1052</v>
      </c>
      <c r="H116" s="565">
        <v>1.1000000000000001E-3</v>
      </c>
      <c r="I116" s="909">
        <f t="shared" si="233"/>
        <v>0.10630000000000001</v>
      </c>
      <c r="J116" s="885">
        <f t="shared" si="234"/>
        <v>25000</v>
      </c>
      <c r="K116" s="909">
        <f t="shared" si="235"/>
        <v>0.1052</v>
      </c>
      <c r="L116" s="891">
        <f t="shared" si="236"/>
        <v>81530</v>
      </c>
      <c r="M116" s="885">
        <f t="shared" si="237"/>
        <v>25000</v>
      </c>
      <c r="N116" s="909">
        <f t="shared" si="238"/>
        <v>0.1052</v>
      </c>
      <c r="O116" s="891">
        <f t="shared" si="239"/>
        <v>73640</v>
      </c>
      <c r="P116" s="885">
        <f t="shared" si="240"/>
        <v>25000</v>
      </c>
      <c r="Q116" s="909">
        <f t="shared" si="241"/>
        <v>0.1052</v>
      </c>
      <c r="R116" s="891">
        <f t="shared" si="242"/>
        <v>81530</v>
      </c>
      <c r="S116" s="885">
        <f t="shared" si="243"/>
        <v>25000</v>
      </c>
      <c r="T116" s="909">
        <f t="shared" si="244"/>
        <v>0.1052</v>
      </c>
      <c r="U116" s="891">
        <f t="shared" si="245"/>
        <v>78900</v>
      </c>
      <c r="V116" s="885">
        <f t="shared" si="246"/>
        <v>25000</v>
      </c>
      <c r="W116" s="909">
        <f t="shared" si="247"/>
        <v>0.1052</v>
      </c>
      <c r="X116" s="891">
        <f t="shared" si="248"/>
        <v>81530</v>
      </c>
      <c r="Y116" s="885">
        <f t="shared" si="249"/>
        <v>25000</v>
      </c>
      <c r="Z116" s="909">
        <f t="shared" si="250"/>
        <v>0.1052</v>
      </c>
      <c r="AA116" s="891">
        <f t="shared" si="251"/>
        <v>78900</v>
      </c>
      <c r="AB116" s="885">
        <f t="shared" si="252"/>
        <v>25000</v>
      </c>
      <c r="AC116" s="909">
        <f t="shared" si="253"/>
        <v>0.1052</v>
      </c>
      <c r="AD116" s="891">
        <f t="shared" si="254"/>
        <v>81530</v>
      </c>
      <c r="AE116" s="885">
        <f t="shared" si="255"/>
        <v>25000</v>
      </c>
      <c r="AF116" s="909">
        <f t="shared" si="256"/>
        <v>0.1052</v>
      </c>
      <c r="AG116" s="891">
        <f t="shared" si="257"/>
        <v>81530</v>
      </c>
      <c r="AH116" s="885">
        <f t="shared" si="258"/>
        <v>25000</v>
      </c>
      <c r="AI116" s="909">
        <f t="shared" si="259"/>
        <v>0.1052</v>
      </c>
      <c r="AJ116" s="891">
        <f t="shared" si="260"/>
        <v>78900</v>
      </c>
      <c r="AK116" s="885">
        <f t="shared" si="261"/>
        <v>25000</v>
      </c>
      <c r="AL116" s="909">
        <f t="shared" si="262"/>
        <v>0.1052</v>
      </c>
      <c r="AM116" s="891">
        <f t="shared" si="263"/>
        <v>81530</v>
      </c>
      <c r="AN116" s="885">
        <f t="shared" si="264"/>
        <v>25000</v>
      </c>
      <c r="AO116" s="909">
        <f t="shared" si="265"/>
        <v>0.1052</v>
      </c>
      <c r="AP116" s="891">
        <f t="shared" si="266"/>
        <v>78900</v>
      </c>
      <c r="AQ116" s="885">
        <f t="shared" si="267"/>
        <v>25000</v>
      </c>
      <c r="AR116" s="909">
        <f t="shared" si="268"/>
        <v>0.1052</v>
      </c>
      <c r="AS116" s="891">
        <f t="shared" si="269"/>
        <v>81530</v>
      </c>
      <c r="AT116" s="891"/>
      <c r="AV116" s="823">
        <f t="shared" si="270"/>
        <v>959950</v>
      </c>
      <c r="AW116" s="910"/>
      <c r="AX116" s="823"/>
      <c r="AY116" s="910"/>
      <c r="BB116" s="910"/>
    </row>
    <row r="117" spans="1:54" s="11" customFormat="1" hidden="1" x14ac:dyDescent="0.2">
      <c r="A117" s="180">
        <v>26677</v>
      </c>
      <c r="B117" s="510" t="s">
        <v>544</v>
      </c>
      <c r="C117" s="11">
        <v>2002</v>
      </c>
      <c r="D117" s="579" t="s">
        <v>535</v>
      </c>
      <c r="E117" s="181">
        <v>39172</v>
      </c>
      <c r="F117" s="733">
        <v>25000</v>
      </c>
      <c r="G117" s="170">
        <v>0.1052</v>
      </c>
      <c r="H117" s="565">
        <v>1.1000000000000001E-3</v>
      </c>
      <c r="I117" s="909">
        <f t="shared" si="233"/>
        <v>0.10630000000000001</v>
      </c>
      <c r="J117" s="885">
        <f t="shared" si="234"/>
        <v>25000</v>
      </c>
      <c r="K117" s="909">
        <f t="shared" si="235"/>
        <v>0.1052</v>
      </c>
      <c r="L117" s="891">
        <f t="shared" si="236"/>
        <v>81530</v>
      </c>
      <c r="M117" s="885">
        <f t="shared" si="237"/>
        <v>25000</v>
      </c>
      <c r="N117" s="909">
        <f t="shared" si="238"/>
        <v>0.1052</v>
      </c>
      <c r="O117" s="891">
        <f t="shared" si="239"/>
        <v>73640</v>
      </c>
      <c r="P117" s="885">
        <f t="shared" si="240"/>
        <v>25000</v>
      </c>
      <c r="Q117" s="909">
        <f t="shared" si="241"/>
        <v>0.1052</v>
      </c>
      <c r="R117" s="891">
        <f t="shared" si="242"/>
        <v>81530</v>
      </c>
      <c r="S117" s="885">
        <f t="shared" si="243"/>
        <v>25000</v>
      </c>
      <c r="T117" s="909">
        <f t="shared" si="244"/>
        <v>0.1052</v>
      </c>
      <c r="U117" s="891">
        <f t="shared" si="245"/>
        <v>78900</v>
      </c>
      <c r="V117" s="885">
        <f t="shared" si="246"/>
        <v>25000</v>
      </c>
      <c r="W117" s="909">
        <f t="shared" si="247"/>
        <v>0.1052</v>
      </c>
      <c r="X117" s="891">
        <f t="shared" si="248"/>
        <v>81530</v>
      </c>
      <c r="Y117" s="885">
        <f t="shared" si="249"/>
        <v>25000</v>
      </c>
      <c r="Z117" s="909">
        <f t="shared" si="250"/>
        <v>0.1052</v>
      </c>
      <c r="AA117" s="891">
        <f t="shared" si="251"/>
        <v>78900</v>
      </c>
      <c r="AB117" s="885">
        <f t="shared" si="252"/>
        <v>25000</v>
      </c>
      <c r="AC117" s="909">
        <f t="shared" si="253"/>
        <v>0.1052</v>
      </c>
      <c r="AD117" s="891">
        <f t="shared" si="254"/>
        <v>81530</v>
      </c>
      <c r="AE117" s="885">
        <f t="shared" si="255"/>
        <v>25000</v>
      </c>
      <c r="AF117" s="909">
        <f t="shared" si="256"/>
        <v>0.1052</v>
      </c>
      <c r="AG117" s="891">
        <f t="shared" si="257"/>
        <v>81530</v>
      </c>
      <c r="AH117" s="885">
        <f t="shared" si="258"/>
        <v>25000</v>
      </c>
      <c r="AI117" s="909">
        <f t="shared" si="259"/>
        <v>0.1052</v>
      </c>
      <c r="AJ117" s="891">
        <f t="shared" si="260"/>
        <v>78900</v>
      </c>
      <c r="AK117" s="885">
        <f t="shared" si="261"/>
        <v>25000</v>
      </c>
      <c r="AL117" s="909">
        <f t="shared" si="262"/>
        <v>0.1052</v>
      </c>
      <c r="AM117" s="891">
        <f t="shared" si="263"/>
        <v>81530</v>
      </c>
      <c r="AN117" s="885">
        <f t="shared" si="264"/>
        <v>25000</v>
      </c>
      <c r="AO117" s="909">
        <f t="shared" si="265"/>
        <v>0.1052</v>
      </c>
      <c r="AP117" s="891">
        <f t="shared" si="266"/>
        <v>78900</v>
      </c>
      <c r="AQ117" s="885">
        <f t="shared" si="267"/>
        <v>25000</v>
      </c>
      <c r="AR117" s="909">
        <f t="shared" si="268"/>
        <v>0.1052</v>
      </c>
      <c r="AS117" s="891">
        <f t="shared" si="269"/>
        <v>81530</v>
      </c>
      <c r="AT117" s="891"/>
      <c r="AV117" s="823">
        <f t="shared" si="270"/>
        <v>959950</v>
      </c>
      <c r="AW117" s="910"/>
      <c r="AX117" s="823"/>
      <c r="AY117" s="910"/>
      <c r="BB117" s="910"/>
    </row>
    <row r="118" spans="1:54" s="11" customFormat="1" hidden="1" x14ac:dyDescent="0.2">
      <c r="A118" s="180">
        <v>27534</v>
      </c>
      <c r="B118" s="180" t="s">
        <v>290</v>
      </c>
      <c r="C118" s="11">
        <v>2002</v>
      </c>
      <c r="D118" s="181">
        <v>37257</v>
      </c>
      <c r="E118" s="181">
        <v>37986</v>
      </c>
      <c r="F118" s="733">
        <v>32500</v>
      </c>
      <c r="G118" s="170">
        <v>0.105</v>
      </c>
      <c r="H118" s="565">
        <v>1.1000000000000001E-3</v>
      </c>
      <c r="I118" s="909">
        <f t="shared" si="233"/>
        <v>0.1061</v>
      </c>
      <c r="J118" s="885">
        <f t="shared" si="234"/>
        <v>32500</v>
      </c>
      <c r="K118" s="909">
        <f t="shared" si="235"/>
        <v>0.105</v>
      </c>
      <c r="L118" s="891">
        <f t="shared" si="236"/>
        <v>105787.5</v>
      </c>
      <c r="M118" s="885">
        <f t="shared" si="237"/>
        <v>32500</v>
      </c>
      <c r="N118" s="909">
        <f t="shared" si="238"/>
        <v>0.105</v>
      </c>
      <c r="O118" s="891">
        <f t="shared" si="239"/>
        <v>95550</v>
      </c>
      <c r="P118" s="885">
        <f t="shared" si="240"/>
        <v>32500</v>
      </c>
      <c r="Q118" s="909">
        <f t="shared" si="241"/>
        <v>0.105</v>
      </c>
      <c r="R118" s="891">
        <f t="shared" si="242"/>
        <v>105787.5</v>
      </c>
      <c r="S118" s="885">
        <f t="shared" si="243"/>
        <v>32500</v>
      </c>
      <c r="T118" s="909">
        <f t="shared" si="244"/>
        <v>0.105</v>
      </c>
      <c r="U118" s="891">
        <f t="shared" si="245"/>
        <v>102375</v>
      </c>
      <c r="V118" s="885">
        <f t="shared" si="246"/>
        <v>32500</v>
      </c>
      <c r="W118" s="909">
        <f t="shared" si="247"/>
        <v>0.105</v>
      </c>
      <c r="X118" s="891">
        <f t="shared" si="248"/>
        <v>105787.5</v>
      </c>
      <c r="Y118" s="885">
        <f t="shared" si="249"/>
        <v>32500</v>
      </c>
      <c r="Z118" s="909">
        <f t="shared" si="250"/>
        <v>0.105</v>
      </c>
      <c r="AA118" s="891">
        <f t="shared" si="251"/>
        <v>102375</v>
      </c>
      <c r="AB118" s="885">
        <f t="shared" si="252"/>
        <v>32500</v>
      </c>
      <c r="AC118" s="909">
        <f t="shared" si="253"/>
        <v>0.105</v>
      </c>
      <c r="AD118" s="891">
        <f t="shared" si="254"/>
        <v>105787.5</v>
      </c>
      <c r="AE118" s="885">
        <f t="shared" si="255"/>
        <v>32500</v>
      </c>
      <c r="AF118" s="909">
        <f t="shared" si="256"/>
        <v>0.105</v>
      </c>
      <c r="AG118" s="891">
        <f t="shared" si="257"/>
        <v>105787.5</v>
      </c>
      <c r="AH118" s="885">
        <f t="shared" si="258"/>
        <v>32500</v>
      </c>
      <c r="AI118" s="909">
        <f t="shared" si="259"/>
        <v>0.105</v>
      </c>
      <c r="AJ118" s="891">
        <f t="shared" si="260"/>
        <v>102375</v>
      </c>
      <c r="AK118" s="885">
        <f t="shared" si="261"/>
        <v>32500</v>
      </c>
      <c r="AL118" s="909">
        <f t="shared" si="262"/>
        <v>0.105</v>
      </c>
      <c r="AM118" s="891">
        <f t="shared" si="263"/>
        <v>105787.5</v>
      </c>
      <c r="AN118" s="885">
        <f t="shared" si="264"/>
        <v>32500</v>
      </c>
      <c r="AO118" s="909">
        <f t="shared" si="265"/>
        <v>0.105</v>
      </c>
      <c r="AP118" s="891">
        <f t="shared" si="266"/>
        <v>102375</v>
      </c>
      <c r="AQ118" s="885">
        <f t="shared" si="267"/>
        <v>32500</v>
      </c>
      <c r="AR118" s="909">
        <f t="shared" si="268"/>
        <v>0.105</v>
      </c>
      <c r="AS118" s="891">
        <f t="shared" si="269"/>
        <v>105787.5</v>
      </c>
      <c r="AT118" s="891"/>
      <c r="AV118" s="823">
        <f t="shared" si="270"/>
        <v>1245562.5</v>
      </c>
      <c r="AW118" s="910"/>
      <c r="AX118" s="823"/>
      <c r="AY118" s="910"/>
      <c r="BB118" s="910"/>
    </row>
    <row r="119" spans="1:54" s="11" customFormat="1" hidden="1" x14ac:dyDescent="0.2">
      <c r="A119" s="175"/>
      <c r="B119" s="175"/>
      <c r="D119" s="181"/>
      <c r="E119" s="181"/>
      <c r="F119" s="182"/>
      <c r="G119" s="911"/>
      <c r="H119" s="909"/>
      <c r="I119" s="909"/>
      <c r="J119" s="885"/>
      <c r="K119" s="909"/>
      <c r="L119" s="891"/>
      <c r="M119" s="885"/>
      <c r="N119" s="909"/>
      <c r="O119" s="891"/>
      <c r="P119" s="885"/>
      <c r="Q119" s="909"/>
      <c r="R119" s="891"/>
      <c r="S119" s="885"/>
      <c r="T119" s="909"/>
      <c r="U119" s="891"/>
      <c r="V119" s="885"/>
      <c r="W119" s="909"/>
      <c r="X119" s="891"/>
      <c r="Y119" s="885"/>
      <c r="Z119" s="909"/>
      <c r="AA119" s="891"/>
      <c r="AB119" s="885"/>
      <c r="AC119" s="909"/>
      <c r="AD119" s="891"/>
      <c r="AE119" s="885"/>
      <c r="AF119" s="909"/>
      <c r="AG119" s="891"/>
      <c r="AH119" s="885"/>
      <c r="AI119" s="909"/>
      <c r="AJ119" s="891"/>
      <c r="AK119" s="885"/>
      <c r="AL119" s="909"/>
      <c r="AM119" s="891"/>
      <c r="AN119" s="885"/>
      <c r="AO119" s="909"/>
      <c r="AP119" s="891"/>
      <c r="AQ119" s="885"/>
      <c r="AR119" s="909"/>
      <c r="AS119" s="891"/>
      <c r="AT119" s="891"/>
      <c r="AV119" s="823"/>
      <c r="AW119" s="910"/>
      <c r="AX119" s="823"/>
      <c r="AY119" s="910"/>
      <c r="BB119" s="910"/>
    </row>
    <row r="120" spans="1:54" s="11" customFormat="1" hidden="1" x14ac:dyDescent="0.2">
      <c r="A120" s="175"/>
      <c r="B120" s="175"/>
      <c r="D120" s="181"/>
      <c r="E120" s="181"/>
      <c r="F120" s="840"/>
      <c r="G120" s="911"/>
      <c r="H120" s="909"/>
      <c r="I120" s="909"/>
      <c r="J120" s="885"/>
      <c r="K120" s="909"/>
      <c r="L120" s="891"/>
      <c r="M120" s="885"/>
      <c r="N120" s="909"/>
      <c r="O120" s="891"/>
      <c r="P120" s="885"/>
      <c r="Q120" s="909"/>
      <c r="R120" s="891"/>
      <c r="S120" s="885"/>
      <c r="T120" s="909"/>
      <c r="U120" s="891"/>
      <c r="V120" s="885"/>
      <c r="W120" s="909"/>
      <c r="X120" s="891"/>
      <c r="Y120" s="885"/>
      <c r="Z120" s="909"/>
      <c r="AA120" s="891"/>
      <c r="AB120" s="885"/>
      <c r="AC120" s="909"/>
      <c r="AD120" s="891"/>
      <c r="AE120" s="885"/>
      <c r="AF120" s="909"/>
      <c r="AG120" s="891"/>
      <c r="AH120" s="885"/>
      <c r="AI120" s="909"/>
      <c r="AJ120" s="891"/>
      <c r="AK120" s="885"/>
      <c r="AL120" s="909"/>
      <c r="AM120" s="891"/>
      <c r="AN120" s="885"/>
      <c r="AO120" s="909"/>
      <c r="AP120" s="891"/>
      <c r="AQ120" s="885"/>
      <c r="AR120" s="909"/>
      <c r="AS120" s="891"/>
      <c r="AT120" s="891"/>
      <c r="AV120" s="823"/>
      <c r="AW120" s="910"/>
      <c r="AX120" s="823"/>
      <c r="AY120" s="910"/>
      <c r="BB120" s="910"/>
    </row>
    <row r="121" spans="1:54" s="11" customFormat="1" hidden="1" x14ac:dyDescent="0.2">
      <c r="A121" s="758" t="s">
        <v>654</v>
      </c>
      <c r="C121" s="529"/>
      <c r="D121" s="529"/>
      <c r="E121" s="912"/>
      <c r="F121" s="911"/>
      <c r="G121" s="911"/>
      <c r="H121" s="911"/>
      <c r="I121" s="912"/>
      <c r="J121" s="878"/>
      <c r="K121" s="911"/>
      <c r="L121" s="891"/>
      <c r="M121" s="878"/>
      <c r="N121" s="911"/>
      <c r="O121" s="891"/>
      <c r="P121" s="878"/>
      <c r="Q121" s="911"/>
      <c r="R121" s="891"/>
      <c r="S121" s="878"/>
      <c r="T121" s="911"/>
      <c r="U121" s="891"/>
      <c r="V121" s="878"/>
      <c r="W121" s="911"/>
      <c r="X121" s="891"/>
      <c r="Y121" s="878"/>
      <c r="Z121" s="911"/>
      <c r="AA121" s="891"/>
      <c r="AB121" s="878"/>
      <c r="AC121" s="911"/>
      <c r="AD121" s="891"/>
      <c r="AE121" s="878"/>
      <c r="AF121" s="911"/>
      <c r="AG121" s="891"/>
      <c r="AH121" s="878"/>
      <c r="AI121" s="911"/>
      <c r="AJ121" s="891"/>
      <c r="AK121" s="878"/>
      <c r="AL121" s="911"/>
      <c r="AM121" s="891"/>
      <c r="AN121" s="878"/>
      <c r="AO121" s="911"/>
      <c r="AP121" s="891"/>
      <c r="AQ121" s="878"/>
      <c r="AR121" s="911"/>
      <c r="AS121" s="891"/>
      <c r="AT121" s="891"/>
      <c r="AW121" s="417"/>
      <c r="AY121" s="417"/>
      <c r="BB121" s="417"/>
    </row>
    <row r="122" spans="1:54" s="11" customFormat="1" hidden="1" x14ac:dyDescent="0.2">
      <c r="A122" s="617">
        <v>20835</v>
      </c>
      <c r="B122" s="11" t="s">
        <v>649</v>
      </c>
      <c r="C122" s="11">
        <v>2002</v>
      </c>
      <c r="D122" s="529"/>
      <c r="E122" s="913">
        <v>37315</v>
      </c>
      <c r="F122" s="912">
        <v>20000</v>
      </c>
      <c r="G122" s="911">
        <f t="shared" ref="G122:G128" si="271">0.1074-0.1052</f>
        <v>2.1999999999999936E-3</v>
      </c>
      <c r="H122" s="1117" t="s">
        <v>647</v>
      </c>
      <c r="I122" s="1117"/>
      <c r="J122" s="885">
        <v>0</v>
      </c>
      <c r="K122" s="909">
        <v>0</v>
      </c>
      <c r="L122" s="891">
        <v>1364</v>
      </c>
      <c r="M122" s="885">
        <v>0</v>
      </c>
      <c r="N122" s="909">
        <v>0</v>
      </c>
      <c r="O122" s="891">
        <v>1232</v>
      </c>
      <c r="P122" s="885">
        <v>0</v>
      </c>
      <c r="Q122" s="909">
        <v>0</v>
      </c>
      <c r="R122" s="891">
        <v>0</v>
      </c>
      <c r="S122" s="885">
        <v>0</v>
      </c>
      <c r="T122" s="909">
        <v>0</v>
      </c>
      <c r="U122" s="891">
        <v>0</v>
      </c>
      <c r="V122" s="885">
        <v>0</v>
      </c>
      <c r="W122" s="909">
        <v>0</v>
      </c>
      <c r="X122" s="891">
        <v>0</v>
      </c>
      <c r="Y122" s="885">
        <v>0</v>
      </c>
      <c r="Z122" s="909">
        <v>0</v>
      </c>
      <c r="AA122" s="891">
        <v>0</v>
      </c>
      <c r="AB122" s="885">
        <v>0</v>
      </c>
      <c r="AC122" s="909">
        <v>0</v>
      </c>
      <c r="AD122" s="891">
        <v>0</v>
      </c>
      <c r="AE122" s="885">
        <v>0</v>
      </c>
      <c r="AF122" s="909">
        <v>0</v>
      </c>
      <c r="AG122" s="891">
        <v>0</v>
      </c>
      <c r="AH122" s="885">
        <v>0</v>
      </c>
      <c r="AI122" s="909">
        <v>0</v>
      </c>
      <c r="AJ122" s="891">
        <v>0</v>
      </c>
      <c r="AK122" s="885">
        <v>0</v>
      </c>
      <c r="AL122" s="909">
        <v>0</v>
      </c>
      <c r="AM122" s="891">
        <v>0</v>
      </c>
      <c r="AN122" s="885">
        <v>0</v>
      </c>
      <c r="AO122" s="909">
        <v>0</v>
      </c>
      <c r="AP122" s="891">
        <v>0</v>
      </c>
      <c r="AQ122" s="885">
        <v>0</v>
      </c>
      <c r="AR122" s="909">
        <v>0</v>
      </c>
      <c r="AS122" s="891">
        <v>0</v>
      </c>
      <c r="AT122" s="891"/>
      <c r="AV122" s="823">
        <v>2596</v>
      </c>
      <c r="AW122" s="910"/>
      <c r="AY122" s="910"/>
      <c r="BB122" s="910"/>
    </row>
    <row r="123" spans="1:54" s="11" customFormat="1" hidden="1" x14ac:dyDescent="0.2">
      <c r="A123" s="617">
        <v>20715</v>
      </c>
      <c r="B123" s="11" t="s">
        <v>285</v>
      </c>
      <c r="C123" s="11">
        <v>2002</v>
      </c>
      <c r="D123" s="529"/>
      <c r="E123" s="913" t="s">
        <v>655</v>
      </c>
      <c r="F123" s="912">
        <v>200000</v>
      </c>
      <c r="G123" s="911">
        <f t="shared" si="271"/>
        <v>2.1999999999999936E-3</v>
      </c>
      <c r="H123" s="1117" t="s">
        <v>647</v>
      </c>
      <c r="I123" s="1117"/>
      <c r="J123" s="885">
        <v>0</v>
      </c>
      <c r="K123" s="909">
        <v>0</v>
      </c>
      <c r="L123" s="891">
        <v>13640</v>
      </c>
      <c r="M123" s="885">
        <v>0</v>
      </c>
      <c r="N123" s="909">
        <v>0</v>
      </c>
      <c r="O123" s="891">
        <v>12320</v>
      </c>
      <c r="P123" s="885">
        <v>0</v>
      </c>
      <c r="Q123" s="909">
        <v>0</v>
      </c>
      <c r="R123" s="891">
        <v>13640</v>
      </c>
      <c r="S123" s="885">
        <v>0</v>
      </c>
      <c r="T123" s="909">
        <v>0</v>
      </c>
      <c r="U123" s="891">
        <v>13200</v>
      </c>
      <c r="V123" s="885">
        <v>0</v>
      </c>
      <c r="W123" s="909">
        <v>0</v>
      </c>
      <c r="X123" s="891">
        <v>13640</v>
      </c>
      <c r="Y123" s="885">
        <v>0</v>
      </c>
      <c r="Z123" s="909">
        <v>0</v>
      </c>
      <c r="AA123" s="891">
        <v>13200</v>
      </c>
      <c r="AB123" s="885">
        <v>0</v>
      </c>
      <c r="AC123" s="909">
        <v>0</v>
      </c>
      <c r="AD123" s="891">
        <v>13640</v>
      </c>
      <c r="AE123" s="885">
        <v>0</v>
      </c>
      <c r="AF123" s="909">
        <v>0</v>
      </c>
      <c r="AG123" s="891">
        <v>13640</v>
      </c>
      <c r="AH123" s="885">
        <v>0</v>
      </c>
      <c r="AI123" s="909">
        <v>0</v>
      </c>
      <c r="AJ123" s="891">
        <v>13200</v>
      </c>
      <c r="AK123" s="885">
        <v>0</v>
      </c>
      <c r="AL123" s="909">
        <v>0</v>
      </c>
      <c r="AM123" s="891">
        <v>13640</v>
      </c>
      <c r="AN123" s="885">
        <v>0</v>
      </c>
      <c r="AO123" s="909">
        <v>0</v>
      </c>
      <c r="AP123" s="891">
        <v>26400</v>
      </c>
      <c r="AQ123" s="885">
        <v>0</v>
      </c>
      <c r="AR123" s="909">
        <v>0</v>
      </c>
      <c r="AS123" s="891">
        <v>27280</v>
      </c>
      <c r="AT123" s="891"/>
      <c r="AV123" s="823">
        <v>187440</v>
      </c>
      <c r="AW123" s="910"/>
      <c r="AY123" s="910"/>
      <c r="BB123" s="910"/>
    </row>
    <row r="124" spans="1:54" s="11" customFormat="1" hidden="1" x14ac:dyDescent="0.2">
      <c r="A124" s="617">
        <v>21165</v>
      </c>
      <c r="B124" s="11" t="s">
        <v>286</v>
      </c>
      <c r="C124" s="11">
        <v>2002</v>
      </c>
      <c r="D124" s="529"/>
      <c r="E124" s="913">
        <v>39172</v>
      </c>
      <c r="F124" s="912">
        <v>150000</v>
      </c>
      <c r="G124" s="911">
        <f t="shared" si="271"/>
        <v>2.1999999999999936E-3</v>
      </c>
      <c r="H124" s="1117" t="s">
        <v>647</v>
      </c>
      <c r="I124" s="1117"/>
      <c r="J124" s="885">
        <v>0</v>
      </c>
      <c r="K124" s="909">
        <v>0</v>
      </c>
      <c r="L124" s="891">
        <v>10230</v>
      </c>
      <c r="M124" s="885">
        <v>0</v>
      </c>
      <c r="N124" s="909">
        <v>0</v>
      </c>
      <c r="O124" s="891">
        <v>9240</v>
      </c>
      <c r="P124" s="885">
        <v>0</v>
      </c>
      <c r="Q124" s="909">
        <v>0</v>
      </c>
      <c r="R124" s="891">
        <v>10230</v>
      </c>
      <c r="S124" s="885">
        <v>0</v>
      </c>
      <c r="T124" s="909">
        <v>0</v>
      </c>
      <c r="U124" s="891">
        <v>9900</v>
      </c>
      <c r="V124" s="885">
        <v>0</v>
      </c>
      <c r="W124" s="909">
        <v>0</v>
      </c>
      <c r="X124" s="891">
        <v>10230</v>
      </c>
      <c r="Y124" s="885">
        <v>0</v>
      </c>
      <c r="Z124" s="909">
        <v>0</v>
      </c>
      <c r="AA124" s="891">
        <v>9900</v>
      </c>
      <c r="AB124" s="885">
        <v>0</v>
      </c>
      <c r="AC124" s="909">
        <v>0</v>
      </c>
      <c r="AD124" s="891">
        <v>10230</v>
      </c>
      <c r="AE124" s="885">
        <v>0</v>
      </c>
      <c r="AF124" s="909">
        <v>0</v>
      </c>
      <c r="AG124" s="891">
        <v>10230</v>
      </c>
      <c r="AH124" s="885">
        <v>0</v>
      </c>
      <c r="AI124" s="909">
        <v>0</v>
      </c>
      <c r="AJ124" s="891">
        <v>9900</v>
      </c>
      <c r="AK124" s="885">
        <v>0</v>
      </c>
      <c r="AL124" s="909">
        <v>0</v>
      </c>
      <c r="AM124" s="891">
        <v>10230</v>
      </c>
      <c r="AN124" s="885">
        <v>0</v>
      </c>
      <c r="AO124" s="909">
        <v>0</v>
      </c>
      <c r="AP124" s="891">
        <v>19800</v>
      </c>
      <c r="AQ124" s="885">
        <v>0</v>
      </c>
      <c r="AR124" s="909">
        <v>0</v>
      </c>
      <c r="AS124" s="891">
        <v>20460</v>
      </c>
      <c r="AT124" s="891"/>
      <c r="AV124" s="823">
        <v>140580</v>
      </c>
      <c r="AW124" s="910"/>
      <c r="AY124" s="910"/>
      <c r="BB124" s="910"/>
    </row>
    <row r="125" spans="1:54" s="11" customFormat="1" hidden="1" x14ac:dyDescent="0.2">
      <c r="A125" s="617">
        <v>26678</v>
      </c>
      <c r="B125" s="11" t="s">
        <v>650</v>
      </c>
      <c r="C125" s="11">
        <v>2002</v>
      </c>
      <c r="D125" s="529"/>
      <c r="E125" s="913">
        <v>39172</v>
      </c>
      <c r="F125" s="912">
        <v>25000</v>
      </c>
      <c r="G125" s="911">
        <f t="shared" si="271"/>
        <v>2.1999999999999936E-3</v>
      </c>
      <c r="H125" s="1117" t="s">
        <v>647</v>
      </c>
      <c r="I125" s="1117"/>
      <c r="J125" s="885">
        <v>0</v>
      </c>
      <c r="K125" s="909">
        <v>0</v>
      </c>
      <c r="L125" s="891">
        <v>1705</v>
      </c>
      <c r="M125" s="885">
        <v>0</v>
      </c>
      <c r="N125" s="909">
        <v>0</v>
      </c>
      <c r="O125" s="891">
        <v>1540</v>
      </c>
      <c r="P125" s="885">
        <v>0</v>
      </c>
      <c r="Q125" s="909">
        <v>0</v>
      </c>
      <c r="R125" s="891">
        <v>1705</v>
      </c>
      <c r="S125" s="885">
        <v>0</v>
      </c>
      <c r="T125" s="909">
        <v>0</v>
      </c>
      <c r="U125" s="891">
        <v>1650</v>
      </c>
      <c r="V125" s="885">
        <v>0</v>
      </c>
      <c r="W125" s="909">
        <v>0</v>
      </c>
      <c r="X125" s="891">
        <v>1705</v>
      </c>
      <c r="Y125" s="885">
        <v>0</v>
      </c>
      <c r="Z125" s="909">
        <v>0</v>
      </c>
      <c r="AA125" s="891">
        <v>1650</v>
      </c>
      <c r="AB125" s="885">
        <v>0</v>
      </c>
      <c r="AC125" s="909">
        <v>0</v>
      </c>
      <c r="AD125" s="891">
        <v>1705</v>
      </c>
      <c r="AE125" s="885">
        <v>0</v>
      </c>
      <c r="AF125" s="909">
        <v>0</v>
      </c>
      <c r="AG125" s="891">
        <v>1705</v>
      </c>
      <c r="AH125" s="885">
        <v>0</v>
      </c>
      <c r="AI125" s="909">
        <v>0</v>
      </c>
      <c r="AJ125" s="891">
        <v>1650</v>
      </c>
      <c r="AK125" s="885">
        <v>0</v>
      </c>
      <c r="AL125" s="909">
        <v>0</v>
      </c>
      <c r="AM125" s="891">
        <v>1705</v>
      </c>
      <c r="AN125" s="885">
        <v>0</v>
      </c>
      <c r="AO125" s="909">
        <v>0</v>
      </c>
      <c r="AP125" s="891">
        <v>3300</v>
      </c>
      <c r="AQ125" s="885">
        <v>0</v>
      </c>
      <c r="AR125" s="909">
        <v>0</v>
      </c>
      <c r="AS125" s="891">
        <v>3410</v>
      </c>
      <c r="AT125" s="891"/>
      <c r="AV125" s="823">
        <v>23430</v>
      </c>
      <c r="AW125" s="910"/>
      <c r="AY125" s="910"/>
      <c r="BB125" s="910"/>
    </row>
    <row r="126" spans="1:54" s="11" customFormat="1" hidden="1" x14ac:dyDescent="0.2">
      <c r="A126" s="617">
        <v>26372</v>
      </c>
      <c r="B126" s="11" t="s">
        <v>499</v>
      </c>
      <c r="C126" s="11">
        <v>2002</v>
      </c>
      <c r="D126" s="529"/>
      <c r="E126" s="913">
        <v>39172</v>
      </c>
      <c r="F126" s="912">
        <v>25000</v>
      </c>
      <c r="G126" s="911">
        <f t="shared" si="271"/>
        <v>2.1999999999999936E-3</v>
      </c>
      <c r="H126" s="1117" t="s">
        <v>647</v>
      </c>
      <c r="I126" s="1117"/>
      <c r="J126" s="885">
        <v>0</v>
      </c>
      <c r="K126" s="909">
        <v>0</v>
      </c>
      <c r="L126" s="891">
        <v>1705</v>
      </c>
      <c r="M126" s="885">
        <v>0</v>
      </c>
      <c r="N126" s="909">
        <v>0</v>
      </c>
      <c r="O126" s="891">
        <v>1540</v>
      </c>
      <c r="P126" s="885">
        <v>0</v>
      </c>
      <c r="Q126" s="909">
        <v>0</v>
      </c>
      <c r="R126" s="891">
        <v>1705</v>
      </c>
      <c r="S126" s="885">
        <v>0</v>
      </c>
      <c r="T126" s="909">
        <v>0</v>
      </c>
      <c r="U126" s="891">
        <v>1650</v>
      </c>
      <c r="V126" s="885">
        <v>0</v>
      </c>
      <c r="W126" s="909">
        <v>0</v>
      </c>
      <c r="X126" s="891">
        <v>1705</v>
      </c>
      <c r="Y126" s="885">
        <v>0</v>
      </c>
      <c r="Z126" s="909">
        <v>0</v>
      </c>
      <c r="AA126" s="891">
        <v>1650</v>
      </c>
      <c r="AB126" s="885">
        <v>0</v>
      </c>
      <c r="AC126" s="909">
        <v>0</v>
      </c>
      <c r="AD126" s="891">
        <v>1705</v>
      </c>
      <c r="AE126" s="885">
        <v>0</v>
      </c>
      <c r="AF126" s="909">
        <v>0</v>
      </c>
      <c r="AG126" s="891">
        <v>1705</v>
      </c>
      <c r="AH126" s="885">
        <v>0</v>
      </c>
      <c r="AI126" s="909">
        <v>0</v>
      </c>
      <c r="AJ126" s="891">
        <v>1650</v>
      </c>
      <c r="AK126" s="885">
        <v>0</v>
      </c>
      <c r="AL126" s="909">
        <v>0</v>
      </c>
      <c r="AM126" s="891">
        <v>1705</v>
      </c>
      <c r="AN126" s="885">
        <v>0</v>
      </c>
      <c r="AO126" s="909">
        <v>0</v>
      </c>
      <c r="AP126" s="891">
        <v>3300</v>
      </c>
      <c r="AQ126" s="885">
        <v>0</v>
      </c>
      <c r="AR126" s="909">
        <v>0</v>
      </c>
      <c r="AS126" s="891">
        <v>3410</v>
      </c>
      <c r="AT126" s="891"/>
      <c r="AV126" s="823">
        <v>23430</v>
      </c>
      <c r="AW126" s="910"/>
      <c r="AY126" s="910"/>
      <c r="BB126" s="910"/>
    </row>
    <row r="127" spans="1:54" s="11" customFormat="1" hidden="1" x14ac:dyDescent="0.2">
      <c r="A127" s="617">
        <v>25924</v>
      </c>
      <c r="B127" s="11" t="s">
        <v>651</v>
      </c>
      <c r="C127" s="11">
        <v>2002</v>
      </c>
      <c r="D127" s="529"/>
      <c r="E127" s="913">
        <v>38837</v>
      </c>
      <c r="F127" s="912">
        <v>20000</v>
      </c>
      <c r="G127" s="911">
        <f t="shared" si="271"/>
        <v>2.1999999999999936E-3</v>
      </c>
      <c r="H127" s="1117" t="s">
        <v>647</v>
      </c>
      <c r="I127" s="1117"/>
      <c r="J127" s="885">
        <v>0</v>
      </c>
      <c r="K127" s="909">
        <v>0</v>
      </c>
      <c r="L127" s="891">
        <v>1364</v>
      </c>
      <c r="M127" s="885">
        <v>0</v>
      </c>
      <c r="N127" s="909">
        <v>0</v>
      </c>
      <c r="O127" s="891">
        <v>1232</v>
      </c>
      <c r="P127" s="885">
        <v>0</v>
      </c>
      <c r="Q127" s="909">
        <v>0</v>
      </c>
      <c r="R127" s="891">
        <v>1364</v>
      </c>
      <c r="S127" s="885">
        <v>0</v>
      </c>
      <c r="T127" s="909">
        <v>0</v>
      </c>
      <c r="U127" s="891">
        <v>1320</v>
      </c>
      <c r="V127" s="885">
        <v>0</v>
      </c>
      <c r="W127" s="909">
        <v>0</v>
      </c>
      <c r="X127" s="891">
        <v>1364</v>
      </c>
      <c r="Y127" s="885">
        <v>0</v>
      </c>
      <c r="Z127" s="909">
        <v>0</v>
      </c>
      <c r="AA127" s="891">
        <v>1320</v>
      </c>
      <c r="AB127" s="885">
        <v>0</v>
      </c>
      <c r="AC127" s="909">
        <v>0</v>
      </c>
      <c r="AD127" s="891">
        <v>1364</v>
      </c>
      <c r="AE127" s="885">
        <v>0</v>
      </c>
      <c r="AF127" s="909">
        <v>0</v>
      </c>
      <c r="AG127" s="891">
        <v>1364</v>
      </c>
      <c r="AH127" s="885">
        <v>0</v>
      </c>
      <c r="AI127" s="909">
        <v>0</v>
      </c>
      <c r="AJ127" s="891">
        <v>1320</v>
      </c>
      <c r="AK127" s="885">
        <v>0</v>
      </c>
      <c r="AL127" s="909">
        <v>0</v>
      </c>
      <c r="AM127" s="891">
        <v>1364</v>
      </c>
      <c r="AN127" s="885">
        <v>0</v>
      </c>
      <c r="AO127" s="909">
        <v>0</v>
      </c>
      <c r="AP127" s="891">
        <v>2640</v>
      </c>
      <c r="AQ127" s="885">
        <v>0</v>
      </c>
      <c r="AR127" s="909">
        <v>0</v>
      </c>
      <c r="AS127" s="891">
        <v>2728</v>
      </c>
      <c r="AT127" s="891"/>
      <c r="AV127" s="823">
        <v>18744</v>
      </c>
      <c r="AW127" s="910"/>
      <c r="AY127" s="910"/>
      <c r="BB127" s="910"/>
    </row>
    <row r="128" spans="1:54" s="11" customFormat="1" hidden="1" x14ac:dyDescent="0.2">
      <c r="A128" s="617">
        <v>20834</v>
      </c>
      <c r="B128" s="11" t="s">
        <v>652</v>
      </c>
      <c r="C128" s="11">
        <v>2002</v>
      </c>
      <c r="D128" s="529"/>
      <c r="E128" s="913">
        <v>39141</v>
      </c>
      <c r="F128" s="912">
        <v>25000</v>
      </c>
      <c r="G128" s="911">
        <f t="shared" si="271"/>
        <v>2.1999999999999936E-3</v>
      </c>
      <c r="H128" s="1117" t="s">
        <v>647</v>
      </c>
      <c r="I128" s="1117"/>
      <c r="J128" s="885">
        <v>0</v>
      </c>
      <c r="K128" s="909">
        <v>0</v>
      </c>
      <c r="L128" s="891">
        <v>1705</v>
      </c>
      <c r="M128" s="885">
        <v>0</v>
      </c>
      <c r="N128" s="909">
        <v>0</v>
      </c>
      <c r="O128" s="891">
        <v>1540</v>
      </c>
      <c r="P128" s="885">
        <v>0</v>
      </c>
      <c r="Q128" s="909">
        <v>0</v>
      </c>
      <c r="R128" s="891">
        <v>1705</v>
      </c>
      <c r="S128" s="885">
        <v>0</v>
      </c>
      <c r="T128" s="909">
        <v>0</v>
      </c>
      <c r="U128" s="891">
        <v>1650</v>
      </c>
      <c r="V128" s="885">
        <v>0</v>
      </c>
      <c r="W128" s="909">
        <v>0</v>
      </c>
      <c r="X128" s="891">
        <v>1705</v>
      </c>
      <c r="Y128" s="885">
        <v>0</v>
      </c>
      <c r="Z128" s="909">
        <v>0</v>
      </c>
      <c r="AA128" s="891">
        <v>1650</v>
      </c>
      <c r="AB128" s="885">
        <v>0</v>
      </c>
      <c r="AC128" s="909">
        <v>0</v>
      </c>
      <c r="AD128" s="891">
        <v>1705</v>
      </c>
      <c r="AE128" s="885">
        <v>0</v>
      </c>
      <c r="AF128" s="909">
        <v>0</v>
      </c>
      <c r="AG128" s="891">
        <v>1705</v>
      </c>
      <c r="AH128" s="885">
        <v>0</v>
      </c>
      <c r="AI128" s="909">
        <v>0</v>
      </c>
      <c r="AJ128" s="891">
        <v>1650</v>
      </c>
      <c r="AK128" s="885">
        <v>0</v>
      </c>
      <c r="AL128" s="909">
        <v>0</v>
      </c>
      <c r="AM128" s="891">
        <v>1705</v>
      </c>
      <c r="AN128" s="885">
        <v>0</v>
      </c>
      <c r="AO128" s="909">
        <v>0</v>
      </c>
      <c r="AP128" s="891">
        <v>3300</v>
      </c>
      <c r="AQ128" s="885">
        <v>0</v>
      </c>
      <c r="AR128" s="909">
        <v>0</v>
      </c>
      <c r="AS128" s="891">
        <v>3410</v>
      </c>
      <c r="AT128" s="891"/>
      <c r="AV128" s="823">
        <v>23430</v>
      </c>
      <c r="AW128" s="910"/>
      <c r="AY128" s="910"/>
      <c r="BB128" s="910"/>
    </row>
    <row r="129" spans="1:54" s="11" customFormat="1" hidden="1" x14ac:dyDescent="0.2">
      <c r="A129" s="617"/>
      <c r="D129" s="529"/>
      <c r="E129" s="913"/>
      <c r="F129" s="912"/>
      <c r="G129" s="911"/>
      <c r="H129" s="909"/>
      <c r="I129" s="909"/>
      <c r="J129" s="885">
        <v>0</v>
      </c>
      <c r="K129" s="909">
        <v>0</v>
      </c>
      <c r="L129" s="891">
        <v>0</v>
      </c>
      <c r="M129" s="885">
        <v>0</v>
      </c>
      <c r="N129" s="909">
        <v>0</v>
      </c>
      <c r="O129" s="891">
        <v>0</v>
      </c>
      <c r="P129" s="885">
        <v>0</v>
      </c>
      <c r="Q129" s="909">
        <v>0</v>
      </c>
      <c r="R129" s="891">
        <v>0</v>
      </c>
      <c r="S129" s="885">
        <v>0</v>
      </c>
      <c r="T129" s="909">
        <v>0</v>
      </c>
      <c r="U129" s="891">
        <v>0</v>
      </c>
      <c r="V129" s="885">
        <v>0</v>
      </c>
      <c r="W129" s="909">
        <v>0</v>
      </c>
      <c r="X129" s="891">
        <v>0</v>
      </c>
      <c r="Y129" s="885">
        <v>0</v>
      </c>
      <c r="Z129" s="909">
        <v>0</v>
      </c>
      <c r="AA129" s="891">
        <v>0</v>
      </c>
      <c r="AB129" s="885">
        <v>0</v>
      </c>
      <c r="AC129" s="909">
        <v>0</v>
      </c>
      <c r="AD129" s="891">
        <v>0</v>
      </c>
      <c r="AE129" s="885">
        <v>0</v>
      </c>
      <c r="AF129" s="909">
        <v>0</v>
      </c>
      <c r="AG129" s="891">
        <v>0</v>
      </c>
      <c r="AH129" s="885">
        <v>0</v>
      </c>
      <c r="AI129" s="909">
        <v>0</v>
      </c>
      <c r="AJ129" s="891">
        <v>0</v>
      </c>
      <c r="AK129" s="885">
        <v>0</v>
      </c>
      <c r="AL129" s="909">
        <v>0</v>
      </c>
      <c r="AM129" s="891">
        <v>0</v>
      </c>
      <c r="AN129" s="885">
        <v>0</v>
      </c>
      <c r="AO129" s="909">
        <v>0</v>
      </c>
      <c r="AP129" s="891">
        <v>0</v>
      </c>
      <c r="AQ129" s="885">
        <v>0</v>
      </c>
      <c r="AR129" s="909">
        <v>0</v>
      </c>
      <c r="AS129" s="891">
        <v>0</v>
      </c>
      <c r="AT129" s="891"/>
      <c r="AV129" s="823">
        <v>0</v>
      </c>
      <c r="AW129" s="910"/>
      <c r="AY129" s="910"/>
      <c r="BB129" s="910"/>
    </row>
    <row r="130" spans="1:54" s="10" customFormat="1" hidden="1" x14ac:dyDescent="0.2">
      <c r="A130" s="605"/>
      <c r="B130" s="605"/>
      <c r="D130" s="762"/>
      <c r="E130" s="762"/>
      <c r="F130" s="763"/>
      <c r="G130" s="764"/>
      <c r="H130" s="764"/>
      <c r="I130" s="764"/>
      <c r="J130" s="772"/>
      <c r="K130" s="764"/>
      <c r="L130" s="533"/>
      <c r="M130" s="772"/>
      <c r="N130" s="764"/>
      <c r="O130" s="533"/>
      <c r="P130" s="772"/>
      <c r="Q130" s="764"/>
      <c r="R130" s="533"/>
      <c r="S130" s="772"/>
      <c r="T130" s="764"/>
      <c r="U130" s="533"/>
      <c r="V130" s="772"/>
      <c r="W130" s="764"/>
      <c r="X130" s="533"/>
      <c r="Y130" s="772"/>
      <c r="Z130" s="764"/>
      <c r="AA130" s="533"/>
      <c r="AB130" s="772"/>
      <c r="AC130" s="764"/>
      <c r="AD130" s="533"/>
      <c r="AE130" s="772"/>
      <c r="AF130" s="764"/>
      <c r="AG130" s="533"/>
      <c r="AH130" s="772"/>
      <c r="AI130" s="764"/>
      <c r="AJ130" s="533"/>
      <c r="AK130" s="772"/>
      <c r="AL130" s="764"/>
      <c r="AM130" s="533"/>
      <c r="AN130" s="772"/>
      <c r="AO130" s="764"/>
      <c r="AP130" s="533"/>
      <c r="AQ130" s="772"/>
      <c r="AR130" s="764"/>
      <c r="AS130" s="533"/>
      <c r="AW130" s="914"/>
      <c r="AY130" s="914"/>
      <c r="BB130" s="914"/>
    </row>
    <row r="131" spans="1:54" s="11" customFormat="1" hidden="1" x14ac:dyDescent="0.2">
      <c r="A131" s="646"/>
      <c r="B131" s="646"/>
      <c r="D131" s="478"/>
      <c r="E131" s="478"/>
      <c r="F131" s="756"/>
      <c r="G131" s="757"/>
      <c r="H131" s="757"/>
      <c r="I131" s="757"/>
      <c r="J131" s="773"/>
      <c r="K131" s="757"/>
      <c r="L131" s="482"/>
      <c r="M131" s="773"/>
      <c r="N131" s="757"/>
      <c r="O131" s="482"/>
      <c r="P131" s="773"/>
      <c r="Q131" s="757"/>
      <c r="R131" s="482"/>
      <c r="S131" s="773"/>
      <c r="T131" s="757"/>
      <c r="U131" s="482"/>
      <c r="V131" s="773"/>
      <c r="W131" s="757"/>
      <c r="X131" s="482"/>
      <c r="Y131" s="773"/>
      <c r="Z131" s="757"/>
      <c r="AA131" s="482"/>
      <c r="AB131" s="773"/>
      <c r="AC131" s="757"/>
      <c r="AD131" s="482"/>
      <c r="AE131" s="773"/>
      <c r="AF131" s="757"/>
      <c r="AG131" s="482"/>
      <c r="AH131" s="773"/>
      <c r="AI131" s="757"/>
      <c r="AJ131" s="482"/>
      <c r="AK131" s="773"/>
      <c r="AL131" s="757"/>
      <c r="AM131" s="482"/>
      <c r="AN131" s="773"/>
      <c r="AO131" s="757"/>
      <c r="AP131" s="482"/>
      <c r="AQ131" s="773"/>
      <c r="AR131" s="757"/>
      <c r="AS131" s="482"/>
      <c r="AW131" s="417"/>
      <c r="AY131" s="417"/>
      <c r="BB131" s="417"/>
    </row>
    <row r="132" spans="1:54" s="11" customFormat="1" hidden="1" x14ac:dyDescent="0.2">
      <c r="A132" s="758" t="s">
        <v>283</v>
      </c>
      <c r="D132" s="529"/>
      <c r="E132" s="529"/>
      <c r="F132" s="912"/>
      <c r="G132" s="911"/>
      <c r="H132" s="911"/>
      <c r="I132" s="911"/>
      <c r="J132" s="878"/>
      <c r="K132" s="911"/>
      <c r="L132" s="891"/>
      <c r="M132" s="878"/>
      <c r="N132" s="911"/>
      <c r="O132" s="891"/>
      <c r="P132" s="878"/>
      <c r="Q132" s="911"/>
      <c r="R132" s="891"/>
      <c r="S132" s="878"/>
      <c r="T132" s="911"/>
      <c r="U132" s="891"/>
      <c r="V132" s="878"/>
      <c r="W132" s="911"/>
      <c r="X132" s="891"/>
      <c r="Y132" s="878"/>
      <c r="Z132" s="911"/>
      <c r="AA132" s="891"/>
      <c r="AB132" s="878"/>
      <c r="AC132" s="911"/>
      <c r="AD132" s="891"/>
      <c r="AE132" s="878"/>
      <c r="AF132" s="911"/>
      <c r="AG132" s="891"/>
      <c r="AH132" s="878"/>
      <c r="AI132" s="911"/>
      <c r="AJ132" s="891"/>
      <c r="AK132" s="878"/>
      <c r="AL132" s="911"/>
      <c r="AM132" s="891"/>
      <c r="AN132" s="878"/>
      <c r="AO132" s="911"/>
      <c r="AP132" s="891"/>
      <c r="AQ132" s="878"/>
      <c r="AR132" s="911"/>
      <c r="AS132" s="891"/>
      <c r="AT132" s="891"/>
      <c r="AW132" s="417"/>
      <c r="AY132" s="417"/>
      <c r="BB132" s="417"/>
    </row>
    <row r="133" spans="1:54" s="11" customFormat="1" hidden="1" x14ac:dyDescent="0.2">
      <c r="A133" s="617">
        <v>27649</v>
      </c>
      <c r="B133" s="11" t="s">
        <v>605</v>
      </c>
      <c r="C133" s="11">
        <v>2002</v>
      </c>
      <c r="D133" s="529" t="s">
        <v>616</v>
      </c>
      <c r="E133" s="913">
        <v>39233</v>
      </c>
      <c r="F133" s="912">
        <v>7500</v>
      </c>
      <c r="G133" s="911">
        <v>0.22500000000000001</v>
      </c>
      <c r="H133" s="909" t="s">
        <v>617</v>
      </c>
      <c r="I133" s="909" t="s">
        <v>617</v>
      </c>
      <c r="J133" s="885">
        <v>0</v>
      </c>
      <c r="K133" s="909">
        <v>0</v>
      </c>
      <c r="L133" s="891">
        <v>0</v>
      </c>
      <c r="M133" s="885">
        <v>0</v>
      </c>
      <c r="N133" s="909">
        <v>0</v>
      </c>
      <c r="O133" s="891">
        <v>0</v>
      </c>
      <c r="P133" s="885">
        <v>0</v>
      </c>
      <c r="Q133" s="909">
        <v>0</v>
      </c>
      <c r="R133" s="891">
        <v>0</v>
      </c>
      <c r="S133" s="885">
        <v>0</v>
      </c>
      <c r="T133" s="909">
        <v>0</v>
      </c>
      <c r="U133" s="891">
        <v>0</v>
      </c>
      <c r="V133" s="885">
        <v>0</v>
      </c>
      <c r="W133" s="909">
        <v>0</v>
      </c>
      <c r="X133" s="891">
        <v>0</v>
      </c>
      <c r="Y133" s="885">
        <v>7500</v>
      </c>
      <c r="Z133" s="909">
        <v>0.22500000000000001</v>
      </c>
      <c r="AA133" s="891">
        <v>50625</v>
      </c>
      <c r="AB133" s="885">
        <v>7500</v>
      </c>
      <c r="AC133" s="909">
        <v>0.22500215053763442</v>
      </c>
      <c r="AD133" s="891">
        <v>52313</v>
      </c>
      <c r="AE133" s="885">
        <v>7500</v>
      </c>
      <c r="AF133" s="909">
        <v>0.22500215053763442</v>
      </c>
      <c r="AG133" s="891">
        <v>52313</v>
      </c>
      <c r="AH133" s="885">
        <v>7500</v>
      </c>
      <c r="AI133" s="909">
        <v>0.22500000000000001</v>
      </c>
      <c r="AJ133" s="891">
        <v>50625</v>
      </c>
      <c r="AK133" s="885">
        <v>7500</v>
      </c>
      <c r="AL133" s="909">
        <v>0.22500215053763442</v>
      </c>
      <c r="AM133" s="891">
        <v>52313</v>
      </c>
      <c r="AN133" s="885">
        <v>7500</v>
      </c>
      <c r="AO133" s="909">
        <v>0.22500000000000001</v>
      </c>
      <c r="AP133" s="891">
        <v>50625</v>
      </c>
      <c r="AQ133" s="885">
        <v>7500</v>
      </c>
      <c r="AR133" s="909">
        <v>0.22500215053763442</v>
      </c>
      <c r="AS133" s="891">
        <v>52313</v>
      </c>
      <c r="AT133" s="891"/>
      <c r="AV133" s="823">
        <v>361127</v>
      </c>
      <c r="AW133" s="910"/>
      <c r="AY133" s="910"/>
      <c r="BB133" s="910"/>
    </row>
    <row r="134" spans="1:54" s="11" customFormat="1" hidden="1" x14ac:dyDescent="0.2">
      <c r="A134" s="617">
        <v>27641</v>
      </c>
      <c r="B134" s="11" t="s">
        <v>605</v>
      </c>
      <c r="C134" s="11">
        <v>2002</v>
      </c>
      <c r="D134" s="529" t="s">
        <v>616</v>
      </c>
      <c r="E134" s="913">
        <v>48395</v>
      </c>
      <c r="F134" s="912">
        <v>20000</v>
      </c>
      <c r="G134" s="911">
        <v>0.38</v>
      </c>
      <c r="H134" s="909" t="s">
        <v>617</v>
      </c>
      <c r="I134" s="909" t="s">
        <v>617</v>
      </c>
      <c r="J134" s="885">
        <v>0</v>
      </c>
      <c r="K134" s="909">
        <v>0</v>
      </c>
      <c r="L134" s="891">
        <v>0</v>
      </c>
      <c r="M134" s="885">
        <v>0</v>
      </c>
      <c r="N134" s="909">
        <v>0</v>
      </c>
      <c r="O134" s="891">
        <v>0</v>
      </c>
      <c r="P134" s="885">
        <v>0</v>
      </c>
      <c r="Q134" s="909">
        <v>0</v>
      </c>
      <c r="R134" s="891">
        <v>0</v>
      </c>
      <c r="S134" s="885">
        <v>0</v>
      </c>
      <c r="T134" s="909">
        <v>0</v>
      </c>
      <c r="U134" s="891">
        <v>0</v>
      </c>
      <c r="V134" s="885">
        <v>0</v>
      </c>
      <c r="W134" s="909">
        <v>0</v>
      </c>
      <c r="X134" s="891">
        <v>0</v>
      </c>
      <c r="Y134" s="885">
        <v>20000</v>
      </c>
      <c r="Z134" s="909">
        <v>0.38</v>
      </c>
      <c r="AA134" s="891">
        <v>228000</v>
      </c>
      <c r="AB134" s="885">
        <v>20000</v>
      </c>
      <c r="AC134" s="909">
        <v>0.38</v>
      </c>
      <c r="AD134" s="891">
        <v>235600</v>
      </c>
      <c r="AE134" s="885">
        <v>20000</v>
      </c>
      <c r="AF134" s="909">
        <v>0.38</v>
      </c>
      <c r="AG134" s="891">
        <v>235600</v>
      </c>
      <c r="AH134" s="885">
        <v>20000</v>
      </c>
      <c r="AI134" s="909">
        <v>0.38</v>
      </c>
      <c r="AJ134" s="891">
        <v>228000</v>
      </c>
      <c r="AK134" s="885">
        <v>20000</v>
      </c>
      <c r="AL134" s="909">
        <v>0.38</v>
      </c>
      <c r="AM134" s="891">
        <v>235600</v>
      </c>
      <c r="AN134" s="885">
        <v>20000</v>
      </c>
      <c r="AO134" s="909">
        <v>0.38</v>
      </c>
      <c r="AP134" s="891">
        <v>228000</v>
      </c>
      <c r="AQ134" s="885">
        <v>20000</v>
      </c>
      <c r="AR134" s="909">
        <v>0.38</v>
      </c>
      <c r="AS134" s="891">
        <v>235600</v>
      </c>
      <c r="AT134" s="891"/>
      <c r="AV134" s="823">
        <v>1626400</v>
      </c>
      <c r="AW134" s="910"/>
      <c r="AY134" s="910"/>
      <c r="BB134" s="910"/>
    </row>
    <row r="135" spans="1:54" s="11" customFormat="1" hidden="1" x14ac:dyDescent="0.2">
      <c r="A135" s="617">
        <v>27608</v>
      </c>
      <c r="B135" s="11" t="s">
        <v>606</v>
      </c>
      <c r="C135" s="11">
        <v>2002</v>
      </c>
      <c r="D135" s="529" t="s">
        <v>616</v>
      </c>
      <c r="E135" s="913">
        <v>42886</v>
      </c>
      <c r="F135" s="912">
        <v>10000</v>
      </c>
      <c r="G135" s="911">
        <v>0.38500000000000001</v>
      </c>
      <c r="H135" s="909" t="s">
        <v>617</v>
      </c>
      <c r="I135" s="909" t="s">
        <v>617</v>
      </c>
      <c r="J135" s="885">
        <v>0</v>
      </c>
      <c r="K135" s="909">
        <v>0</v>
      </c>
      <c r="L135" s="891">
        <v>0</v>
      </c>
      <c r="M135" s="885">
        <v>0</v>
      </c>
      <c r="N135" s="909">
        <v>0</v>
      </c>
      <c r="O135" s="891">
        <v>0</v>
      </c>
      <c r="P135" s="885">
        <v>0</v>
      </c>
      <c r="Q135" s="909">
        <v>0</v>
      </c>
      <c r="R135" s="891">
        <v>0</v>
      </c>
      <c r="S135" s="885">
        <v>0</v>
      </c>
      <c r="T135" s="909">
        <v>0</v>
      </c>
      <c r="U135" s="891">
        <v>0</v>
      </c>
      <c r="V135" s="885">
        <v>0</v>
      </c>
      <c r="W135" s="909">
        <v>0</v>
      </c>
      <c r="X135" s="891">
        <v>0</v>
      </c>
      <c r="Y135" s="885">
        <v>10000</v>
      </c>
      <c r="Z135" s="909">
        <v>0.38500000000000001</v>
      </c>
      <c r="AA135" s="891">
        <v>115500</v>
      </c>
      <c r="AB135" s="885">
        <v>10000</v>
      </c>
      <c r="AC135" s="909">
        <v>0.38500000000000001</v>
      </c>
      <c r="AD135" s="891">
        <v>119350</v>
      </c>
      <c r="AE135" s="885">
        <v>10000</v>
      </c>
      <c r="AF135" s="909">
        <v>0.38500000000000001</v>
      </c>
      <c r="AG135" s="891">
        <v>119350</v>
      </c>
      <c r="AH135" s="885">
        <v>10000</v>
      </c>
      <c r="AI135" s="909">
        <v>0.38500000000000001</v>
      </c>
      <c r="AJ135" s="891">
        <v>115500</v>
      </c>
      <c r="AK135" s="885">
        <v>10000</v>
      </c>
      <c r="AL135" s="909">
        <v>0.38500000000000001</v>
      </c>
      <c r="AM135" s="891">
        <v>119350</v>
      </c>
      <c r="AN135" s="885">
        <v>10000</v>
      </c>
      <c r="AO135" s="909">
        <v>0.38500000000000001</v>
      </c>
      <c r="AP135" s="891">
        <v>115500</v>
      </c>
      <c r="AQ135" s="885">
        <v>10000</v>
      </c>
      <c r="AR135" s="909">
        <v>0.38500000000000001</v>
      </c>
      <c r="AS135" s="891">
        <v>119350</v>
      </c>
      <c r="AT135" s="891"/>
      <c r="AV135" s="823">
        <v>823900</v>
      </c>
      <c r="AW135" s="910"/>
      <c r="AY135" s="910"/>
      <c r="BB135" s="910"/>
    </row>
    <row r="136" spans="1:54" s="11" customFormat="1" hidden="1" x14ac:dyDescent="0.2">
      <c r="A136" s="617">
        <v>27607</v>
      </c>
      <c r="B136" s="11" t="s">
        <v>607</v>
      </c>
      <c r="C136" s="11">
        <v>2002</v>
      </c>
      <c r="D136" s="529" t="s">
        <v>616</v>
      </c>
      <c r="E136" s="913">
        <v>38077</v>
      </c>
      <c r="F136" s="912">
        <v>1700</v>
      </c>
      <c r="G136" s="911">
        <v>1.75</v>
      </c>
      <c r="H136" s="909" t="s">
        <v>617</v>
      </c>
      <c r="I136" s="909" t="s">
        <v>617</v>
      </c>
      <c r="J136" s="885">
        <v>0</v>
      </c>
      <c r="K136" s="909">
        <v>0</v>
      </c>
      <c r="L136" s="891">
        <v>0</v>
      </c>
      <c r="M136" s="885">
        <v>0</v>
      </c>
      <c r="N136" s="909">
        <v>0</v>
      </c>
      <c r="O136" s="891">
        <v>0</v>
      </c>
      <c r="P136" s="885">
        <v>0</v>
      </c>
      <c r="Q136" s="909">
        <v>0</v>
      </c>
      <c r="R136" s="891">
        <v>0</v>
      </c>
      <c r="S136" s="885">
        <v>0</v>
      </c>
      <c r="T136" s="909">
        <v>0</v>
      </c>
      <c r="U136" s="891">
        <v>0</v>
      </c>
      <c r="V136" s="885">
        <v>0</v>
      </c>
      <c r="W136" s="909">
        <v>0</v>
      </c>
      <c r="X136" s="891">
        <v>0</v>
      </c>
      <c r="Y136" s="885">
        <v>1700</v>
      </c>
      <c r="Z136" s="909">
        <v>1.75</v>
      </c>
      <c r="AA136" s="891">
        <v>89250</v>
      </c>
      <c r="AB136" s="885">
        <v>1700</v>
      </c>
      <c r="AC136" s="909">
        <v>1.75</v>
      </c>
      <c r="AD136" s="891">
        <v>92225</v>
      </c>
      <c r="AE136" s="885">
        <v>1700</v>
      </c>
      <c r="AF136" s="909">
        <v>1.75</v>
      </c>
      <c r="AG136" s="891">
        <v>92225</v>
      </c>
      <c r="AH136" s="885">
        <v>1700</v>
      </c>
      <c r="AI136" s="909">
        <v>1.75</v>
      </c>
      <c r="AJ136" s="891">
        <v>89250</v>
      </c>
      <c r="AK136" s="885">
        <v>1700</v>
      </c>
      <c r="AL136" s="909">
        <v>1.75</v>
      </c>
      <c r="AM136" s="891">
        <v>92225</v>
      </c>
      <c r="AN136" s="885">
        <v>1700</v>
      </c>
      <c r="AO136" s="909">
        <v>1.75</v>
      </c>
      <c r="AP136" s="891">
        <v>89250</v>
      </c>
      <c r="AQ136" s="885">
        <v>1700</v>
      </c>
      <c r="AR136" s="909">
        <v>1.75</v>
      </c>
      <c r="AS136" s="891">
        <v>92225</v>
      </c>
      <c r="AT136" s="891"/>
      <c r="AV136" s="823">
        <v>636650</v>
      </c>
      <c r="AW136" s="910"/>
      <c r="AY136" s="910"/>
      <c r="BB136" s="910"/>
    </row>
    <row r="137" spans="1:54" s="11" customFormat="1" hidden="1" x14ac:dyDescent="0.2">
      <c r="A137" s="617">
        <v>27642</v>
      </c>
      <c r="B137" s="11" t="s">
        <v>608</v>
      </c>
      <c r="C137" s="11">
        <v>2002</v>
      </c>
      <c r="D137" s="529" t="s">
        <v>616</v>
      </c>
      <c r="E137" s="913">
        <v>42886</v>
      </c>
      <c r="F137" s="912">
        <v>40000</v>
      </c>
      <c r="G137" s="911">
        <v>0.38</v>
      </c>
      <c r="H137" s="909" t="s">
        <v>617</v>
      </c>
      <c r="I137" s="909" t="s">
        <v>617</v>
      </c>
      <c r="J137" s="885">
        <v>0</v>
      </c>
      <c r="K137" s="909">
        <v>0</v>
      </c>
      <c r="L137" s="891">
        <v>0</v>
      </c>
      <c r="M137" s="885">
        <v>0</v>
      </c>
      <c r="N137" s="909">
        <v>0</v>
      </c>
      <c r="O137" s="891">
        <v>0</v>
      </c>
      <c r="P137" s="885">
        <v>0</v>
      </c>
      <c r="Q137" s="909">
        <v>0</v>
      </c>
      <c r="R137" s="891">
        <v>0</v>
      </c>
      <c r="S137" s="885">
        <v>0</v>
      </c>
      <c r="T137" s="909">
        <v>0</v>
      </c>
      <c r="U137" s="891">
        <v>0</v>
      </c>
      <c r="V137" s="885">
        <v>0</v>
      </c>
      <c r="W137" s="909">
        <v>0</v>
      </c>
      <c r="X137" s="891">
        <v>0</v>
      </c>
      <c r="Y137" s="885">
        <v>0</v>
      </c>
      <c r="Z137" s="909">
        <v>0</v>
      </c>
      <c r="AA137" s="891">
        <v>0</v>
      </c>
      <c r="AB137" s="885">
        <v>40000</v>
      </c>
      <c r="AC137" s="909">
        <v>0.38</v>
      </c>
      <c r="AD137" s="891">
        <v>471200</v>
      </c>
      <c r="AE137" s="885">
        <v>40000</v>
      </c>
      <c r="AF137" s="909">
        <v>0.38</v>
      </c>
      <c r="AG137" s="891">
        <v>471200</v>
      </c>
      <c r="AH137" s="885">
        <v>40000</v>
      </c>
      <c r="AI137" s="909">
        <v>0.38</v>
      </c>
      <c r="AJ137" s="891">
        <v>456000</v>
      </c>
      <c r="AK137" s="885">
        <v>40000</v>
      </c>
      <c r="AL137" s="909">
        <v>0.38</v>
      </c>
      <c r="AM137" s="891">
        <v>471200</v>
      </c>
      <c r="AN137" s="885">
        <v>40000</v>
      </c>
      <c r="AO137" s="909">
        <v>0.38</v>
      </c>
      <c r="AP137" s="891">
        <v>456000</v>
      </c>
      <c r="AQ137" s="885">
        <v>40000</v>
      </c>
      <c r="AR137" s="909">
        <v>0.38</v>
      </c>
      <c r="AS137" s="891">
        <v>471200</v>
      </c>
      <c r="AT137" s="891"/>
      <c r="AV137" s="823">
        <v>2796800</v>
      </c>
      <c r="AW137" s="910"/>
      <c r="AY137" s="910"/>
      <c r="BB137" s="910"/>
    </row>
    <row r="138" spans="1:54" s="11" customFormat="1" hidden="1" x14ac:dyDescent="0.2">
      <c r="A138" s="617">
        <v>27622</v>
      </c>
      <c r="B138" s="11" t="s">
        <v>609</v>
      </c>
      <c r="C138" s="11">
        <v>2002</v>
      </c>
      <c r="D138" s="529" t="s">
        <v>616</v>
      </c>
      <c r="E138" s="913">
        <v>41882</v>
      </c>
      <c r="F138" s="912">
        <v>4500</v>
      </c>
      <c r="G138" s="911">
        <v>0.42</v>
      </c>
      <c r="H138" s="909" t="s">
        <v>617</v>
      </c>
      <c r="I138" s="909" t="s">
        <v>617</v>
      </c>
      <c r="J138" s="885">
        <v>0</v>
      </c>
      <c r="K138" s="909">
        <v>0</v>
      </c>
      <c r="L138" s="891">
        <v>0</v>
      </c>
      <c r="M138" s="885">
        <v>0</v>
      </c>
      <c r="N138" s="909">
        <v>0</v>
      </c>
      <c r="O138" s="891">
        <v>0</v>
      </c>
      <c r="P138" s="885">
        <v>0</v>
      </c>
      <c r="Q138" s="909">
        <v>0</v>
      </c>
      <c r="R138" s="891">
        <v>0</v>
      </c>
      <c r="S138" s="885">
        <v>0</v>
      </c>
      <c r="T138" s="909">
        <v>0</v>
      </c>
      <c r="U138" s="891">
        <v>0</v>
      </c>
      <c r="V138" s="885">
        <v>0</v>
      </c>
      <c r="W138" s="909">
        <v>0</v>
      </c>
      <c r="X138" s="891">
        <v>0</v>
      </c>
      <c r="Y138" s="885">
        <v>4500</v>
      </c>
      <c r="Z138" s="909">
        <v>0.42</v>
      </c>
      <c r="AA138" s="891">
        <v>56700</v>
      </c>
      <c r="AB138" s="885">
        <v>4500</v>
      </c>
      <c r="AC138" s="909">
        <v>0.42</v>
      </c>
      <c r="AD138" s="891">
        <v>58590</v>
      </c>
      <c r="AE138" s="885">
        <v>4500</v>
      </c>
      <c r="AF138" s="909">
        <v>0.42</v>
      </c>
      <c r="AG138" s="891">
        <v>58590</v>
      </c>
      <c r="AH138" s="885">
        <v>4500</v>
      </c>
      <c r="AI138" s="909">
        <v>0.42</v>
      </c>
      <c r="AJ138" s="891">
        <v>56700</v>
      </c>
      <c r="AK138" s="885">
        <v>4500</v>
      </c>
      <c r="AL138" s="909">
        <v>0.42</v>
      </c>
      <c r="AM138" s="891">
        <v>58590</v>
      </c>
      <c r="AN138" s="885">
        <v>4500</v>
      </c>
      <c r="AO138" s="909">
        <v>0.42</v>
      </c>
      <c r="AP138" s="891">
        <v>56700</v>
      </c>
      <c r="AQ138" s="885">
        <v>4500</v>
      </c>
      <c r="AR138" s="909">
        <v>0.42</v>
      </c>
      <c r="AS138" s="891">
        <v>58590</v>
      </c>
      <c r="AT138" s="891"/>
      <c r="AV138" s="823">
        <v>404460</v>
      </c>
      <c r="AW138" s="910"/>
      <c r="AY138" s="910"/>
      <c r="BB138" s="910"/>
    </row>
    <row r="139" spans="1:54" s="11" customFormat="1" hidden="1" x14ac:dyDescent="0.2">
      <c r="A139" s="617">
        <v>27609</v>
      </c>
      <c r="B139" s="11" t="s">
        <v>306</v>
      </c>
      <c r="C139" s="11">
        <v>2002</v>
      </c>
      <c r="D139" s="529" t="s">
        <v>616</v>
      </c>
      <c r="E139" s="913">
        <v>41060</v>
      </c>
      <c r="F139" s="912">
        <v>15000</v>
      </c>
      <c r="G139" s="911">
        <v>0.38</v>
      </c>
      <c r="H139" s="909" t="s">
        <v>617</v>
      </c>
      <c r="I139" s="909" t="s">
        <v>617</v>
      </c>
      <c r="J139" s="885">
        <v>0</v>
      </c>
      <c r="K139" s="909">
        <v>0</v>
      </c>
      <c r="L139" s="891">
        <v>0</v>
      </c>
      <c r="M139" s="885">
        <v>0</v>
      </c>
      <c r="N139" s="909">
        <v>0</v>
      </c>
      <c r="O139" s="891">
        <v>0</v>
      </c>
      <c r="P139" s="885">
        <v>0</v>
      </c>
      <c r="Q139" s="909">
        <v>0</v>
      </c>
      <c r="R139" s="891">
        <v>0</v>
      </c>
      <c r="S139" s="885">
        <v>0</v>
      </c>
      <c r="T139" s="909">
        <v>0</v>
      </c>
      <c r="U139" s="891">
        <v>0</v>
      </c>
      <c r="V139" s="885">
        <v>0</v>
      </c>
      <c r="W139" s="909">
        <v>0</v>
      </c>
      <c r="X139" s="891">
        <v>0</v>
      </c>
      <c r="Y139" s="885">
        <v>15000</v>
      </c>
      <c r="Z139" s="909">
        <v>0.38</v>
      </c>
      <c r="AA139" s="891">
        <v>171000</v>
      </c>
      <c r="AB139" s="885">
        <v>15000</v>
      </c>
      <c r="AC139" s="909">
        <v>0.38</v>
      </c>
      <c r="AD139" s="891">
        <v>176700</v>
      </c>
      <c r="AE139" s="885">
        <v>15000</v>
      </c>
      <c r="AF139" s="909">
        <v>0.38</v>
      </c>
      <c r="AG139" s="891">
        <v>176700</v>
      </c>
      <c r="AH139" s="885">
        <v>15000</v>
      </c>
      <c r="AI139" s="909">
        <v>0.38</v>
      </c>
      <c r="AJ139" s="891">
        <v>171000</v>
      </c>
      <c r="AK139" s="885">
        <v>15000</v>
      </c>
      <c r="AL139" s="909">
        <v>0.38</v>
      </c>
      <c r="AM139" s="891">
        <v>176700</v>
      </c>
      <c r="AN139" s="885">
        <v>15000</v>
      </c>
      <c r="AO139" s="909">
        <v>0.38</v>
      </c>
      <c r="AP139" s="891">
        <v>171000</v>
      </c>
      <c r="AQ139" s="885">
        <v>15000</v>
      </c>
      <c r="AR139" s="909">
        <v>0.38</v>
      </c>
      <c r="AS139" s="891">
        <v>176700</v>
      </c>
      <c r="AT139" s="891"/>
      <c r="AV139" s="823">
        <v>1219800</v>
      </c>
      <c r="AW139" s="910"/>
      <c r="AY139" s="910"/>
      <c r="BB139" s="910"/>
    </row>
    <row r="140" spans="1:54" s="11" customFormat="1" hidden="1" x14ac:dyDescent="0.2">
      <c r="A140" s="617">
        <v>27604</v>
      </c>
      <c r="B140" s="11" t="s">
        <v>610</v>
      </c>
      <c r="C140" s="11">
        <v>2002</v>
      </c>
      <c r="D140" s="529" t="s">
        <v>616</v>
      </c>
      <c r="E140" s="913">
        <v>37772</v>
      </c>
      <c r="F140" s="912">
        <v>5300</v>
      </c>
      <c r="G140" s="911">
        <v>2.2000000000000002</v>
      </c>
      <c r="H140" s="909" t="s">
        <v>617</v>
      </c>
      <c r="I140" s="909" t="s">
        <v>617</v>
      </c>
      <c r="J140" s="885">
        <v>0</v>
      </c>
      <c r="K140" s="909">
        <v>0</v>
      </c>
      <c r="L140" s="891">
        <v>0</v>
      </c>
      <c r="M140" s="885">
        <v>0</v>
      </c>
      <c r="N140" s="909">
        <v>0</v>
      </c>
      <c r="O140" s="891">
        <v>0</v>
      </c>
      <c r="P140" s="885">
        <v>0</v>
      </c>
      <c r="Q140" s="909">
        <v>0</v>
      </c>
      <c r="R140" s="891">
        <v>0</v>
      </c>
      <c r="S140" s="885">
        <v>0</v>
      </c>
      <c r="T140" s="909">
        <v>0</v>
      </c>
      <c r="U140" s="891">
        <v>0</v>
      </c>
      <c r="V140" s="885">
        <v>0</v>
      </c>
      <c r="W140" s="909">
        <v>0</v>
      </c>
      <c r="X140" s="891">
        <v>0</v>
      </c>
      <c r="Y140" s="885">
        <v>5300</v>
      </c>
      <c r="Z140" s="909">
        <v>2.2000000000000002</v>
      </c>
      <c r="AA140" s="891">
        <v>349800</v>
      </c>
      <c r="AB140" s="885">
        <v>5300</v>
      </c>
      <c r="AC140" s="909">
        <v>2.2000000000000002</v>
      </c>
      <c r="AD140" s="891">
        <v>361460</v>
      </c>
      <c r="AE140" s="885">
        <v>5300</v>
      </c>
      <c r="AF140" s="909">
        <v>2.2000000000000002</v>
      </c>
      <c r="AG140" s="891">
        <v>361460</v>
      </c>
      <c r="AH140" s="885">
        <v>5300</v>
      </c>
      <c r="AI140" s="909">
        <v>2.2000000000000002</v>
      </c>
      <c r="AJ140" s="891">
        <v>349800</v>
      </c>
      <c r="AK140" s="885">
        <v>5300</v>
      </c>
      <c r="AL140" s="909">
        <v>2.2000000000000002</v>
      </c>
      <c r="AM140" s="891">
        <v>361460</v>
      </c>
      <c r="AN140" s="885">
        <v>5300</v>
      </c>
      <c r="AO140" s="909">
        <v>2.2000000000000002</v>
      </c>
      <c r="AP140" s="891">
        <v>349800</v>
      </c>
      <c r="AQ140" s="885">
        <v>5300</v>
      </c>
      <c r="AR140" s="909">
        <v>2.2000000000000002</v>
      </c>
      <c r="AS140" s="891">
        <v>361460</v>
      </c>
      <c r="AT140" s="891"/>
      <c r="AV140" s="823">
        <v>2495240</v>
      </c>
      <c r="AW140" s="910"/>
      <c r="AY140" s="910"/>
      <c r="BB140" s="910"/>
    </row>
    <row r="141" spans="1:54" s="11" customFormat="1" hidden="1" x14ac:dyDescent="0.2">
      <c r="A141" s="617">
        <v>27605</v>
      </c>
      <c r="B141" s="11" t="s">
        <v>610</v>
      </c>
      <c r="C141" s="11">
        <v>2002</v>
      </c>
      <c r="D141" s="529" t="s">
        <v>616</v>
      </c>
      <c r="E141" s="913">
        <v>42886</v>
      </c>
      <c r="F141" s="912">
        <v>2700</v>
      </c>
      <c r="G141" s="911">
        <v>0.38</v>
      </c>
      <c r="H141" s="909" t="s">
        <v>617</v>
      </c>
      <c r="I141" s="909" t="s">
        <v>617</v>
      </c>
      <c r="J141" s="885">
        <v>0</v>
      </c>
      <c r="K141" s="909">
        <v>0</v>
      </c>
      <c r="L141" s="891">
        <v>0</v>
      </c>
      <c r="M141" s="885">
        <v>0</v>
      </c>
      <c r="N141" s="909">
        <v>0</v>
      </c>
      <c r="O141" s="891">
        <v>0</v>
      </c>
      <c r="P141" s="885">
        <v>0</v>
      </c>
      <c r="Q141" s="909">
        <v>0</v>
      </c>
      <c r="R141" s="891">
        <v>0</v>
      </c>
      <c r="S141" s="885">
        <v>0</v>
      </c>
      <c r="T141" s="909">
        <v>0</v>
      </c>
      <c r="U141" s="891">
        <v>0</v>
      </c>
      <c r="V141" s="885">
        <v>0</v>
      </c>
      <c r="W141" s="909">
        <v>0</v>
      </c>
      <c r="X141" s="891">
        <v>0</v>
      </c>
      <c r="Y141" s="885">
        <v>2700</v>
      </c>
      <c r="Z141" s="909">
        <v>0.38</v>
      </c>
      <c r="AA141" s="891">
        <v>30780</v>
      </c>
      <c r="AB141" s="885">
        <v>2700</v>
      </c>
      <c r="AC141" s="909">
        <v>0.38</v>
      </c>
      <c r="AD141" s="891">
        <v>31806</v>
      </c>
      <c r="AE141" s="885">
        <v>2700</v>
      </c>
      <c r="AF141" s="909">
        <v>0.38</v>
      </c>
      <c r="AG141" s="891">
        <v>31806</v>
      </c>
      <c r="AH141" s="885">
        <v>2700</v>
      </c>
      <c r="AI141" s="909">
        <v>0.38</v>
      </c>
      <c r="AJ141" s="891">
        <v>30780</v>
      </c>
      <c r="AK141" s="885">
        <v>2700</v>
      </c>
      <c r="AL141" s="909">
        <v>0.38</v>
      </c>
      <c r="AM141" s="891">
        <v>31806</v>
      </c>
      <c r="AN141" s="885">
        <v>2700</v>
      </c>
      <c r="AO141" s="909">
        <v>0.38</v>
      </c>
      <c r="AP141" s="891">
        <v>30780</v>
      </c>
      <c r="AQ141" s="885">
        <v>2700</v>
      </c>
      <c r="AR141" s="909">
        <v>0.38</v>
      </c>
      <c r="AS141" s="891">
        <v>31806</v>
      </c>
      <c r="AT141" s="891"/>
      <c r="AV141" s="823">
        <v>219564</v>
      </c>
      <c r="AW141" s="910"/>
      <c r="AY141" s="910"/>
      <c r="BB141" s="910"/>
    </row>
    <row r="142" spans="1:54" s="11" customFormat="1" hidden="1" x14ac:dyDescent="0.2">
      <c r="A142" s="617"/>
      <c r="D142" s="529"/>
      <c r="E142" s="529"/>
      <c r="F142" s="912"/>
      <c r="G142" s="911"/>
      <c r="H142" s="911"/>
      <c r="I142" s="911"/>
      <c r="J142" s="878"/>
      <c r="K142" s="911"/>
      <c r="L142" s="891"/>
      <c r="M142" s="878"/>
      <c r="N142" s="911"/>
      <c r="O142" s="891"/>
      <c r="P142" s="878"/>
      <c r="Q142" s="911"/>
      <c r="R142" s="891"/>
      <c r="S142" s="878"/>
      <c r="T142" s="911"/>
      <c r="U142" s="891"/>
      <c r="V142" s="878"/>
      <c r="W142" s="911"/>
      <c r="X142" s="891"/>
      <c r="Y142" s="878"/>
      <c r="Z142" s="911"/>
      <c r="AA142" s="891"/>
      <c r="AB142" s="878"/>
      <c r="AC142" s="911"/>
      <c r="AD142" s="891"/>
      <c r="AE142" s="878"/>
      <c r="AF142" s="911"/>
      <c r="AG142" s="891"/>
      <c r="AH142" s="878"/>
      <c r="AI142" s="911"/>
      <c r="AJ142" s="891"/>
      <c r="AK142" s="878"/>
      <c r="AL142" s="911"/>
      <c r="AM142" s="891"/>
      <c r="AN142" s="878"/>
      <c r="AO142" s="911"/>
      <c r="AP142" s="891"/>
      <c r="AQ142" s="878"/>
      <c r="AR142" s="911"/>
      <c r="AS142" s="891"/>
      <c r="AT142" s="891"/>
      <c r="AW142" s="417"/>
      <c r="AY142" s="417"/>
      <c r="BB142" s="417"/>
    </row>
    <row r="143" spans="1:54" s="11" customFormat="1" hidden="1" x14ac:dyDescent="0.2">
      <c r="A143" s="617">
        <v>8255</v>
      </c>
      <c r="B143" s="11" t="s">
        <v>285</v>
      </c>
      <c r="C143" s="11">
        <v>2002</v>
      </c>
      <c r="D143" s="529"/>
      <c r="E143" s="913" t="s">
        <v>655</v>
      </c>
      <c r="F143" s="912">
        <v>306000</v>
      </c>
      <c r="G143" s="911">
        <f>0.3297-0.3232</f>
        <v>6.5000000000000058E-3</v>
      </c>
      <c r="H143" s="1117" t="s">
        <v>647</v>
      </c>
      <c r="I143" s="1117"/>
      <c r="J143" s="885">
        <v>0</v>
      </c>
      <c r="K143" s="909">
        <v>0</v>
      </c>
      <c r="L143" s="891">
        <v>61659</v>
      </c>
      <c r="M143" s="885">
        <v>0</v>
      </c>
      <c r="N143" s="909">
        <v>0</v>
      </c>
      <c r="O143" s="891">
        <v>55692</v>
      </c>
      <c r="P143" s="885">
        <v>0</v>
      </c>
      <c r="Q143" s="909">
        <v>0</v>
      </c>
      <c r="R143" s="891">
        <v>61659</v>
      </c>
      <c r="S143" s="885">
        <v>0</v>
      </c>
      <c r="T143" s="909">
        <v>0</v>
      </c>
      <c r="U143" s="891">
        <v>59670</v>
      </c>
      <c r="V143" s="885">
        <v>0</v>
      </c>
      <c r="W143" s="909">
        <v>0</v>
      </c>
      <c r="X143" s="891">
        <v>61659</v>
      </c>
      <c r="Y143" s="885">
        <v>0</v>
      </c>
      <c r="Z143" s="909">
        <v>0</v>
      </c>
      <c r="AA143" s="891">
        <v>59670</v>
      </c>
      <c r="AB143" s="885">
        <v>0</v>
      </c>
      <c r="AC143" s="909">
        <v>0</v>
      </c>
      <c r="AD143" s="891">
        <v>61659</v>
      </c>
      <c r="AE143" s="885">
        <v>0</v>
      </c>
      <c r="AF143" s="909">
        <v>0</v>
      </c>
      <c r="AG143" s="891">
        <v>61659</v>
      </c>
      <c r="AH143" s="885">
        <v>0</v>
      </c>
      <c r="AI143" s="909">
        <v>0</v>
      </c>
      <c r="AJ143" s="891">
        <v>59670</v>
      </c>
      <c r="AK143" s="885">
        <v>0</v>
      </c>
      <c r="AL143" s="909">
        <v>0</v>
      </c>
      <c r="AM143" s="891">
        <v>61659</v>
      </c>
      <c r="AN143" s="885">
        <v>0</v>
      </c>
      <c r="AO143" s="909">
        <v>0</v>
      </c>
      <c r="AP143" s="891">
        <v>121176</v>
      </c>
      <c r="AQ143" s="885">
        <v>0</v>
      </c>
      <c r="AR143" s="909">
        <v>0</v>
      </c>
      <c r="AS143" s="891">
        <v>125215</v>
      </c>
      <c r="AT143" s="891"/>
      <c r="AU143" s="915"/>
      <c r="AV143" s="823">
        <v>851047</v>
      </c>
      <c r="AW143" s="910"/>
      <c r="AY143" s="910"/>
      <c r="BB143" s="910"/>
    </row>
    <row r="144" spans="1:54" s="11" customFormat="1" hidden="1" x14ac:dyDescent="0.2">
      <c r="A144" s="617">
        <v>26511</v>
      </c>
      <c r="B144" s="11" t="s">
        <v>628</v>
      </c>
      <c r="C144" s="11">
        <v>2002</v>
      </c>
      <c r="D144" s="913">
        <v>37561</v>
      </c>
      <c r="E144" s="913">
        <v>37621</v>
      </c>
      <c r="F144" s="912">
        <v>21000</v>
      </c>
      <c r="G144" s="911">
        <v>0.1075</v>
      </c>
      <c r="H144" s="909" t="s">
        <v>617</v>
      </c>
      <c r="I144" s="909" t="s">
        <v>617</v>
      </c>
      <c r="J144" s="878"/>
      <c r="K144" s="909"/>
      <c r="L144" s="891"/>
      <c r="M144" s="878"/>
      <c r="N144" s="909"/>
      <c r="O144" s="891"/>
      <c r="P144" s="878"/>
      <c r="Q144" s="909"/>
      <c r="R144" s="891"/>
      <c r="S144" s="878">
        <v>0</v>
      </c>
      <c r="T144" s="909">
        <v>0</v>
      </c>
      <c r="U144" s="891">
        <v>0</v>
      </c>
      <c r="V144" s="878">
        <v>0</v>
      </c>
      <c r="W144" s="909"/>
      <c r="X144" s="891">
        <v>0</v>
      </c>
      <c r="Y144" s="878">
        <v>0</v>
      </c>
      <c r="Z144" s="909"/>
      <c r="AA144" s="891">
        <v>0</v>
      </c>
      <c r="AB144" s="878">
        <v>0</v>
      </c>
      <c r="AC144" s="909"/>
      <c r="AD144" s="891">
        <v>0</v>
      </c>
      <c r="AE144" s="878">
        <v>0</v>
      </c>
      <c r="AF144" s="909"/>
      <c r="AG144" s="891">
        <v>0</v>
      </c>
      <c r="AH144" s="878">
        <v>0</v>
      </c>
      <c r="AI144" s="909"/>
      <c r="AJ144" s="891">
        <v>0</v>
      </c>
      <c r="AK144" s="878">
        <v>0</v>
      </c>
      <c r="AL144" s="909"/>
      <c r="AM144" s="891">
        <v>0</v>
      </c>
      <c r="AN144" s="878">
        <v>21000</v>
      </c>
      <c r="AO144" s="909">
        <v>0.1075</v>
      </c>
      <c r="AP144" s="891">
        <v>67725</v>
      </c>
      <c r="AQ144" s="878">
        <v>21000</v>
      </c>
      <c r="AR144" s="909">
        <v>0.10750076804915515</v>
      </c>
      <c r="AS144" s="891">
        <v>69983</v>
      </c>
      <c r="AT144" s="891"/>
      <c r="AV144" s="823">
        <v>137708</v>
      </c>
      <c r="AW144" s="910"/>
      <c r="AY144" s="910"/>
      <c r="BB144" s="910"/>
    </row>
    <row r="145" spans="1:55" s="11" customFormat="1" hidden="1" x14ac:dyDescent="0.2">
      <c r="A145" s="617">
        <v>25841</v>
      </c>
      <c r="B145" s="11" t="s">
        <v>628</v>
      </c>
      <c r="C145" s="11">
        <v>2002</v>
      </c>
      <c r="D145" s="913">
        <v>37561</v>
      </c>
      <c r="E145" s="913">
        <v>37621</v>
      </c>
      <c r="F145" s="912">
        <v>40000</v>
      </c>
      <c r="G145" s="911">
        <v>0.1075</v>
      </c>
      <c r="H145" s="909" t="s">
        <v>617</v>
      </c>
      <c r="I145" s="909" t="s">
        <v>617</v>
      </c>
      <c r="J145" s="878">
        <v>0</v>
      </c>
      <c r="K145" s="909">
        <v>0</v>
      </c>
      <c r="L145" s="891">
        <v>0</v>
      </c>
      <c r="M145" s="878">
        <v>0</v>
      </c>
      <c r="N145" s="909">
        <v>0</v>
      </c>
      <c r="O145" s="891">
        <v>0</v>
      </c>
      <c r="P145" s="878">
        <v>0</v>
      </c>
      <c r="Q145" s="909">
        <v>0</v>
      </c>
      <c r="R145" s="891">
        <v>0</v>
      </c>
      <c r="S145" s="878">
        <v>0</v>
      </c>
      <c r="T145" s="909">
        <v>0</v>
      </c>
      <c r="U145" s="891">
        <v>0</v>
      </c>
      <c r="V145" s="878">
        <v>0</v>
      </c>
      <c r="W145" s="909">
        <v>0</v>
      </c>
      <c r="X145" s="891">
        <v>0</v>
      </c>
      <c r="Y145" s="878">
        <v>0</v>
      </c>
      <c r="Z145" s="909">
        <v>0</v>
      </c>
      <c r="AA145" s="891">
        <v>0</v>
      </c>
      <c r="AB145" s="878">
        <v>0</v>
      </c>
      <c r="AC145" s="909">
        <v>0</v>
      </c>
      <c r="AD145" s="891">
        <v>0</v>
      </c>
      <c r="AE145" s="878">
        <v>0</v>
      </c>
      <c r="AF145" s="909">
        <v>0</v>
      </c>
      <c r="AG145" s="891">
        <v>0</v>
      </c>
      <c r="AH145" s="878">
        <v>0</v>
      </c>
      <c r="AI145" s="909">
        <v>0</v>
      </c>
      <c r="AJ145" s="891">
        <v>0</v>
      </c>
      <c r="AK145" s="878">
        <v>0</v>
      </c>
      <c r="AL145" s="909">
        <v>0</v>
      </c>
      <c r="AM145" s="891">
        <v>0</v>
      </c>
      <c r="AN145" s="878">
        <v>40000</v>
      </c>
      <c r="AO145" s="909">
        <v>0.1075</v>
      </c>
      <c r="AP145" s="891">
        <v>129000</v>
      </c>
      <c r="AQ145" s="878">
        <v>40000</v>
      </c>
      <c r="AR145" s="909">
        <v>0.1075</v>
      </c>
      <c r="AS145" s="891">
        <v>133300</v>
      </c>
      <c r="AT145" s="891"/>
      <c r="AV145" s="823">
        <v>262300</v>
      </c>
      <c r="AW145" s="910"/>
      <c r="AY145" s="910"/>
      <c r="BB145" s="910"/>
    </row>
    <row r="146" spans="1:55" s="11" customFormat="1" hidden="1" x14ac:dyDescent="0.2">
      <c r="A146" s="617"/>
      <c r="D146" s="529"/>
      <c r="E146" s="529"/>
      <c r="F146" s="912"/>
      <c r="G146" s="911"/>
      <c r="H146" s="911"/>
      <c r="I146" s="911"/>
      <c r="J146" s="878"/>
      <c r="K146" s="911"/>
      <c r="L146" s="891"/>
      <c r="M146" s="878"/>
      <c r="N146" s="911"/>
      <c r="O146" s="891"/>
      <c r="P146" s="878"/>
      <c r="Q146" s="911"/>
      <c r="R146" s="891"/>
      <c r="S146" s="878"/>
      <c r="T146" s="911"/>
      <c r="U146" s="891"/>
      <c r="V146" s="878"/>
      <c r="W146" s="911"/>
      <c r="X146" s="891"/>
      <c r="Y146" s="878"/>
      <c r="Z146" s="911"/>
      <c r="AA146" s="891"/>
      <c r="AB146" s="878"/>
      <c r="AC146" s="911"/>
      <c r="AD146" s="891"/>
      <c r="AE146" s="878"/>
      <c r="AF146" s="911"/>
      <c r="AG146" s="891"/>
      <c r="AH146" s="878"/>
      <c r="AI146" s="911"/>
      <c r="AJ146" s="891"/>
      <c r="AK146" s="878"/>
      <c r="AL146" s="911"/>
      <c r="AM146" s="891"/>
      <c r="AN146" s="878"/>
      <c r="AO146" s="911"/>
      <c r="AP146" s="891"/>
      <c r="AQ146" s="878"/>
      <c r="AR146" s="911"/>
      <c r="AS146" s="891"/>
      <c r="AT146" s="891"/>
      <c r="AW146" s="417"/>
      <c r="AY146" s="417"/>
      <c r="BB146" s="417"/>
    </row>
    <row r="147" spans="1:55" s="432" customFormat="1" hidden="1" x14ac:dyDescent="0.2">
      <c r="A147" s="759"/>
      <c r="D147" s="52"/>
      <c r="E147" s="52"/>
      <c r="F147" s="454"/>
      <c r="G147" s="916"/>
      <c r="H147" s="916"/>
      <c r="I147" s="916"/>
      <c r="J147" s="774"/>
      <c r="K147" s="916"/>
      <c r="L147" s="915"/>
      <c r="M147" s="774"/>
      <c r="N147" s="916"/>
      <c r="O147" s="915"/>
      <c r="P147" s="774"/>
      <c r="Q147" s="916"/>
      <c r="R147" s="915"/>
      <c r="S147" s="774"/>
      <c r="T147" s="916"/>
      <c r="U147" s="915"/>
      <c r="V147" s="774"/>
      <c r="W147" s="916"/>
      <c r="X147" s="915"/>
      <c r="Y147" s="774"/>
      <c r="Z147" s="916"/>
      <c r="AA147" s="915"/>
      <c r="AB147" s="774"/>
      <c r="AC147" s="916"/>
      <c r="AD147" s="915"/>
      <c r="AE147" s="774"/>
      <c r="AF147" s="916"/>
      <c r="AG147" s="915"/>
      <c r="AH147" s="774"/>
      <c r="AI147" s="916"/>
      <c r="AJ147" s="915"/>
      <c r="AK147" s="774"/>
      <c r="AL147" s="916"/>
      <c r="AM147" s="915"/>
      <c r="AN147" s="774"/>
      <c r="AO147" s="916"/>
      <c r="AP147" s="915"/>
      <c r="AQ147" s="774"/>
      <c r="AR147" s="916"/>
      <c r="AS147" s="915"/>
      <c r="AT147" s="915"/>
      <c r="AW147" s="917"/>
      <c r="AY147" s="917"/>
      <c r="BB147" s="917"/>
    </row>
    <row r="148" spans="1:55" s="432" customFormat="1" hidden="1" x14ac:dyDescent="0.2">
      <c r="A148" s="759"/>
      <c r="D148" s="52"/>
      <c r="E148" s="52"/>
      <c r="F148" s="454"/>
      <c r="G148" s="916"/>
      <c r="H148" s="916"/>
      <c r="I148" s="916"/>
      <c r="J148" s="774"/>
      <c r="K148" s="916"/>
      <c r="L148" s="915"/>
      <c r="M148" s="774"/>
      <c r="N148" s="916"/>
      <c r="O148" s="915"/>
      <c r="P148" s="774"/>
      <c r="Q148" s="916"/>
      <c r="R148" s="915"/>
      <c r="S148" s="774"/>
      <c r="T148" s="916"/>
      <c r="U148" s="915"/>
      <c r="V148" s="774"/>
      <c r="W148" s="916"/>
      <c r="X148" s="915"/>
      <c r="Y148" s="774"/>
      <c r="Z148" s="916"/>
      <c r="AA148" s="915"/>
      <c r="AB148" s="774"/>
      <c r="AC148" s="916"/>
      <c r="AD148" s="915"/>
      <c r="AE148" s="774"/>
      <c r="AF148" s="916"/>
      <c r="AG148" s="915"/>
      <c r="AH148" s="774"/>
      <c r="AI148" s="916"/>
      <c r="AJ148" s="915"/>
      <c r="AK148" s="774"/>
      <c r="AL148" s="916"/>
      <c r="AM148" s="915"/>
      <c r="AN148" s="774"/>
      <c r="AO148" s="916"/>
      <c r="AP148" s="915"/>
      <c r="AQ148" s="774"/>
      <c r="AR148" s="916"/>
      <c r="AS148" s="915"/>
      <c r="AT148" s="915"/>
      <c r="AW148" s="917"/>
      <c r="AY148" s="917"/>
      <c r="BB148" s="917"/>
    </row>
    <row r="149" spans="1:55" s="11" customFormat="1" hidden="1" x14ac:dyDescent="0.2">
      <c r="A149" s="758" t="s">
        <v>648</v>
      </c>
      <c r="D149" s="529"/>
      <c r="E149" s="529"/>
      <c r="F149" s="912"/>
      <c r="G149" s="911"/>
      <c r="H149" s="911"/>
      <c r="I149" s="911"/>
      <c r="J149" s="878"/>
      <c r="K149" s="911"/>
      <c r="L149" s="891"/>
      <c r="M149" s="878"/>
      <c r="N149" s="911"/>
      <c r="O149" s="891"/>
      <c r="P149" s="878"/>
      <c r="Q149" s="911"/>
      <c r="R149" s="891"/>
      <c r="S149" s="878"/>
      <c r="T149" s="911"/>
      <c r="U149" s="891"/>
      <c r="V149" s="878"/>
      <c r="W149" s="911"/>
      <c r="X149" s="891"/>
      <c r="Y149" s="878"/>
      <c r="Z149" s="911"/>
      <c r="AA149" s="891"/>
      <c r="AB149" s="878"/>
      <c r="AC149" s="911"/>
      <c r="AD149" s="891"/>
      <c r="AE149" s="878"/>
      <c r="AF149" s="911"/>
      <c r="AG149" s="891"/>
      <c r="AH149" s="878"/>
      <c r="AI149" s="911"/>
      <c r="AJ149" s="891"/>
      <c r="AK149" s="878"/>
      <c r="AL149" s="911"/>
      <c r="AM149" s="891"/>
      <c r="AN149" s="878"/>
      <c r="AO149" s="911"/>
      <c r="AP149" s="891"/>
      <c r="AQ149" s="878"/>
      <c r="AR149" s="911"/>
      <c r="AS149" s="891"/>
      <c r="AT149" s="891"/>
      <c r="AW149" s="417"/>
      <c r="AY149" s="417"/>
      <c r="BB149" s="417"/>
    </row>
    <row r="150" spans="1:55" s="11" customFormat="1" hidden="1" x14ac:dyDescent="0.2">
      <c r="A150" s="617">
        <v>20747</v>
      </c>
      <c r="B150" s="11" t="s">
        <v>649</v>
      </c>
      <c r="C150" s="11">
        <v>2002</v>
      </c>
      <c r="D150" s="529"/>
      <c r="E150" s="913">
        <v>37315</v>
      </c>
      <c r="F150" s="912">
        <v>10000</v>
      </c>
      <c r="G150" s="911">
        <f t="shared" ref="G150:G155" si="272">0.2659-0.2606</f>
        <v>5.3000000000000269E-3</v>
      </c>
      <c r="H150" s="1117" t="s">
        <v>647</v>
      </c>
      <c r="I150" s="1117"/>
      <c r="J150" s="885">
        <v>0</v>
      </c>
      <c r="K150" s="909">
        <v>0</v>
      </c>
      <c r="L150" s="891">
        <v>1643</v>
      </c>
      <c r="M150" s="885">
        <v>0</v>
      </c>
      <c r="N150" s="909">
        <v>0</v>
      </c>
      <c r="O150" s="891">
        <v>1484</v>
      </c>
      <c r="P150" s="885">
        <v>0</v>
      </c>
      <c r="Q150" s="909">
        <v>0</v>
      </c>
      <c r="R150" s="891">
        <v>0</v>
      </c>
      <c r="S150" s="885">
        <v>0</v>
      </c>
      <c r="T150" s="909">
        <v>0</v>
      </c>
      <c r="U150" s="891">
        <v>0</v>
      </c>
      <c r="V150" s="885">
        <v>0</v>
      </c>
      <c r="W150" s="909">
        <v>0</v>
      </c>
      <c r="X150" s="891">
        <v>0</v>
      </c>
      <c r="Y150" s="885">
        <v>0</v>
      </c>
      <c r="Z150" s="909">
        <v>0</v>
      </c>
      <c r="AA150" s="891">
        <v>0</v>
      </c>
      <c r="AB150" s="885">
        <v>0</v>
      </c>
      <c r="AC150" s="909">
        <v>0</v>
      </c>
      <c r="AD150" s="891">
        <v>0</v>
      </c>
      <c r="AE150" s="885">
        <v>0</v>
      </c>
      <c r="AF150" s="909">
        <v>0</v>
      </c>
      <c r="AG150" s="891">
        <v>0</v>
      </c>
      <c r="AH150" s="885">
        <v>0</v>
      </c>
      <c r="AI150" s="909">
        <v>0</v>
      </c>
      <c r="AJ150" s="891">
        <v>0</v>
      </c>
      <c r="AK150" s="885">
        <v>0</v>
      </c>
      <c r="AL150" s="909">
        <v>0</v>
      </c>
      <c r="AM150" s="891">
        <v>0</v>
      </c>
      <c r="AN150" s="885">
        <v>0</v>
      </c>
      <c r="AO150" s="909">
        <v>0</v>
      </c>
      <c r="AP150" s="891">
        <v>0</v>
      </c>
      <c r="AQ150" s="885">
        <v>0</v>
      </c>
      <c r="AR150" s="909">
        <v>0</v>
      </c>
      <c r="AS150" s="891">
        <v>0</v>
      </c>
      <c r="AT150" s="891"/>
      <c r="AV150" s="823">
        <v>3127</v>
      </c>
      <c r="AW150" s="910"/>
      <c r="AY150" s="910"/>
      <c r="BB150" s="910"/>
    </row>
    <row r="151" spans="1:55" s="11" customFormat="1" hidden="1" x14ac:dyDescent="0.2">
      <c r="A151" s="617">
        <v>20748</v>
      </c>
      <c r="B151" s="11" t="s">
        <v>649</v>
      </c>
      <c r="C151" s="11">
        <v>2002</v>
      </c>
      <c r="D151" s="529"/>
      <c r="E151" s="913">
        <v>37315</v>
      </c>
      <c r="F151" s="912">
        <v>10000</v>
      </c>
      <c r="G151" s="911">
        <f t="shared" si="272"/>
        <v>5.3000000000000269E-3</v>
      </c>
      <c r="H151" s="1117" t="s">
        <v>647</v>
      </c>
      <c r="I151" s="1117"/>
      <c r="J151" s="885">
        <v>0</v>
      </c>
      <c r="K151" s="909">
        <v>0</v>
      </c>
      <c r="L151" s="891">
        <v>1643</v>
      </c>
      <c r="M151" s="885">
        <v>0</v>
      </c>
      <c r="N151" s="909">
        <v>0</v>
      </c>
      <c r="O151" s="891">
        <v>1484</v>
      </c>
      <c r="P151" s="885">
        <v>0</v>
      </c>
      <c r="Q151" s="909">
        <v>0</v>
      </c>
      <c r="R151" s="891">
        <v>1643</v>
      </c>
      <c r="S151" s="885">
        <v>0</v>
      </c>
      <c r="T151" s="909">
        <v>0</v>
      </c>
      <c r="U151" s="891">
        <v>1590</v>
      </c>
      <c r="V151" s="885">
        <v>0</v>
      </c>
      <c r="W151" s="909">
        <v>0</v>
      </c>
      <c r="X151" s="891">
        <v>1643</v>
      </c>
      <c r="Y151" s="885">
        <v>0</v>
      </c>
      <c r="Z151" s="909">
        <v>0</v>
      </c>
      <c r="AA151" s="891">
        <v>1590</v>
      </c>
      <c r="AB151" s="885">
        <v>0</v>
      </c>
      <c r="AC151" s="909">
        <v>0</v>
      </c>
      <c r="AD151" s="891">
        <v>1643</v>
      </c>
      <c r="AE151" s="885">
        <v>0</v>
      </c>
      <c r="AF151" s="909">
        <v>0</v>
      </c>
      <c r="AG151" s="891">
        <v>1643</v>
      </c>
      <c r="AH151" s="885">
        <v>0</v>
      </c>
      <c r="AI151" s="909">
        <v>0</v>
      </c>
      <c r="AJ151" s="891">
        <v>1590</v>
      </c>
      <c r="AK151" s="885">
        <v>0</v>
      </c>
      <c r="AL151" s="909">
        <v>0</v>
      </c>
      <c r="AM151" s="891">
        <v>1643</v>
      </c>
      <c r="AN151" s="885">
        <v>0</v>
      </c>
      <c r="AO151" s="909">
        <v>0</v>
      </c>
      <c r="AP151" s="891">
        <v>3210</v>
      </c>
      <c r="AQ151" s="885">
        <v>0</v>
      </c>
      <c r="AR151" s="909">
        <v>0</v>
      </c>
      <c r="AS151" s="891">
        <v>3317</v>
      </c>
      <c r="AT151" s="891"/>
      <c r="AV151" s="823">
        <v>22639</v>
      </c>
      <c r="AW151" s="910"/>
      <c r="AY151" s="910"/>
      <c r="BB151" s="910"/>
    </row>
    <row r="152" spans="1:55" s="11" customFormat="1" hidden="1" x14ac:dyDescent="0.2">
      <c r="A152" s="617">
        <v>21165</v>
      </c>
      <c r="B152" s="11" t="s">
        <v>286</v>
      </c>
      <c r="C152" s="11">
        <v>2002</v>
      </c>
      <c r="D152" s="529"/>
      <c r="E152" s="913">
        <v>39172</v>
      </c>
      <c r="F152" s="912">
        <v>150000</v>
      </c>
      <c r="G152" s="911">
        <f t="shared" si="272"/>
        <v>5.3000000000000269E-3</v>
      </c>
      <c r="H152" s="1117" t="s">
        <v>647</v>
      </c>
      <c r="I152" s="1117"/>
      <c r="J152" s="885">
        <v>0</v>
      </c>
      <c r="K152" s="909">
        <v>0</v>
      </c>
      <c r="L152" s="891">
        <v>24645</v>
      </c>
      <c r="M152" s="885">
        <v>0</v>
      </c>
      <c r="N152" s="909">
        <v>0</v>
      </c>
      <c r="O152" s="891">
        <v>22260</v>
      </c>
      <c r="P152" s="885">
        <v>0</v>
      </c>
      <c r="Q152" s="909">
        <v>0</v>
      </c>
      <c r="R152" s="891">
        <v>24645</v>
      </c>
      <c r="S152" s="885">
        <v>0</v>
      </c>
      <c r="T152" s="909">
        <v>0</v>
      </c>
      <c r="U152" s="891">
        <v>23850</v>
      </c>
      <c r="V152" s="885">
        <v>0</v>
      </c>
      <c r="W152" s="909">
        <v>0</v>
      </c>
      <c r="X152" s="891">
        <v>24645</v>
      </c>
      <c r="Y152" s="885">
        <v>0</v>
      </c>
      <c r="Z152" s="909">
        <v>0</v>
      </c>
      <c r="AA152" s="891">
        <v>23850</v>
      </c>
      <c r="AB152" s="885">
        <v>0</v>
      </c>
      <c r="AC152" s="909">
        <v>0</v>
      </c>
      <c r="AD152" s="891">
        <v>24645</v>
      </c>
      <c r="AE152" s="885">
        <v>0</v>
      </c>
      <c r="AF152" s="909">
        <v>0</v>
      </c>
      <c r="AG152" s="891">
        <v>24645</v>
      </c>
      <c r="AH152" s="885">
        <v>0</v>
      </c>
      <c r="AI152" s="909">
        <v>0</v>
      </c>
      <c r="AJ152" s="891">
        <v>23850</v>
      </c>
      <c r="AK152" s="885">
        <v>0</v>
      </c>
      <c r="AL152" s="909">
        <v>0</v>
      </c>
      <c r="AM152" s="891">
        <v>24645</v>
      </c>
      <c r="AN152" s="885">
        <v>0</v>
      </c>
      <c r="AO152" s="909">
        <v>0</v>
      </c>
      <c r="AP152" s="891">
        <v>48150</v>
      </c>
      <c r="AQ152" s="885">
        <v>0</v>
      </c>
      <c r="AR152" s="909">
        <v>0</v>
      </c>
      <c r="AS152" s="891">
        <v>49755</v>
      </c>
      <c r="AT152" s="891"/>
      <c r="AV152" s="823">
        <v>339585</v>
      </c>
      <c r="AW152" s="910"/>
      <c r="AY152" s="910"/>
      <c r="BB152" s="910"/>
    </row>
    <row r="153" spans="1:55" s="11" customFormat="1" hidden="1" x14ac:dyDescent="0.2">
      <c r="A153" s="617">
        <v>26678</v>
      </c>
      <c r="B153" s="11" t="s">
        <v>650</v>
      </c>
      <c r="C153" s="11">
        <v>2002</v>
      </c>
      <c r="D153" s="529"/>
      <c r="E153" s="913">
        <v>39172</v>
      </c>
      <c r="F153" s="912">
        <v>25000</v>
      </c>
      <c r="G153" s="911">
        <f t="shared" si="272"/>
        <v>5.3000000000000269E-3</v>
      </c>
      <c r="H153" s="1117" t="s">
        <v>647</v>
      </c>
      <c r="I153" s="1117"/>
      <c r="J153" s="885">
        <v>0</v>
      </c>
      <c r="K153" s="909">
        <v>0</v>
      </c>
      <c r="L153" s="891">
        <v>4108</v>
      </c>
      <c r="M153" s="885">
        <v>0</v>
      </c>
      <c r="N153" s="909">
        <v>0</v>
      </c>
      <c r="O153" s="891">
        <v>3710</v>
      </c>
      <c r="P153" s="885">
        <v>0</v>
      </c>
      <c r="Q153" s="909">
        <v>0</v>
      </c>
      <c r="R153" s="891">
        <v>4108</v>
      </c>
      <c r="S153" s="885">
        <v>0</v>
      </c>
      <c r="T153" s="909">
        <v>0</v>
      </c>
      <c r="U153" s="891">
        <v>3975</v>
      </c>
      <c r="V153" s="885">
        <v>0</v>
      </c>
      <c r="W153" s="909">
        <v>0</v>
      </c>
      <c r="X153" s="891">
        <v>4108</v>
      </c>
      <c r="Y153" s="885">
        <v>0</v>
      </c>
      <c r="Z153" s="909">
        <v>0</v>
      </c>
      <c r="AA153" s="891">
        <v>3975</v>
      </c>
      <c r="AB153" s="885">
        <v>0</v>
      </c>
      <c r="AC153" s="909">
        <v>0</v>
      </c>
      <c r="AD153" s="891">
        <v>4108</v>
      </c>
      <c r="AE153" s="885">
        <v>0</v>
      </c>
      <c r="AF153" s="909">
        <v>0</v>
      </c>
      <c r="AG153" s="891">
        <v>4108</v>
      </c>
      <c r="AH153" s="885">
        <v>0</v>
      </c>
      <c r="AI153" s="909">
        <v>0</v>
      </c>
      <c r="AJ153" s="891">
        <v>3975</v>
      </c>
      <c r="AK153" s="885">
        <v>0</v>
      </c>
      <c r="AL153" s="909">
        <v>0</v>
      </c>
      <c r="AM153" s="891">
        <v>4108</v>
      </c>
      <c r="AN153" s="885">
        <v>0</v>
      </c>
      <c r="AO153" s="909">
        <v>0</v>
      </c>
      <c r="AP153" s="891">
        <v>8025</v>
      </c>
      <c r="AQ153" s="885">
        <v>0</v>
      </c>
      <c r="AR153" s="909">
        <v>0</v>
      </c>
      <c r="AS153" s="891">
        <v>8292</v>
      </c>
      <c r="AT153" s="891"/>
      <c r="AV153" s="823">
        <v>56600</v>
      </c>
      <c r="AW153" s="910"/>
      <c r="AY153" s="910"/>
      <c r="BB153" s="910"/>
    </row>
    <row r="154" spans="1:55" s="11" customFormat="1" hidden="1" x14ac:dyDescent="0.2">
      <c r="A154" s="617">
        <v>26372</v>
      </c>
      <c r="B154" s="11" t="s">
        <v>499</v>
      </c>
      <c r="C154" s="11">
        <v>2002</v>
      </c>
      <c r="D154" s="529"/>
      <c r="E154" s="913">
        <v>39172</v>
      </c>
      <c r="F154" s="912">
        <v>25000</v>
      </c>
      <c r="G154" s="911">
        <f t="shared" si="272"/>
        <v>5.3000000000000269E-3</v>
      </c>
      <c r="H154" s="1117" t="s">
        <v>647</v>
      </c>
      <c r="I154" s="1117"/>
      <c r="J154" s="885">
        <v>0</v>
      </c>
      <c r="K154" s="909">
        <v>0</v>
      </c>
      <c r="L154" s="891">
        <v>4108</v>
      </c>
      <c r="M154" s="885">
        <v>0</v>
      </c>
      <c r="N154" s="909">
        <v>0</v>
      </c>
      <c r="O154" s="891">
        <v>3710</v>
      </c>
      <c r="P154" s="885">
        <v>0</v>
      </c>
      <c r="Q154" s="909">
        <v>0</v>
      </c>
      <c r="R154" s="891">
        <v>4108</v>
      </c>
      <c r="S154" s="885">
        <v>0</v>
      </c>
      <c r="T154" s="909">
        <v>0</v>
      </c>
      <c r="U154" s="891">
        <v>3975</v>
      </c>
      <c r="V154" s="885">
        <v>0</v>
      </c>
      <c r="W154" s="909">
        <v>0</v>
      </c>
      <c r="X154" s="891">
        <v>4108</v>
      </c>
      <c r="Y154" s="885">
        <v>0</v>
      </c>
      <c r="Z154" s="909">
        <v>0</v>
      </c>
      <c r="AA154" s="891">
        <v>3975</v>
      </c>
      <c r="AB154" s="885">
        <v>0</v>
      </c>
      <c r="AC154" s="909">
        <v>0</v>
      </c>
      <c r="AD154" s="891">
        <v>4108</v>
      </c>
      <c r="AE154" s="885">
        <v>0</v>
      </c>
      <c r="AF154" s="909">
        <v>0</v>
      </c>
      <c r="AG154" s="891">
        <v>4108</v>
      </c>
      <c r="AH154" s="885">
        <v>0</v>
      </c>
      <c r="AI154" s="909">
        <v>0</v>
      </c>
      <c r="AJ154" s="891">
        <v>3975</v>
      </c>
      <c r="AK154" s="885">
        <v>0</v>
      </c>
      <c r="AL154" s="909">
        <v>0</v>
      </c>
      <c r="AM154" s="891">
        <v>4108</v>
      </c>
      <c r="AN154" s="885">
        <v>0</v>
      </c>
      <c r="AO154" s="909">
        <v>0</v>
      </c>
      <c r="AP154" s="891">
        <v>8025</v>
      </c>
      <c r="AQ154" s="885">
        <v>0</v>
      </c>
      <c r="AR154" s="909">
        <v>0</v>
      </c>
      <c r="AS154" s="891">
        <v>8292</v>
      </c>
      <c r="AT154" s="891"/>
      <c r="AV154" s="823">
        <v>56600</v>
      </c>
      <c r="AW154" s="910"/>
      <c r="AY154" s="910"/>
      <c r="BB154" s="910"/>
    </row>
    <row r="155" spans="1:55" s="11" customFormat="1" hidden="1" x14ac:dyDescent="0.2">
      <c r="A155" s="617">
        <v>25924</v>
      </c>
      <c r="B155" s="11" t="s">
        <v>651</v>
      </c>
      <c r="C155" s="11">
        <v>2002</v>
      </c>
      <c r="D155" s="529"/>
      <c r="E155" s="913">
        <v>38837</v>
      </c>
      <c r="F155" s="912">
        <v>20000</v>
      </c>
      <c r="G155" s="911">
        <f t="shared" si="272"/>
        <v>5.3000000000000269E-3</v>
      </c>
      <c r="H155" s="1117" t="s">
        <v>647</v>
      </c>
      <c r="I155" s="1117"/>
      <c r="J155" s="885">
        <v>0</v>
      </c>
      <c r="K155" s="909">
        <v>0</v>
      </c>
      <c r="L155" s="891">
        <v>3286</v>
      </c>
      <c r="M155" s="885">
        <v>0</v>
      </c>
      <c r="N155" s="909">
        <v>0</v>
      </c>
      <c r="O155" s="891">
        <v>2968</v>
      </c>
      <c r="P155" s="885">
        <v>0</v>
      </c>
      <c r="Q155" s="909">
        <v>0</v>
      </c>
      <c r="R155" s="891">
        <v>3286</v>
      </c>
      <c r="S155" s="885">
        <v>0</v>
      </c>
      <c r="T155" s="909">
        <v>0</v>
      </c>
      <c r="U155" s="891">
        <v>3180</v>
      </c>
      <c r="V155" s="885">
        <v>0</v>
      </c>
      <c r="W155" s="909">
        <v>0</v>
      </c>
      <c r="X155" s="891">
        <v>3286</v>
      </c>
      <c r="Y155" s="885">
        <v>0</v>
      </c>
      <c r="Z155" s="909">
        <v>0</v>
      </c>
      <c r="AA155" s="891">
        <v>3180</v>
      </c>
      <c r="AB155" s="885">
        <v>0</v>
      </c>
      <c r="AC155" s="909">
        <v>0</v>
      </c>
      <c r="AD155" s="891">
        <v>3286</v>
      </c>
      <c r="AE155" s="885">
        <v>0</v>
      </c>
      <c r="AF155" s="909">
        <v>0</v>
      </c>
      <c r="AG155" s="891">
        <v>3286</v>
      </c>
      <c r="AH155" s="885">
        <v>0</v>
      </c>
      <c r="AI155" s="909">
        <v>0</v>
      </c>
      <c r="AJ155" s="891">
        <v>3180</v>
      </c>
      <c r="AK155" s="885">
        <v>0</v>
      </c>
      <c r="AL155" s="909">
        <v>0</v>
      </c>
      <c r="AM155" s="891">
        <v>3286</v>
      </c>
      <c r="AN155" s="885">
        <v>0</v>
      </c>
      <c r="AO155" s="909">
        <v>0</v>
      </c>
      <c r="AP155" s="891">
        <v>6420</v>
      </c>
      <c r="AQ155" s="885">
        <v>0</v>
      </c>
      <c r="AR155" s="909">
        <v>0</v>
      </c>
      <c r="AS155" s="891">
        <v>6634</v>
      </c>
      <c r="AT155" s="891"/>
      <c r="AV155" s="823">
        <v>45278</v>
      </c>
      <c r="AW155" s="910"/>
      <c r="AY155" s="910"/>
      <c r="BB155" s="910"/>
    </row>
    <row r="156" spans="1:55" s="11" customFormat="1" hidden="1" x14ac:dyDescent="0.2">
      <c r="A156" s="617">
        <v>20822</v>
      </c>
      <c r="B156" s="11" t="s">
        <v>652</v>
      </c>
      <c r="C156" s="11">
        <v>2002</v>
      </c>
      <c r="D156" s="529"/>
      <c r="E156" s="913">
        <v>39141</v>
      </c>
      <c r="F156" s="912">
        <v>25000</v>
      </c>
      <c r="G156" s="911">
        <f>0.1715-0.1681</f>
        <v>3.4000000000000141E-3</v>
      </c>
      <c r="H156" s="1117" t="s">
        <v>647</v>
      </c>
      <c r="I156" s="1117"/>
      <c r="J156" s="885">
        <v>0</v>
      </c>
      <c r="K156" s="909">
        <v>0</v>
      </c>
      <c r="L156" s="891">
        <v>2635</v>
      </c>
      <c r="M156" s="885">
        <v>0</v>
      </c>
      <c r="N156" s="909">
        <v>0</v>
      </c>
      <c r="O156" s="891">
        <v>2380</v>
      </c>
      <c r="P156" s="885">
        <v>0</v>
      </c>
      <c r="Q156" s="909">
        <v>0</v>
      </c>
      <c r="R156" s="891">
        <v>2635</v>
      </c>
      <c r="S156" s="885">
        <v>0</v>
      </c>
      <c r="T156" s="909">
        <v>0</v>
      </c>
      <c r="U156" s="891">
        <v>2550</v>
      </c>
      <c r="V156" s="885">
        <v>0</v>
      </c>
      <c r="W156" s="909">
        <v>0</v>
      </c>
      <c r="X156" s="891">
        <v>2635</v>
      </c>
      <c r="Y156" s="885">
        <v>0</v>
      </c>
      <c r="Z156" s="909">
        <v>0</v>
      </c>
      <c r="AA156" s="891">
        <v>2550</v>
      </c>
      <c r="AB156" s="885">
        <v>0</v>
      </c>
      <c r="AC156" s="909">
        <v>0</v>
      </c>
      <c r="AD156" s="891">
        <v>2635</v>
      </c>
      <c r="AE156" s="885">
        <v>0</v>
      </c>
      <c r="AF156" s="909">
        <v>0</v>
      </c>
      <c r="AG156" s="891">
        <v>2635</v>
      </c>
      <c r="AH156" s="885">
        <v>0</v>
      </c>
      <c r="AI156" s="909">
        <v>0</v>
      </c>
      <c r="AJ156" s="891">
        <v>2550</v>
      </c>
      <c r="AK156" s="885">
        <v>0</v>
      </c>
      <c r="AL156" s="909">
        <v>0</v>
      </c>
      <c r="AM156" s="891">
        <v>2635</v>
      </c>
      <c r="AN156" s="885">
        <v>0</v>
      </c>
      <c r="AO156" s="909">
        <v>0</v>
      </c>
      <c r="AP156" s="891">
        <v>8025</v>
      </c>
      <c r="AQ156" s="885">
        <v>0</v>
      </c>
      <c r="AR156" s="909">
        <v>0</v>
      </c>
      <c r="AS156" s="891">
        <v>8292</v>
      </c>
      <c r="AT156" s="891"/>
      <c r="AV156" s="823">
        <v>42157</v>
      </c>
      <c r="AW156" s="910"/>
      <c r="AY156" s="910"/>
      <c r="BB156" s="910"/>
    </row>
    <row r="157" spans="1:55" s="11" customFormat="1" hidden="1" x14ac:dyDescent="0.2">
      <c r="A157" s="175"/>
      <c r="B157" s="175"/>
      <c r="D157" s="181"/>
      <c r="E157" s="181"/>
      <c r="F157" s="840"/>
      <c r="G157" s="911"/>
      <c r="H157" s="909"/>
      <c r="I157" s="909"/>
      <c r="J157" s="885"/>
      <c r="K157" s="909"/>
      <c r="L157" s="891"/>
      <c r="M157" s="885"/>
      <c r="N157" s="909"/>
      <c r="O157" s="891"/>
      <c r="P157" s="885"/>
      <c r="Q157" s="909"/>
      <c r="R157" s="891"/>
      <c r="S157" s="885"/>
      <c r="T157" s="909"/>
      <c r="U157" s="891"/>
      <c r="V157" s="885"/>
      <c r="W157" s="909"/>
      <c r="X157" s="891"/>
      <c r="Y157" s="885"/>
      <c r="Z157" s="909"/>
      <c r="AA157" s="891"/>
      <c r="AB157" s="885"/>
      <c r="AC157" s="909"/>
      <c r="AD157" s="891"/>
      <c r="AE157" s="885"/>
      <c r="AF157" s="909"/>
      <c r="AG157" s="891"/>
      <c r="AH157" s="885"/>
      <c r="AI157" s="909"/>
      <c r="AJ157" s="891"/>
      <c r="AK157" s="885"/>
      <c r="AL157" s="909"/>
      <c r="AM157" s="891"/>
      <c r="AN157" s="885"/>
      <c r="AO157" s="909"/>
      <c r="AP157" s="891"/>
      <c r="AQ157" s="885"/>
      <c r="AR157" s="909"/>
      <c r="AS157" s="891"/>
      <c r="AT157" s="891"/>
      <c r="AV157" s="823"/>
      <c r="AW157" s="910"/>
      <c r="AX157" s="823">
        <f>SUM(AV150:AV156)+AV143+SUM(AV122:AV128)</f>
        <v>1836683</v>
      </c>
      <c r="AY157" s="910"/>
      <c r="BB157" s="910"/>
    </row>
    <row r="158" spans="1:55" hidden="1" x14ac:dyDescent="0.2">
      <c r="A158" s="172"/>
      <c r="B158" s="172"/>
      <c r="D158" s="185"/>
      <c r="E158" s="185"/>
      <c r="F158" s="840"/>
      <c r="H158" s="884"/>
      <c r="I158" s="884"/>
      <c r="J158" s="885"/>
      <c r="K158" s="884"/>
      <c r="L158" s="879"/>
      <c r="M158" s="885"/>
      <c r="N158" s="884"/>
      <c r="O158" s="879"/>
      <c r="P158" s="885"/>
      <c r="Q158" s="884"/>
      <c r="R158" s="879"/>
      <c r="S158" s="885"/>
      <c r="T158" s="884"/>
      <c r="U158" s="879"/>
      <c r="V158" s="885"/>
      <c r="W158" s="884"/>
      <c r="X158" s="879"/>
      <c r="Y158" s="885"/>
      <c r="Z158" s="884"/>
      <c r="AA158" s="879"/>
      <c r="AB158" s="885"/>
      <c r="AC158" s="884"/>
      <c r="AD158" s="879"/>
      <c r="AE158" s="885"/>
      <c r="AF158" s="884"/>
      <c r="AG158" s="879"/>
      <c r="AH158" s="885"/>
      <c r="AI158" s="884"/>
      <c r="AJ158" s="879"/>
      <c r="AK158" s="885"/>
      <c r="AL158" s="884"/>
      <c r="AM158" s="879"/>
      <c r="AN158" s="885"/>
      <c r="AO158" s="884"/>
      <c r="AP158" s="879"/>
      <c r="AQ158" s="885"/>
      <c r="AR158" s="884"/>
      <c r="AS158" s="879"/>
      <c r="AT158" s="879"/>
      <c r="AV158" s="33"/>
      <c r="AW158" s="886"/>
      <c r="AX158" s="33"/>
      <c r="AY158" s="886"/>
      <c r="BB158" s="886"/>
    </row>
    <row r="159" spans="1:55" hidden="1" x14ac:dyDescent="0.2">
      <c r="A159" s="172"/>
      <c r="B159" s="172"/>
      <c r="D159" s="185"/>
      <c r="E159" s="185"/>
      <c r="F159" s="840"/>
      <c r="H159" s="884"/>
      <c r="I159" s="884"/>
      <c r="J159" s="885"/>
      <c r="K159" s="884"/>
      <c r="L159" s="879"/>
      <c r="M159" s="885"/>
      <c r="N159" s="884"/>
      <c r="O159" s="879"/>
      <c r="P159" s="885"/>
      <c r="Q159" s="884"/>
      <c r="R159" s="879"/>
      <c r="S159" s="885"/>
      <c r="T159" s="884"/>
      <c r="U159" s="879"/>
      <c r="V159" s="885"/>
      <c r="W159" s="884"/>
      <c r="X159" s="879"/>
      <c r="Y159" s="885"/>
      <c r="Z159" s="884"/>
      <c r="AA159" s="879"/>
      <c r="AB159" s="885"/>
      <c r="AC159" s="884"/>
      <c r="AD159" s="879"/>
      <c r="AE159" s="885"/>
      <c r="AF159" s="884"/>
      <c r="AG159" s="879"/>
      <c r="AH159" s="885"/>
      <c r="AI159" s="884"/>
      <c r="AJ159" s="879"/>
      <c r="AK159" s="885"/>
      <c r="AL159" s="884"/>
      <c r="AM159" s="879"/>
      <c r="AN159" s="885"/>
      <c r="AO159" s="884"/>
      <c r="AP159" s="879"/>
      <c r="AQ159" s="885"/>
      <c r="AR159" s="884"/>
      <c r="AS159" s="879"/>
      <c r="AT159" s="879"/>
      <c r="AV159" s="33"/>
      <c r="AW159" s="886"/>
      <c r="AX159" s="33"/>
      <c r="AY159" s="886"/>
      <c r="BB159" s="886"/>
    </row>
    <row r="160" spans="1:55" hidden="1" x14ac:dyDescent="0.2">
      <c r="A160" s="172"/>
      <c r="B160" s="172"/>
      <c r="D160" s="185"/>
      <c r="E160" s="185"/>
      <c r="F160" s="840"/>
      <c r="H160" s="884"/>
      <c r="I160" s="884"/>
      <c r="J160" s="918">
        <v>0</v>
      </c>
      <c r="K160" s="884">
        <f>IF(J160&gt;0,L160/J160/L$7,0)</f>
        <v>0</v>
      </c>
      <c r="L160" s="919">
        <v>0</v>
      </c>
      <c r="M160" s="918">
        <v>0</v>
      </c>
      <c r="N160" s="884">
        <f>IF(M160&gt;0,O160/M160/O$7,0)</f>
        <v>0</v>
      </c>
      <c r="O160" s="919">
        <v>0</v>
      </c>
      <c r="P160" s="918">
        <v>0</v>
      </c>
      <c r="Q160" s="884">
        <f>IF(P160&gt;0,R160/P160/R$7,0)</f>
        <v>0</v>
      </c>
      <c r="R160" s="919">
        <v>0</v>
      </c>
      <c r="S160" s="918">
        <v>0</v>
      </c>
      <c r="T160" s="884">
        <f>IF(S160&gt;0,U160/S160/U$7,0)</f>
        <v>0</v>
      </c>
      <c r="U160" s="919">
        <v>0</v>
      </c>
      <c r="V160" s="918">
        <v>0</v>
      </c>
      <c r="W160" s="884">
        <f>IF(V160&gt;0,X160/V160/X$7,0)</f>
        <v>0</v>
      </c>
      <c r="X160" s="919">
        <v>0</v>
      </c>
      <c r="Y160" s="918">
        <v>0</v>
      </c>
      <c r="Z160" s="884">
        <f>IF(Y160&gt;0,AA160/Y160/AA$7,0)</f>
        <v>0</v>
      </c>
      <c r="AA160" s="919">
        <v>0</v>
      </c>
      <c r="AB160" s="918">
        <v>0</v>
      </c>
      <c r="AC160" s="884">
        <f>IF(AB160&gt;0,AD160/AB160/AD$7,0)</f>
        <v>0</v>
      </c>
      <c r="AD160" s="919">
        <f>ROUND($F161*$G161*AD$7,0)</f>
        <v>0</v>
      </c>
      <c r="AE160" s="918">
        <v>0</v>
      </c>
      <c r="AF160" s="884">
        <f>IF(AE160&gt;0,AG160/AE160/AG$7,0)</f>
        <v>0</v>
      </c>
      <c r="AG160" s="919">
        <f>ROUND($F161*$G161*AG$7,0)</f>
        <v>0</v>
      </c>
      <c r="AH160" s="918">
        <v>0</v>
      </c>
      <c r="AI160" s="884">
        <f>IF(AH160&gt;0,AJ160/AH160/AJ$7,0)</f>
        <v>0</v>
      </c>
      <c r="AJ160" s="919">
        <f>ROUND($F161*$G161*AJ$7,0)</f>
        <v>0</v>
      </c>
      <c r="AK160" s="918">
        <v>0</v>
      </c>
      <c r="AL160" s="884">
        <f>IF(AK160&gt;0,AM160/AK160/AM$7,0)</f>
        <v>0</v>
      </c>
      <c r="AM160" s="919">
        <f>ROUND($F161*$G161*AM$7,0)</f>
        <v>0</v>
      </c>
      <c r="AN160" s="918">
        <v>0</v>
      </c>
      <c r="AO160" s="884">
        <f>IF(AN160&gt;0,AP160/AN160/AP$7,0)</f>
        <v>0</v>
      </c>
      <c r="AP160" s="919">
        <f>ROUND($F161*$G161*AP$7,0)</f>
        <v>0</v>
      </c>
      <c r="AQ160" s="918">
        <v>0</v>
      </c>
      <c r="AR160" s="884">
        <f>IF(AQ160&gt;0,AS160/AQ160/AS$7,0)</f>
        <v>0</v>
      </c>
      <c r="AS160" s="919">
        <f>ROUND($F161*$G161*AS$7,0)</f>
        <v>0</v>
      </c>
      <c r="AT160" s="879"/>
      <c r="AW160" s="389"/>
      <c r="AX160" s="804"/>
      <c r="AY160" s="389"/>
      <c r="AZ160" s="920" t="s">
        <v>689</v>
      </c>
      <c r="BA160" s="920"/>
      <c r="BB160" s="389"/>
      <c r="BC160" s="920"/>
    </row>
    <row r="161" spans="1:56" hidden="1" x14ac:dyDescent="0.2">
      <c r="E161" s="745"/>
      <c r="F161" s="921"/>
      <c r="H161" s="884"/>
      <c r="I161" s="884"/>
      <c r="J161" s="795">
        <f>SUM(J64:J160)</f>
        <v>1586746</v>
      </c>
      <c r="K161" s="818">
        <f>IF(J161&gt;0,L161/J161/L$7,0)</f>
        <v>0.1975398345154577</v>
      </c>
      <c r="L161" s="819">
        <f>SUM(L64:L160)</f>
        <v>9716811.8099999987</v>
      </c>
      <c r="M161" s="795">
        <f>SUM(M64:M160)</f>
        <v>1586746</v>
      </c>
      <c r="N161" s="818">
        <f>IF(M161&gt;0,O161/M161/O$7,0)</f>
        <v>0.19600333638780243</v>
      </c>
      <c r="O161" s="819">
        <f>SUM(O64:O160)</f>
        <v>8708210.2799999993</v>
      </c>
      <c r="P161" s="795">
        <f>SUM(P64:P160)</f>
        <v>1586746</v>
      </c>
      <c r="Q161" s="818">
        <f>IF(P161&gt;0,R161/P161/R$7,0)</f>
        <v>0.19719258297047199</v>
      </c>
      <c r="R161" s="819">
        <f>SUM(R64:R160)</f>
        <v>9699730.8100000005</v>
      </c>
      <c r="S161" s="795">
        <f>SUM(S64:S160)</f>
        <v>1600746</v>
      </c>
      <c r="T161" s="818">
        <f>IF(S161&gt;0,U161/S161/U$7,0)</f>
        <v>0.19850539061162734</v>
      </c>
      <c r="U161" s="819">
        <f>SUM(U64:U160)</f>
        <v>9532701.3000000007</v>
      </c>
      <c r="V161" s="795">
        <f>SUM(V64:V160)</f>
        <v>1600746</v>
      </c>
      <c r="W161" s="818">
        <f>IF(V161&gt;0,X161/V161/X$7,0)</f>
        <v>0.19850541076352182</v>
      </c>
      <c r="X161" s="819">
        <f>SUM(X64:X160)</f>
        <v>9850459.0099999998</v>
      </c>
      <c r="Y161" s="795">
        <f>SUM(Y64:Y160)</f>
        <v>1666146</v>
      </c>
      <c r="Z161" s="818">
        <f>IF(Y161&gt;0,AA161/Y161/AA$7,0)</f>
        <v>0.21237492992810952</v>
      </c>
      <c r="AA161" s="819">
        <f>SUM(AA64:AA160)</f>
        <v>10615429.199999999</v>
      </c>
      <c r="AB161" s="795">
        <f>SUM(AB64:AB160)</f>
        <v>1706146</v>
      </c>
      <c r="AC161" s="818">
        <f>IF(AB161&gt;0,AD161/AB161/AD$7,0)</f>
        <v>0.21630486979842098</v>
      </c>
      <c r="AD161" s="819">
        <f>SUM(AD64:AD160)</f>
        <v>11440478.34</v>
      </c>
      <c r="AE161" s="795">
        <f>SUM(AE64:AE160)</f>
        <v>1706146</v>
      </c>
      <c r="AF161" s="818">
        <f>IF(AE161&gt;0,AG161/AE161/AG$7,0)</f>
        <v>0.21630486979842098</v>
      </c>
      <c r="AG161" s="819">
        <f>SUM(AG64:AG160)</f>
        <v>11440478.34</v>
      </c>
      <c r="AH161" s="795">
        <f>SUM(AH64:AH160)</f>
        <v>1706146</v>
      </c>
      <c r="AI161" s="818">
        <f>IF(AH161&gt;0,AJ161/AH161/AJ$7,0)</f>
        <v>0.21630484143795431</v>
      </c>
      <c r="AJ161" s="819">
        <f>SUM(AJ64:AJ160)</f>
        <v>11071429.199999999</v>
      </c>
      <c r="AK161" s="795">
        <f>SUM(AK64:AK160)</f>
        <v>1706146</v>
      </c>
      <c r="AL161" s="818">
        <f>IF(AK161&gt;0,AM161/AK161/AM$7,0)</f>
        <v>0.21630486979842098</v>
      </c>
      <c r="AM161" s="819">
        <f>SUM(AM64:AM160)</f>
        <v>11440478.34</v>
      </c>
      <c r="AN161" s="795">
        <f>SUM(AN64:AN160)</f>
        <v>1692146</v>
      </c>
      <c r="AO161" s="818">
        <f>IF(AN161&gt;0,AP161/AN161/AP$7,0)</f>
        <v>0.21988970809847377</v>
      </c>
      <c r="AP161" s="819">
        <f>SUM(AP64:AP160)</f>
        <v>11162564.699999999</v>
      </c>
      <c r="AQ161" s="795">
        <f>SUM(AQ64:AQ160)</f>
        <v>1692146</v>
      </c>
      <c r="AR161" s="818">
        <f>IF(AQ161&gt;0,AS161/AQ161/AS$7,0)</f>
        <v>0.21988969475409026</v>
      </c>
      <c r="AS161" s="819">
        <f>SUM(AS64:AS160)</f>
        <v>11534649.49</v>
      </c>
      <c r="AT161" s="31"/>
      <c r="AU161" s="42"/>
      <c r="AV161" s="820"/>
      <c r="AW161" s="917"/>
      <c r="AX161" s="33">
        <f>SUM(AV64:AV160)</f>
        <v>126213420.81999999</v>
      </c>
      <c r="AY161" s="917"/>
      <c r="AZ161" s="922">
        <f>AS161+AP161+AM161+AJ161+AG161+AD161+AA161+X161+U161+R161+O161+L161</f>
        <v>126213420.82000002</v>
      </c>
      <c r="BA161" s="922"/>
      <c r="BB161" s="917"/>
      <c r="BC161" s="922"/>
    </row>
    <row r="162" spans="1:56" s="42" customFormat="1" hidden="1" x14ac:dyDescent="0.2">
      <c r="A162" s="741" t="s">
        <v>670</v>
      </c>
      <c r="D162" s="3"/>
      <c r="E162" s="3"/>
      <c r="F162" s="829"/>
      <c r="G162" s="754"/>
      <c r="H162" s="754"/>
      <c r="I162" s="754"/>
      <c r="J162" s="768"/>
      <c r="K162" s="757"/>
      <c r="L162" s="482"/>
      <c r="M162" s="771"/>
      <c r="N162" s="482"/>
      <c r="O162" s="482"/>
      <c r="P162" s="771"/>
      <c r="Q162" s="482"/>
      <c r="R162" s="482"/>
      <c r="S162" s="771"/>
      <c r="T162" s="482"/>
      <c r="U162" s="482"/>
      <c r="V162" s="771"/>
      <c r="W162" s="482"/>
      <c r="X162" s="482"/>
      <c r="Y162" s="771"/>
      <c r="Z162" s="482"/>
      <c r="AA162" s="482"/>
      <c r="AB162" s="771"/>
      <c r="AC162" s="482"/>
      <c r="AD162" s="482"/>
      <c r="AE162" s="771"/>
      <c r="AF162" s="482"/>
      <c r="AG162" s="482"/>
      <c r="AH162" s="771"/>
      <c r="AI162" s="482"/>
      <c r="AJ162" s="482"/>
      <c r="AK162" s="771"/>
      <c r="AL162" s="482"/>
      <c r="AM162" s="482"/>
      <c r="AN162" s="771"/>
      <c r="AO162" s="482"/>
      <c r="AP162" s="482"/>
      <c r="AQ162" s="771"/>
      <c r="AR162" s="482"/>
      <c r="AS162" s="482"/>
      <c r="AT162"/>
      <c r="AU162"/>
      <c r="AV162" s="802">
        <f>SUM(AV15:AV161)</f>
        <v>8193319.0700000003</v>
      </c>
      <c r="AW162" s="923"/>
      <c r="AY162" s="923"/>
      <c r="BB162" s="923"/>
    </row>
    <row r="163" spans="1:56" hidden="1" x14ac:dyDescent="0.2">
      <c r="A163" s="646"/>
      <c r="B163" s="478"/>
      <c r="C163" s="478"/>
      <c r="D163" s="478"/>
      <c r="E163" s="478"/>
      <c r="F163" s="827"/>
      <c r="G163" s="757"/>
      <c r="H163" s="757"/>
      <c r="I163" s="757"/>
      <c r="J163" s="768"/>
      <c r="K163" s="757"/>
      <c r="L163" s="482"/>
      <c r="M163" s="771"/>
      <c r="N163" s="482"/>
      <c r="O163" s="482"/>
      <c r="P163" s="771"/>
      <c r="Q163" s="482"/>
      <c r="R163" s="482"/>
      <c r="S163" s="771"/>
      <c r="T163" s="482"/>
      <c r="U163" s="482"/>
      <c r="V163" s="771"/>
      <c r="W163" s="482"/>
      <c r="X163" s="482"/>
      <c r="Y163" s="771"/>
      <c r="Z163" s="482"/>
      <c r="AA163" s="482"/>
      <c r="AB163" s="771"/>
      <c r="AC163" s="482"/>
      <c r="AD163" s="482"/>
      <c r="AE163" s="771"/>
      <c r="AF163" s="482"/>
      <c r="AG163" s="482"/>
      <c r="AH163" s="771"/>
      <c r="AI163" s="482"/>
      <c r="AJ163" s="482"/>
      <c r="AK163" s="771"/>
      <c r="AL163" s="482"/>
      <c r="AM163" s="482"/>
      <c r="AN163" s="771"/>
      <c r="AO163" s="482"/>
      <c r="AP163" s="482"/>
      <c r="AQ163" s="771"/>
      <c r="AR163" s="482"/>
      <c r="AS163" s="482"/>
      <c r="AW163" s="389"/>
      <c r="AY163" s="389"/>
      <c r="BB163" s="389"/>
    </row>
    <row r="164" spans="1:56" hidden="1" x14ac:dyDescent="0.2">
      <c r="A164" s="646"/>
      <c r="B164" s="478"/>
      <c r="C164" s="478"/>
      <c r="D164" s="478"/>
      <c r="E164" s="478"/>
      <c r="F164" s="827"/>
      <c r="G164" s="757"/>
      <c r="H164" s="757"/>
      <c r="I164" s="757"/>
      <c r="J164" s="768"/>
      <c r="K164" s="757"/>
      <c r="L164" s="482"/>
      <c r="M164" s="771"/>
      <c r="N164" s="482"/>
      <c r="O164" s="482"/>
      <c r="P164" s="771"/>
      <c r="Q164" s="482"/>
      <c r="R164" s="482"/>
      <c r="S164" s="771"/>
      <c r="T164" s="482"/>
      <c r="U164" s="482"/>
      <c r="V164" s="771"/>
      <c r="W164" s="482"/>
      <c r="X164" s="482"/>
      <c r="Y164" s="771"/>
      <c r="Z164" s="482"/>
      <c r="AA164" s="482"/>
      <c r="AB164" s="771"/>
      <c r="AC164" s="482"/>
      <c r="AD164" s="482"/>
      <c r="AE164" s="771"/>
      <c r="AF164" s="482"/>
      <c r="AG164" s="482"/>
      <c r="AH164" s="771"/>
      <c r="AI164" s="482"/>
      <c r="AJ164" s="482"/>
      <c r="AK164" s="771"/>
      <c r="AL164" s="482"/>
      <c r="AM164" s="482"/>
      <c r="AN164" s="771"/>
      <c r="AO164" s="482"/>
      <c r="AP164" s="482"/>
      <c r="AQ164" s="771"/>
      <c r="AR164" s="482"/>
      <c r="AS164" s="482"/>
      <c r="AW164" s="389"/>
      <c r="AY164" s="389"/>
      <c r="BB164" s="389"/>
    </row>
    <row r="165" spans="1:56" hidden="1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W165" s="389"/>
      <c r="AY165" s="389"/>
      <c r="BB165" s="389"/>
    </row>
    <row r="166" spans="1:56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  <c r="AW166" s="389"/>
      <c r="AY166" s="389"/>
      <c r="BB166" s="389"/>
    </row>
    <row r="167" spans="1:56" x14ac:dyDescent="0.2">
      <c r="A167" s="812"/>
      <c r="B167" s="809"/>
      <c r="C167" s="809"/>
      <c r="D167" s="809"/>
      <c r="E167" s="809"/>
      <c r="F167" s="830"/>
      <c r="G167" s="810"/>
      <c r="H167" s="810"/>
      <c r="I167" s="810"/>
      <c r="J167" s="813"/>
      <c r="K167" s="810"/>
      <c r="L167" s="814"/>
      <c r="M167" s="815"/>
      <c r="N167" s="814"/>
      <c r="O167" s="814"/>
      <c r="P167" s="815"/>
      <c r="Q167" s="814"/>
      <c r="R167" s="814"/>
      <c r="S167" s="815"/>
      <c r="T167" s="814"/>
      <c r="U167" s="814"/>
      <c r="V167" s="815"/>
      <c r="W167" s="814"/>
      <c r="X167" s="814"/>
      <c r="Y167" s="815"/>
      <c r="Z167" s="814"/>
      <c r="AA167" s="814"/>
      <c r="AB167" s="815"/>
      <c r="AC167" s="814"/>
      <c r="AD167" s="814"/>
      <c r="AE167" s="815"/>
      <c r="AF167" s="814"/>
      <c r="AG167" s="814"/>
      <c r="AH167" s="815"/>
      <c r="AI167" s="814"/>
      <c r="AJ167" s="814"/>
      <c r="AK167" s="815"/>
      <c r="AL167" s="814"/>
      <c r="AM167" s="814"/>
      <c r="AN167" s="815"/>
      <c r="AO167" s="814"/>
      <c r="AP167" s="814"/>
      <c r="AQ167" s="815"/>
      <c r="AR167" s="814"/>
      <c r="AS167" s="814"/>
      <c r="AT167" s="389"/>
      <c r="AU167" s="389"/>
      <c r="AV167" s="389"/>
      <c r="AW167" s="389"/>
      <c r="AY167" s="389"/>
      <c r="BB167" s="389"/>
    </row>
    <row r="168" spans="1:56" x14ac:dyDescent="0.2">
      <c r="A168" s="758" t="s">
        <v>671</v>
      </c>
      <c r="B168" s="478"/>
      <c r="C168" s="478"/>
      <c r="D168" s="478"/>
      <c r="E168" s="478"/>
      <c r="F168" s="827"/>
      <c r="G168" s="757"/>
      <c r="H168" s="757"/>
      <c r="I168" s="757"/>
      <c r="J168" s="768"/>
      <c r="K168" s="757"/>
      <c r="L168" s="482"/>
      <c r="M168" s="771"/>
      <c r="N168" s="482"/>
      <c r="O168" s="482"/>
      <c r="P168" s="771"/>
      <c r="Q168" s="482"/>
      <c r="R168" s="482"/>
      <c r="S168" s="771"/>
      <c r="T168" s="482"/>
      <c r="U168" s="482"/>
      <c r="V168" s="771"/>
      <c r="W168" s="482"/>
      <c r="X168" s="482"/>
      <c r="Y168" s="771"/>
      <c r="Z168" s="482"/>
      <c r="AA168" s="482"/>
      <c r="AB168" s="771"/>
      <c r="AC168" s="482"/>
      <c r="AD168" s="482"/>
      <c r="AE168" s="771"/>
      <c r="AF168" s="482"/>
      <c r="AG168" s="482"/>
      <c r="AH168" s="771"/>
      <c r="AI168" s="482"/>
      <c r="AJ168" s="482"/>
      <c r="AK168" s="771"/>
      <c r="AL168" s="482"/>
      <c r="AM168" s="482"/>
      <c r="AN168" s="771"/>
      <c r="AO168" s="482"/>
      <c r="AP168" s="482"/>
      <c r="AQ168" s="771"/>
      <c r="AR168" s="482"/>
      <c r="AS168" s="482"/>
      <c r="AU168" s="52"/>
      <c r="AV168" s="52"/>
      <c r="AW168" s="877"/>
      <c r="AY168" s="877"/>
      <c r="BB168" s="877"/>
    </row>
    <row r="169" spans="1:56" x14ac:dyDescent="0.2">
      <c r="A169" s="743"/>
      <c r="J169" s="878"/>
      <c r="L169" s="879"/>
      <c r="M169" s="878"/>
      <c r="N169" s="872"/>
      <c r="O169" s="879"/>
      <c r="P169" s="878"/>
      <c r="Q169" s="872"/>
      <c r="R169" s="879"/>
      <c r="S169" s="878"/>
      <c r="T169" s="872"/>
      <c r="U169" s="879"/>
      <c r="V169" s="878"/>
      <c r="W169" s="872"/>
      <c r="X169" s="879"/>
      <c r="Y169" s="878"/>
      <c r="Z169" s="872"/>
      <c r="AA169" s="879"/>
      <c r="AB169" s="878"/>
      <c r="AC169" s="872"/>
      <c r="AD169" s="879"/>
      <c r="AE169" s="878"/>
      <c r="AF169" s="872"/>
      <c r="AG169" s="879"/>
      <c r="AH169" s="878"/>
      <c r="AI169" s="872"/>
      <c r="AJ169" s="879"/>
      <c r="AK169" s="878"/>
      <c r="AL169" s="872"/>
      <c r="AM169" s="879"/>
      <c r="AN169" s="878"/>
      <c r="AO169" s="872"/>
      <c r="AP169" s="879"/>
      <c r="AQ169" s="878"/>
      <c r="AR169" s="872"/>
      <c r="AS169" s="879"/>
      <c r="AT169" s="879"/>
      <c r="AW169" s="389"/>
      <c r="AY169" s="389"/>
      <c r="BB169" s="389"/>
    </row>
    <row r="170" spans="1:56" x14ac:dyDescent="0.2">
      <c r="A170" s="743" t="s">
        <v>283</v>
      </c>
      <c r="J170" s="878"/>
      <c r="L170" s="879"/>
      <c r="M170" s="878"/>
      <c r="N170" s="872"/>
      <c r="O170" s="879"/>
      <c r="P170" s="878"/>
      <c r="Q170" s="872"/>
      <c r="R170" s="879"/>
      <c r="S170" s="878"/>
      <c r="T170" s="872"/>
      <c r="U170" s="879"/>
      <c r="V170" s="878"/>
      <c r="W170" s="872"/>
      <c r="X170" s="879"/>
      <c r="Y170" s="878"/>
      <c r="Z170" s="872"/>
      <c r="AA170" s="879"/>
      <c r="AB170" s="878"/>
      <c r="AC170" s="872"/>
      <c r="AD170" s="879"/>
      <c r="AE170" s="878"/>
      <c r="AF170" s="872"/>
      <c r="AG170" s="879"/>
      <c r="AH170" s="878"/>
      <c r="AI170" s="872"/>
      <c r="AJ170" s="879"/>
      <c r="AK170" s="878"/>
      <c r="AL170" s="872"/>
      <c r="AM170" s="879"/>
      <c r="AN170" s="878"/>
      <c r="AO170" s="872"/>
      <c r="AP170" s="879"/>
      <c r="AQ170" s="878"/>
      <c r="AR170" s="872"/>
      <c r="AS170" s="879"/>
      <c r="AT170" s="879"/>
      <c r="AW170" s="389"/>
      <c r="AY170" s="389"/>
      <c r="BB170" s="389"/>
    </row>
    <row r="171" spans="1:56" x14ac:dyDescent="0.2">
      <c r="A171" s="924">
        <v>26751</v>
      </c>
      <c r="B171" s="925" t="s">
        <v>728</v>
      </c>
      <c r="C171">
        <v>2001</v>
      </c>
      <c r="D171" s="816">
        <v>36557</v>
      </c>
      <c r="E171" s="926">
        <v>36922</v>
      </c>
      <c r="F171" s="927">
        <v>-20000</v>
      </c>
      <c r="G171" s="883">
        <v>0.10639999999999999</v>
      </c>
      <c r="H171" s="29">
        <v>2.46E-2</v>
      </c>
      <c r="I171" s="884">
        <f>SUM(G171:H171)</f>
        <v>0.13100000000000001</v>
      </c>
      <c r="J171" s="885">
        <f>$F171</f>
        <v>-20000</v>
      </c>
      <c r="K171" s="884">
        <f>$G171</f>
        <v>0.10639999999999999</v>
      </c>
      <c r="L171" s="879">
        <f>J171*K171*L$7</f>
        <v>-65968</v>
      </c>
      <c r="M171" s="885">
        <v>0</v>
      </c>
      <c r="N171" s="884">
        <f>$G171</f>
        <v>0.10639999999999999</v>
      </c>
      <c r="O171" s="879">
        <f>M171*N171*O$7</f>
        <v>0</v>
      </c>
      <c r="P171" s="885">
        <v>0</v>
      </c>
      <c r="Q171" s="884">
        <f>$G171</f>
        <v>0.10639999999999999</v>
      </c>
      <c r="R171" s="879">
        <f>P171*Q171*R$7</f>
        <v>0</v>
      </c>
      <c r="S171" s="885">
        <v>0</v>
      </c>
      <c r="T171" s="884">
        <f>$G171</f>
        <v>0.10639999999999999</v>
      </c>
      <c r="U171" s="879">
        <f>S171*T171*U$7</f>
        <v>0</v>
      </c>
      <c r="V171" s="885">
        <v>0</v>
      </c>
      <c r="W171" s="884">
        <f>$G171</f>
        <v>0.10639999999999999</v>
      </c>
      <c r="X171" s="879">
        <f>V171*W171*X$7</f>
        <v>0</v>
      </c>
      <c r="Y171" s="885">
        <v>0</v>
      </c>
      <c r="Z171" s="884">
        <f>$G171</f>
        <v>0.10639999999999999</v>
      </c>
      <c r="AA171" s="879">
        <f>Y171*Z171*AA$7</f>
        <v>0</v>
      </c>
      <c r="AB171" s="885">
        <v>0</v>
      </c>
      <c r="AC171" s="884">
        <f>$G171</f>
        <v>0.10639999999999999</v>
      </c>
      <c r="AD171" s="879">
        <f>AB171*AC171*AD$7</f>
        <v>0</v>
      </c>
      <c r="AE171" s="885">
        <v>0</v>
      </c>
      <c r="AF171" s="884">
        <f>$G171</f>
        <v>0.10639999999999999</v>
      </c>
      <c r="AG171" s="879">
        <f>AE171*AF171*AG$7</f>
        <v>0</v>
      </c>
      <c r="AH171" s="885">
        <v>0</v>
      </c>
      <c r="AI171" s="884">
        <f>$G171</f>
        <v>0.10639999999999999</v>
      </c>
      <c r="AJ171" s="879">
        <f>AH171*AI171*AJ$7</f>
        <v>0</v>
      </c>
      <c r="AK171" s="885">
        <v>0</v>
      </c>
      <c r="AL171" s="884">
        <f>$G171</f>
        <v>0.10639999999999999</v>
      </c>
      <c r="AM171" s="879">
        <f>AK171*AL171*AM$7</f>
        <v>0</v>
      </c>
      <c r="AN171" s="885">
        <v>0</v>
      </c>
      <c r="AO171" s="884">
        <f>$G171</f>
        <v>0.10639999999999999</v>
      </c>
      <c r="AP171" s="879">
        <f>AN171*AO171*AP$7</f>
        <v>0</v>
      </c>
      <c r="AQ171" s="885">
        <v>0</v>
      </c>
      <c r="AR171" s="884">
        <f>$G171</f>
        <v>0.10639999999999999</v>
      </c>
      <c r="AS171" s="879">
        <f>AQ171*AR171*AS$7</f>
        <v>0</v>
      </c>
      <c r="AT171" s="879"/>
      <c r="AV171" s="823">
        <f>AS171+AP171+AM171+AJ171+AG171+AD171+AA171+X171+U171+R171+O171+L171</f>
        <v>-65968</v>
      </c>
      <c r="AW171" s="910"/>
      <c r="AY171" s="910"/>
      <c r="BB171" s="910"/>
    </row>
    <row r="172" spans="1:56" x14ac:dyDescent="0.2">
      <c r="A172" s="169">
        <v>26751</v>
      </c>
      <c r="B172" s="928" t="s">
        <v>728</v>
      </c>
      <c r="C172">
        <v>2001</v>
      </c>
      <c r="D172" s="928" t="s">
        <v>303</v>
      </c>
      <c r="E172" s="169"/>
      <c r="F172" s="929">
        <v>-20000</v>
      </c>
      <c r="G172" s="890">
        <v>0.12540000000000001</v>
      </c>
      <c r="H172" s="48">
        <v>2.46E-2</v>
      </c>
      <c r="I172" s="884">
        <f>SUM(G172:H172)</f>
        <v>0.15000000000000002</v>
      </c>
      <c r="J172" s="885">
        <v>0</v>
      </c>
      <c r="K172" s="884">
        <f>$G172</f>
        <v>0.12540000000000001</v>
      </c>
      <c r="L172" s="879">
        <f>J172*K172*L$7</f>
        <v>0</v>
      </c>
      <c r="M172" s="885">
        <f>$F172</f>
        <v>-20000</v>
      </c>
      <c r="N172" s="884">
        <f>$G172</f>
        <v>0.12540000000000001</v>
      </c>
      <c r="O172" s="879">
        <f>M172*N172*O$7</f>
        <v>-70224.000000000015</v>
      </c>
      <c r="P172" s="885">
        <f>$F172</f>
        <v>-20000</v>
      </c>
      <c r="Q172" s="884">
        <f>$G172</f>
        <v>0.12540000000000001</v>
      </c>
      <c r="R172" s="879">
        <f>P172*Q172*R$7</f>
        <v>-77748.000000000015</v>
      </c>
      <c r="S172" s="885">
        <f>$F172</f>
        <v>-20000</v>
      </c>
      <c r="T172" s="884">
        <f>$G172</f>
        <v>0.12540000000000001</v>
      </c>
      <c r="U172" s="879">
        <f>S172*T172*U$7</f>
        <v>-75240.000000000015</v>
      </c>
      <c r="V172" s="885">
        <f>$F172</f>
        <v>-20000</v>
      </c>
      <c r="W172" s="884">
        <f>$G172</f>
        <v>0.12540000000000001</v>
      </c>
      <c r="X172" s="879">
        <f>V172*W172*X$7</f>
        <v>-77748.000000000015</v>
      </c>
      <c r="Y172" s="885">
        <f>$F172</f>
        <v>-20000</v>
      </c>
      <c r="Z172" s="884">
        <f>$G172</f>
        <v>0.12540000000000001</v>
      </c>
      <c r="AA172" s="879">
        <f>Y172*Z172*AA$7</f>
        <v>-75240.000000000015</v>
      </c>
      <c r="AB172" s="885">
        <f>$F172</f>
        <v>-20000</v>
      </c>
      <c r="AC172" s="884">
        <f>$G172</f>
        <v>0.12540000000000001</v>
      </c>
      <c r="AD172" s="879">
        <f>AB172*AC172*AD$7</f>
        <v>-77748.000000000015</v>
      </c>
      <c r="AE172" s="885">
        <f>$F172</f>
        <v>-20000</v>
      </c>
      <c r="AF172" s="884">
        <f>$G172</f>
        <v>0.12540000000000001</v>
      </c>
      <c r="AG172" s="879">
        <f>AE172*AF172*AG$7</f>
        <v>-77748.000000000015</v>
      </c>
      <c r="AH172" s="885">
        <f>$F172</f>
        <v>-20000</v>
      </c>
      <c r="AI172" s="884">
        <f>$G172</f>
        <v>0.12540000000000001</v>
      </c>
      <c r="AJ172" s="879">
        <f>AH172*AI172*AJ$7</f>
        <v>-75240.000000000015</v>
      </c>
      <c r="AK172" s="885">
        <f>$F172</f>
        <v>-20000</v>
      </c>
      <c r="AL172" s="884">
        <f>$G172</f>
        <v>0.12540000000000001</v>
      </c>
      <c r="AM172" s="879">
        <f>AK172*AL172*AM$7</f>
        <v>-77748.000000000015</v>
      </c>
      <c r="AN172" s="885">
        <f>$F172</f>
        <v>-20000</v>
      </c>
      <c r="AO172" s="884">
        <f>$G172</f>
        <v>0.12540000000000001</v>
      </c>
      <c r="AP172" s="879">
        <f>AN172*AO172*AP$7</f>
        <v>-75240.000000000015</v>
      </c>
      <c r="AQ172" s="885">
        <f>$F172</f>
        <v>-20000</v>
      </c>
      <c r="AR172" s="884">
        <f>$G172</f>
        <v>0.12540000000000001</v>
      </c>
      <c r="AS172" s="879">
        <f>AQ172*AR172*AS$7</f>
        <v>-77748.000000000015</v>
      </c>
      <c r="AT172" s="879"/>
      <c r="AV172" s="823">
        <f>AS172+AP172+AM172+AJ172+AG172+AD172+AA172+X172+U172+R172+O172+L172</f>
        <v>-837672.00000000012</v>
      </c>
      <c r="AW172" s="910"/>
      <c r="AX172" s="33">
        <f>SUM(AV171:AV172)</f>
        <v>-903640.00000000012</v>
      </c>
      <c r="AY172" s="910"/>
      <c r="BB172" s="910"/>
      <c r="BD172" s="33">
        <f>AX172</f>
        <v>-903640.00000000012</v>
      </c>
    </row>
    <row r="173" spans="1:56" x14ac:dyDescent="0.2">
      <c r="A173" s="924"/>
      <c r="B173" s="925"/>
      <c r="D173" s="816"/>
      <c r="E173" s="926"/>
      <c r="F173" s="927"/>
      <c r="G173" s="883"/>
      <c r="H173" s="29"/>
      <c r="I173" s="884"/>
      <c r="J173" s="885"/>
      <c r="K173" s="884"/>
      <c r="L173" s="879"/>
      <c r="M173" s="885"/>
      <c r="N173" s="884"/>
      <c r="O173" s="879"/>
      <c r="P173" s="885"/>
      <c r="Q173" s="884"/>
      <c r="R173" s="879"/>
      <c r="S173" s="885"/>
      <c r="T173" s="884"/>
      <c r="U173" s="879"/>
      <c r="V173" s="885"/>
      <c r="W173" s="884"/>
      <c r="X173" s="879"/>
      <c r="Y173" s="885"/>
      <c r="Z173" s="884"/>
      <c r="AA173" s="879"/>
      <c r="AB173" s="885"/>
      <c r="AC173" s="884"/>
      <c r="AD173" s="879"/>
      <c r="AE173" s="885"/>
      <c r="AF173" s="884"/>
      <c r="AG173" s="879"/>
      <c r="AH173" s="885"/>
      <c r="AI173" s="884"/>
      <c r="AJ173" s="879"/>
      <c r="AK173" s="885"/>
      <c r="AL173" s="884"/>
      <c r="AM173" s="879"/>
      <c r="AN173" s="885"/>
      <c r="AO173" s="884"/>
      <c r="AP173" s="879"/>
      <c r="AQ173" s="885"/>
      <c r="AR173" s="884"/>
      <c r="AS173" s="879"/>
      <c r="AT173" s="879"/>
      <c r="AV173" s="33"/>
      <c r="AW173" s="886"/>
      <c r="AY173" s="886"/>
      <c r="BB173" s="886"/>
    </row>
    <row r="174" spans="1:56" x14ac:dyDescent="0.2">
      <c r="A174" s="924">
        <v>27293</v>
      </c>
      <c r="B174" s="925" t="s">
        <v>27</v>
      </c>
      <c r="C174">
        <v>2001</v>
      </c>
      <c r="D174" s="816">
        <v>36831</v>
      </c>
      <c r="E174" s="926">
        <v>37560</v>
      </c>
      <c r="F174" s="927">
        <v>-49000</v>
      </c>
      <c r="G174" s="883">
        <v>0.25540000000000002</v>
      </c>
      <c r="H174" s="29">
        <v>2.46E-2</v>
      </c>
      <c r="I174" s="884">
        <f>SUM(G174:H174)</f>
        <v>0.28000000000000003</v>
      </c>
      <c r="J174" s="885">
        <f>$F174</f>
        <v>-49000</v>
      </c>
      <c r="K174" s="884">
        <f>$G174</f>
        <v>0.25540000000000002</v>
      </c>
      <c r="L174" s="879">
        <f>J174*K174*L$7</f>
        <v>-387952.60000000003</v>
      </c>
      <c r="M174" s="885">
        <f>$F174</f>
        <v>-49000</v>
      </c>
      <c r="N174" s="884">
        <f>$G174</f>
        <v>0.25540000000000002</v>
      </c>
      <c r="O174" s="879">
        <f>M174*N174*O$7</f>
        <v>-350408.8</v>
      </c>
      <c r="P174" s="885">
        <f>$F174</f>
        <v>-49000</v>
      </c>
      <c r="Q174" s="884">
        <f>$G174</f>
        <v>0.25540000000000002</v>
      </c>
      <c r="R174" s="879">
        <f>P174*Q174*R$7</f>
        <v>-387952.60000000003</v>
      </c>
      <c r="S174" s="885">
        <f>$F174</f>
        <v>-49000</v>
      </c>
      <c r="T174" s="884">
        <f>$G174</f>
        <v>0.25540000000000002</v>
      </c>
      <c r="U174" s="879">
        <f>S174*T174*U$7</f>
        <v>-375438</v>
      </c>
      <c r="V174" s="885">
        <f>$F174</f>
        <v>-49000</v>
      </c>
      <c r="W174" s="884">
        <f>$G174</f>
        <v>0.25540000000000002</v>
      </c>
      <c r="X174" s="879">
        <f>V174*W174*X$7</f>
        <v>-387952.60000000003</v>
      </c>
      <c r="Y174" s="885">
        <f>$F174</f>
        <v>-49000</v>
      </c>
      <c r="Z174" s="884">
        <f>$G174</f>
        <v>0.25540000000000002</v>
      </c>
      <c r="AA174" s="879">
        <f>Y174*Z174*AA$7</f>
        <v>-375438</v>
      </c>
      <c r="AB174" s="885">
        <f>$F174</f>
        <v>-49000</v>
      </c>
      <c r="AC174" s="884">
        <f>$G174</f>
        <v>0.25540000000000002</v>
      </c>
      <c r="AD174" s="879">
        <f>AB174*AC174*AD$7</f>
        <v>-387952.60000000003</v>
      </c>
      <c r="AE174" s="885">
        <f>$F174</f>
        <v>-49000</v>
      </c>
      <c r="AF174" s="884">
        <f>$G174</f>
        <v>0.25540000000000002</v>
      </c>
      <c r="AG174" s="879">
        <f>AE174*AF174*AG$7</f>
        <v>-387952.60000000003</v>
      </c>
      <c r="AH174" s="885">
        <f>$F174</f>
        <v>-49000</v>
      </c>
      <c r="AI174" s="884">
        <f>$G174</f>
        <v>0.25540000000000002</v>
      </c>
      <c r="AJ174" s="879">
        <f>AH174*AI174*AJ$7</f>
        <v>-375438</v>
      </c>
      <c r="AK174" s="885">
        <f>$F174</f>
        <v>-49000</v>
      </c>
      <c r="AL174" s="884">
        <f>$G174</f>
        <v>0.25540000000000002</v>
      </c>
      <c r="AM174" s="879">
        <f>AK174*AL174*AM$7</f>
        <v>-387952.60000000003</v>
      </c>
      <c r="AN174" s="885">
        <f>$F174</f>
        <v>-49000</v>
      </c>
      <c r="AO174" s="884">
        <f>$G174</f>
        <v>0.25540000000000002</v>
      </c>
      <c r="AP174" s="879">
        <f>AN174*AO174*AP$7</f>
        <v>-375438</v>
      </c>
      <c r="AQ174" s="885">
        <f>$F174</f>
        <v>-49000</v>
      </c>
      <c r="AR174" s="884">
        <f>$G174</f>
        <v>0.25540000000000002</v>
      </c>
      <c r="AS174" s="879">
        <f>AQ174*AR174*AS$7</f>
        <v>-387952.60000000003</v>
      </c>
      <c r="AT174" s="879"/>
      <c r="AV174" s="823">
        <f>AS174+AP174+AM174+AJ174+AG174+AD174+AA174+X174+U174+R174+O174+L174</f>
        <v>-4567829</v>
      </c>
      <c r="AW174" s="910"/>
      <c r="AX174" s="33">
        <f>AV174</f>
        <v>-4567829</v>
      </c>
      <c r="AY174" s="910"/>
      <c r="BB174" s="910"/>
      <c r="BD174" s="33">
        <f>AX174</f>
        <v>-4567829</v>
      </c>
    </row>
    <row r="175" spans="1:56" x14ac:dyDescent="0.2">
      <c r="A175" s="924"/>
      <c r="B175" s="925"/>
      <c r="D175" s="816"/>
      <c r="E175" s="926"/>
      <c r="F175" s="927"/>
      <c r="G175" s="883"/>
      <c r="H175" s="29"/>
      <c r="I175" s="884"/>
      <c r="J175" s="885"/>
      <c r="K175" s="884"/>
      <c r="L175" s="879"/>
      <c r="M175" s="885"/>
      <c r="N175" s="884"/>
      <c r="O175" s="879"/>
      <c r="P175" s="885"/>
      <c r="Q175" s="884"/>
      <c r="R175" s="879"/>
      <c r="S175" s="885"/>
      <c r="T175" s="884"/>
      <c r="U175" s="879"/>
      <c r="V175" s="885"/>
      <c r="W175" s="884"/>
      <c r="X175" s="879"/>
      <c r="Y175" s="885"/>
      <c r="Z175" s="884"/>
      <c r="AA175" s="879"/>
      <c r="AB175" s="885"/>
      <c r="AC175" s="884"/>
      <c r="AD175" s="879"/>
      <c r="AE175" s="885"/>
      <c r="AF175" s="884"/>
      <c r="AG175" s="879"/>
      <c r="AH175" s="885"/>
      <c r="AI175" s="884"/>
      <c r="AJ175" s="879"/>
      <c r="AK175" s="885"/>
      <c r="AL175" s="884"/>
      <c r="AM175" s="879"/>
      <c r="AN175" s="885"/>
      <c r="AO175" s="884"/>
      <c r="AP175" s="879"/>
      <c r="AQ175" s="885"/>
      <c r="AR175" s="884"/>
      <c r="AS175" s="879"/>
      <c r="AT175" s="879"/>
      <c r="AV175" s="33"/>
      <c r="AW175" s="886"/>
      <c r="AY175" s="886"/>
      <c r="BB175" s="886"/>
    </row>
    <row r="176" spans="1:56" x14ac:dyDescent="0.2">
      <c r="A176" s="924">
        <v>27252</v>
      </c>
      <c r="B176" s="925" t="s">
        <v>729</v>
      </c>
      <c r="C176">
        <v>2001</v>
      </c>
      <c r="D176" s="930">
        <v>36831</v>
      </c>
      <c r="E176" s="926">
        <v>40482</v>
      </c>
      <c r="F176" s="927">
        <v>-14000</v>
      </c>
      <c r="G176" s="883">
        <v>0.12540000000000001</v>
      </c>
      <c r="H176" s="29">
        <v>2.46E-2</v>
      </c>
      <c r="I176" s="884">
        <f>SUM(G176:H176)</f>
        <v>0.15000000000000002</v>
      </c>
      <c r="J176" s="885">
        <f>$F176</f>
        <v>-14000</v>
      </c>
      <c r="K176" s="884">
        <f>$G176</f>
        <v>0.12540000000000001</v>
      </c>
      <c r="L176" s="879">
        <f>J176*K176*L$7</f>
        <v>-54423.600000000006</v>
      </c>
      <c r="M176" s="885">
        <f>$F176</f>
        <v>-14000</v>
      </c>
      <c r="N176" s="884">
        <f>$G176</f>
        <v>0.12540000000000001</v>
      </c>
      <c r="O176" s="879">
        <f>M176*N176*O$7</f>
        <v>-49156.800000000003</v>
      </c>
      <c r="P176" s="885">
        <f>$F176</f>
        <v>-14000</v>
      </c>
      <c r="Q176" s="884">
        <f>$G176</f>
        <v>0.12540000000000001</v>
      </c>
      <c r="R176" s="879">
        <f>P176*Q176*R$7</f>
        <v>-54423.600000000006</v>
      </c>
      <c r="S176" s="885">
        <v>0</v>
      </c>
      <c r="T176" s="884">
        <f>$G176</f>
        <v>0.12540000000000001</v>
      </c>
      <c r="U176" s="879">
        <f>S176*T176*U$7</f>
        <v>0</v>
      </c>
      <c r="V176" s="885">
        <v>0</v>
      </c>
      <c r="W176" s="884">
        <f>$G176</f>
        <v>0.12540000000000001</v>
      </c>
      <c r="X176" s="879">
        <f>V176*W176*X$7</f>
        <v>0</v>
      </c>
      <c r="Y176" s="885">
        <v>0</v>
      </c>
      <c r="Z176" s="884">
        <f>$G176</f>
        <v>0.12540000000000001</v>
      </c>
      <c r="AA176" s="879">
        <f>Y176*Z176*AA$7</f>
        <v>0</v>
      </c>
      <c r="AB176" s="885">
        <v>0</v>
      </c>
      <c r="AC176" s="884">
        <f>$G176</f>
        <v>0.12540000000000001</v>
      </c>
      <c r="AD176" s="879">
        <f>AB176*AC176*AD$7</f>
        <v>0</v>
      </c>
      <c r="AE176" s="885">
        <v>0</v>
      </c>
      <c r="AF176" s="884">
        <f>$G176</f>
        <v>0.12540000000000001</v>
      </c>
      <c r="AG176" s="879">
        <f>AE176*AF176*AG$7</f>
        <v>0</v>
      </c>
      <c r="AH176" s="885">
        <v>0</v>
      </c>
      <c r="AI176" s="884">
        <f>$G176</f>
        <v>0.12540000000000001</v>
      </c>
      <c r="AJ176" s="879">
        <f>AH176*AI176*AJ$7</f>
        <v>0</v>
      </c>
      <c r="AK176" s="885">
        <v>0</v>
      </c>
      <c r="AL176" s="884">
        <f>$G176</f>
        <v>0.12540000000000001</v>
      </c>
      <c r="AM176" s="879">
        <f>AK176*AL176*AM$7</f>
        <v>0</v>
      </c>
      <c r="AN176" s="885">
        <f>$F176</f>
        <v>-14000</v>
      </c>
      <c r="AO176" s="884">
        <f>$G176</f>
        <v>0.12540000000000001</v>
      </c>
      <c r="AP176" s="879">
        <f>AN176*AO176*AP$7</f>
        <v>-52668.000000000007</v>
      </c>
      <c r="AQ176" s="885">
        <f>$F176</f>
        <v>-14000</v>
      </c>
      <c r="AR176" s="884">
        <f>$G176</f>
        <v>0.12540000000000001</v>
      </c>
      <c r="AS176" s="879">
        <f>AQ176*AR176*AS$7</f>
        <v>-54423.600000000006</v>
      </c>
      <c r="AT176" s="879"/>
      <c r="AV176" s="823">
        <f>AS176+AP176+AM176+AJ176+AG176+AD176+AA176+X176+U176+R176+O176+L176</f>
        <v>-265095.59999999998</v>
      </c>
      <c r="AW176" s="910"/>
      <c r="AY176" s="910"/>
      <c r="BB176" s="910"/>
    </row>
    <row r="177" spans="1:56" x14ac:dyDescent="0.2">
      <c r="A177" s="175">
        <v>27252</v>
      </c>
      <c r="B177" s="175" t="s">
        <v>559</v>
      </c>
      <c r="C177">
        <v>2002</v>
      </c>
      <c r="D177" s="181">
        <v>36845</v>
      </c>
      <c r="E177" s="602">
        <v>40482</v>
      </c>
      <c r="F177" s="603">
        <v>14000</v>
      </c>
      <c r="G177" s="533">
        <v>0.12540000000000001</v>
      </c>
      <c r="H177" s="533">
        <v>2.46E-2</v>
      </c>
      <c r="I177" s="884">
        <f>SUM(G177:H177)</f>
        <v>0.15000000000000002</v>
      </c>
      <c r="J177" s="885">
        <f>$F177</f>
        <v>14000</v>
      </c>
      <c r="K177" s="884">
        <f>$G177</f>
        <v>0.12540000000000001</v>
      </c>
      <c r="L177" s="879">
        <f>J177*K177*L$7</f>
        <v>54423.600000000006</v>
      </c>
      <c r="M177" s="885">
        <f>$F177</f>
        <v>14000</v>
      </c>
      <c r="N177" s="884">
        <f>$G177</f>
        <v>0.12540000000000001</v>
      </c>
      <c r="O177" s="879">
        <f>M177*N177*O$7</f>
        <v>49156.800000000003</v>
      </c>
      <c r="P177" s="885">
        <f>$F177</f>
        <v>14000</v>
      </c>
      <c r="Q177" s="884">
        <f>$G177</f>
        <v>0.12540000000000001</v>
      </c>
      <c r="R177" s="879">
        <f>P177*Q177*R$7</f>
        <v>54423.600000000006</v>
      </c>
      <c r="S177" s="885">
        <f>$F177</f>
        <v>14000</v>
      </c>
      <c r="T177" s="884">
        <f>$G177</f>
        <v>0.12540000000000001</v>
      </c>
      <c r="U177" s="879">
        <f>S177*T177*U$7</f>
        <v>52668.000000000007</v>
      </c>
      <c r="V177" s="885">
        <f>$F177</f>
        <v>14000</v>
      </c>
      <c r="W177" s="884">
        <f>$G177</f>
        <v>0.12540000000000001</v>
      </c>
      <c r="X177" s="879">
        <f>V177*W177*X$7</f>
        <v>54423.600000000006</v>
      </c>
      <c r="Y177" s="885">
        <f>$F177</f>
        <v>14000</v>
      </c>
      <c r="Z177" s="884">
        <f>$G177</f>
        <v>0.12540000000000001</v>
      </c>
      <c r="AA177" s="879">
        <f>Y177*Z177*AA$7</f>
        <v>52668.000000000007</v>
      </c>
      <c r="AB177" s="885">
        <f>$F177</f>
        <v>14000</v>
      </c>
      <c r="AC177" s="884">
        <f>$G177</f>
        <v>0.12540000000000001</v>
      </c>
      <c r="AD177" s="879">
        <f>AB177*AC177*AD$7</f>
        <v>54423.600000000006</v>
      </c>
      <c r="AE177" s="885">
        <f>$F177</f>
        <v>14000</v>
      </c>
      <c r="AF177" s="884">
        <f>$G177</f>
        <v>0.12540000000000001</v>
      </c>
      <c r="AG177" s="879">
        <f>AE177*AF177*AG$7</f>
        <v>54423.600000000006</v>
      </c>
      <c r="AH177" s="885">
        <f>$F177</f>
        <v>14000</v>
      </c>
      <c r="AI177" s="884">
        <f>$G177</f>
        <v>0.12540000000000001</v>
      </c>
      <c r="AJ177" s="879">
        <f>AH177*AI177*AJ$7</f>
        <v>52668.000000000007</v>
      </c>
      <c r="AK177" s="885">
        <f>$F177</f>
        <v>14000</v>
      </c>
      <c r="AL177" s="884">
        <f>$G177</f>
        <v>0.12540000000000001</v>
      </c>
      <c r="AM177" s="879">
        <f>AK177*AL177*AM$7</f>
        <v>54423.600000000006</v>
      </c>
      <c r="AN177" s="885">
        <f>$F177</f>
        <v>14000</v>
      </c>
      <c r="AO177" s="884">
        <f>$G177</f>
        <v>0.12540000000000001</v>
      </c>
      <c r="AP177" s="879">
        <f>AN177*AO177*AP$7</f>
        <v>52668.000000000007</v>
      </c>
      <c r="AQ177" s="885">
        <f>$F177</f>
        <v>14000</v>
      </c>
      <c r="AR177" s="884">
        <f>$G177</f>
        <v>0.12540000000000001</v>
      </c>
      <c r="AS177" s="879">
        <f>AQ177*AR177*AS$7</f>
        <v>54423.600000000006</v>
      </c>
      <c r="AT177" s="879"/>
      <c r="AV177" s="823">
        <f>AS177+AP177+AM177+AJ177+AG177+AD177+AA177+X177+U177+R177+O177+L177</f>
        <v>640794</v>
      </c>
      <c r="AW177" s="910"/>
      <c r="AX177" s="33">
        <f>SUM(AV176:AV177)</f>
        <v>375698.4</v>
      </c>
      <c r="AY177" s="910"/>
      <c r="BB177" s="910"/>
      <c r="BD177" s="33">
        <f>AX177</f>
        <v>375698.4</v>
      </c>
    </row>
    <row r="178" spans="1:56" x14ac:dyDescent="0.2">
      <c r="A178" s="924"/>
      <c r="B178" s="925"/>
      <c r="D178" s="930"/>
      <c r="E178" s="926"/>
      <c r="F178" s="927"/>
      <c r="G178" s="883"/>
      <c r="H178" s="29"/>
      <c r="I178" s="884"/>
      <c r="J178" s="885"/>
      <c r="K178" s="884"/>
      <c r="L178" s="879"/>
      <c r="M178" s="885"/>
      <c r="N178" s="884"/>
      <c r="O178" s="879"/>
      <c r="P178" s="885"/>
      <c r="Q178" s="884"/>
      <c r="R178" s="879"/>
      <c r="S178" s="885"/>
      <c r="T178" s="884"/>
      <c r="U178" s="879"/>
      <c r="V178" s="885"/>
      <c r="W178" s="884"/>
      <c r="X178" s="879"/>
      <c r="Y178" s="885"/>
      <c r="Z178" s="884"/>
      <c r="AA178" s="879"/>
      <c r="AB178" s="885"/>
      <c r="AC178" s="884"/>
      <c r="AD178" s="879"/>
      <c r="AE178" s="885"/>
      <c r="AF178" s="884"/>
      <c r="AG178" s="879"/>
      <c r="AH178" s="885"/>
      <c r="AI178" s="884"/>
      <c r="AJ178" s="879"/>
      <c r="AK178" s="885"/>
      <c r="AL178" s="884"/>
      <c r="AM178" s="879"/>
      <c r="AN178" s="885"/>
      <c r="AO178" s="884"/>
      <c r="AP178" s="879"/>
      <c r="AQ178" s="885"/>
      <c r="AR178" s="884"/>
      <c r="AS178" s="879"/>
      <c r="AT178" s="879"/>
      <c r="AV178" s="33"/>
      <c r="AW178" s="886"/>
      <c r="AY178" s="886"/>
      <c r="BB178" s="886"/>
    </row>
    <row r="179" spans="1:56" x14ac:dyDescent="0.2">
      <c r="A179" s="924">
        <v>26490</v>
      </c>
      <c r="B179" s="925" t="s">
        <v>284</v>
      </c>
      <c r="C179">
        <v>2001</v>
      </c>
      <c r="D179" s="816">
        <v>36100</v>
      </c>
      <c r="E179" s="926">
        <v>37195</v>
      </c>
      <c r="F179" s="929">
        <v>-70000</v>
      </c>
      <c r="G179" s="883">
        <v>0.1154</v>
      </c>
      <c r="H179" s="29">
        <v>2.46E-2</v>
      </c>
      <c r="I179" s="884">
        <f>SUM(G179:H179)</f>
        <v>0.14000000000000001</v>
      </c>
      <c r="J179" s="885">
        <f>$F179</f>
        <v>-70000</v>
      </c>
      <c r="K179" s="884">
        <f>$G179</f>
        <v>0.1154</v>
      </c>
      <c r="L179" s="879">
        <f>J179*K179*L$7</f>
        <v>-250418</v>
      </c>
      <c r="M179" s="885">
        <f>$F179</f>
        <v>-70000</v>
      </c>
      <c r="N179" s="884">
        <f>$G179</f>
        <v>0.1154</v>
      </c>
      <c r="O179" s="879">
        <f>M179*N179*O$7</f>
        <v>-226184</v>
      </c>
      <c r="P179" s="885">
        <f>$F179</f>
        <v>-70000</v>
      </c>
      <c r="Q179" s="884">
        <f>$G179</f>
        <v>0.1154</v>
      </c>
      <c r="R179" s="879">
        <f>P179*Q179*R$7</f>
        <v>-250418</v>
      </c>
      <c r="S179" s="885">
        <f>$F179</f>
        <v>-70000</v>
      </c>
      <c r="T179" s="884">
        <f>$G179</f>
        <v>0.1154</v>
      </c>
      <c r="U179" s="879">
        <f>S179*T179*U$7</f>
        <v>-242340</v>
      </c>
      <c r="V179" s="885">
        <f>$F179</f>
        <v>-70000</v>
      </c>
      <c r="W179" s="884">
        <f>$G179</f>
        <v>0.1154</v>
      </c>
      <c r="X179" s="879">
        <f>V179*W179*X$7</f>
        <v>-250418</v>
      </c>
      <c r="Y179" s="885">
        <f>$F179</f>
        <v>-70000</v>
      </c>
      <c r="Z179" s="884">
        <f>$G179</f>
        <v>0.1154</v>
      </c>
      <c r="AA179" s="879">
        <f>Y179*Z179*AA$7</f>
        <v>-242340</v>
      </c>
      <c r="AB179" s="885">
        <f>$F179</f>
        <v>-70000</v>
      </c>
      <c r="AC179" s="884">
        <f>$G179</f>
        <v>0.1154</v>
      </c>
      <c r="AD179" s="879">
        <f>AB179*AC179*AD$7</f>
        <v>-250418</v>
      </c>
      <c r="AE179" s="885">
        <f>$F179</f>
        <v>-70000</v>
      </c>
      <c r="AF179" s="884">
        <f>$G179</f>
        <v>0.1154</v>
      </c>
      <c r="AG179" s="879">
        <f>AE179*AF179*AG$7</f>
        <v>-250418</v>
      </c>
      <c r="AH179" s="885">
        <f>$F179</f>
        <v>-70000</v>
      </c>
      <c r="AI179" s="884">
        <f>$G179</f>
        <v>0.1154</v>
      </c>
      <c r="AJ179" s="879">
        <f>AH179*AI179*AJ$7</f>
        <v>-242340</v>
      </c>
      <c r="AK179" s="885">
        <f>$F179</f>
        <v>-70000</v>
      </c>
      <c r="AL179" s="884">
        <f>$G179</f>
        <v>0.1154</v>
      </c>
      <c r="AM179" s="879">
        <f>AK179*AL179*AM$7</f>
        <v>-250418</v>
      </c>
      <c r="AN179" s="885">
        <v>0</v>
      </c>
      <c r="AO179" s="884">
        <f>$G179</f>
        <v>0.1154</v>
      </c>
      <c r="AP179" s="879">
        <f>AN179*AO179*AP$7</f>
        <v>0</v>
      </c>
      <c r="AQ179" s="885">
        <v>0</v>
      </c>
      <c r="AR179" s="884">
        <f>$G179</f>
        <v>0.1154</v>
      </c>
      <c r="AS179" s="879">
        <f>AQ179*AR179*AS$7</f>
        <v>0</v>
      </c>
      <c r="AT179" s="879"/>
      <c r="AV179" s="823">
        <f>AS179+AP179+AM179+AJ179+AG179+AD179+AA179+X179+U179+R179+O179+L179</f>
        <v>-2455712</v>
      </c>
      <c r="AW179" s="910"/>
      <c r="AY179" s="910"/>
      <c r="BB179" s="910"/>
    </row>
    <row r="180" spans="1:56" x14ac:dyDescent="0.2">
      <c r="A180" s="169">
        <v>26490</v>
      </c>
      <c r="B180" s="928" t="s">
        <v>284</v>
      </c>
      <c r="C180">
        <v>2001</v>
      </c>
      <c r="D180" s="928" t="s">
        <v>303</v>
      </c>
      <c r="E180" s="931"/>
      <c r="F180" s="932">
        <v>-70000</v>
      </c>
      <c r="G180" s="890">
        <v>0.12540000000000001</v>
      </c>
      <c r="H180" s="48">
        <v>2.46E-2</v>
      </c>
      <c r="I180" s="884">
        <f>SUM(G180:H180)</f>
        <v>0.15000000000000002</v>
      </c>
      <c r="J180" s="885">
        <v>0</v>
      </c>
      <c r="K180" s="884">
        <f>$G180</f>
        <v>0.12540000000000001</v>
      </c>
      <c r="L180" s="879">
        <f>J180*K180*L$7</f>
        <v>0</v>
      </c>
      <c r="M180" s="885">
        <v>0</v>
      </c>
      <c r="N180" s="884">
        <f>$G180</f>
        <v>0.12540000000000001</v>
      </c>
      <c r="O180" s="879">
        <f>M180*N180*O$7</f>
        <v>0</v>
      </c>
      <c r="P180" s="885">
        <v>0</v>
      </c>
      <c r="Q180" s="884">
        <f>$G180</f>
        <v>0.12540000000000001</v>
      </c>
      <c r="R180" s="879">
        <f>P180*Q180*R$7</f>
        <v>0</v>
      </c>
      <c r="S180" s="885">
        <v>0</v>
      </c>
      <c r="T180" s="884">
        <f>$G180</f>
        <v>0.12540000000000001</v>
      </c>
      <c r="U180" s="879">
        <f>S180*T180*U$7</f>
        <v>0</v>
      </c>
      <c r="V180" s="885">
        <v>0</v>
      </c>
      <c r="W180" s="884">
        <f>$G180</f>
        <v>0.12540000000000001</v>
      </c>
      <c r="X180" s="879">
        <f>V180*W180*X$7</f>
        <v>0</v>
      </c>
      <c r="Y180" s="885">
        <v>0</v>
      </c>
      <c r="Z180" s="884">
        <f>$G180</f>
        <v>0.12540000000000001</v>
      </c>
      <c r="AA180" s="879">
        <f>Y180*Z180*AA$7</f>
        <v>0</v>
      </c>
      <c r="AB180" s="885">
        <v>0</v>
      </c>
      <c r="AC180" s="884">
        <f>$G180</f>
        <v>0.12540000000000001</v>
      </c>
      <c r="AD180" s="879">
        <f>AB180*AC180*AD$7</f>
        <v>0</v>
      </c>
      <c r="AE180" s="885">
        <v>0</v>
      </c>
      <c r="AF180" s="884">
        <f>$G180</f>
        <v>0.12540000000000001</v>
      </c>
      <c r="AG180" s="879">
        <f>AE180*AF180*AG$7</f>
        <v>0</v>
      </c>
      <c r="AH180" s="885">
        <v>0</v>
      </c>
      <c r="AI180" s="884">
        <f>$G180</f>
        <v>0.12540000000000001</v>
      </c>
      <c r="AJ180" s="879">
        <f>AH180*AI180*AJ$7</f>
        <v>0</v>
      </c>
      <c r="AK180" s="885">
        <v>0</v>
      </c>
      <c r="AL180" s="884">
        <f>$G180</f>
        <v>0.12540000000000001</v>
      </c>
      <c r="AM180" s="879">
        <f>AK180*AL180*AM$7</f>
        <v>0</v>
      </c>
      <c r="AN180" s="885">
        <f>$F180</f>
        <v>-70000</v>
      </c>
      <c r="AO180" s="884">
        <f>$G180</f>
        <v>0.12540000000000001</v>
      </c>
      <c r="AP180" s="879">
        <f>AN180*AO180*AP$7</f>
        <v>-263340</v>
      </c>
      <c r="AQ180" s="885">
        <f>$F180</f>
        <v>-70000</v>
      </c>
      <c r="AR180" s="884">
        <f>$G180</f>
        <v>0.12540000000000001</v>
      </c>
      <c r="AS180" s="879">
        <f>AQ180*AR180*AS$7</f>
        <v>-272118</v>
      </c>
      <c r="AT180" s="879"/>
      <c r="AV180" s="823">
        <f>AS180+AP180+AM180+AJ180+AG180+AD180+AA180+X180+U180+R180+O180+L180</f>
        <v>-535458</v>
      </c>
      <c r="AW180" s="910"/>
      <c r="AY180" s="910"/>
      <c r="BB180" s="910"/>
    </row>
    <row r="181" spans="1:56" x14ac:dyDescent="0.2">
      <c r="A181" s="175" t="s">
        <v>317</v>
      </c>
      <c r="B181" s="175" t="s">
        <v>284</v>
      </c>
      <c r="C181">
        <v>2002</v>
      </c>
      <c r="D181" s="181">
        <v>36100</v>
      </c>
      <c r="E181" s="181">
        <v>37925</v>
      </c>
      <c r="F181" s="182">
        <v>70000</v>
      </c>
      <c r="G181" s="170">
        <v>0.12540000000000001</v>
      </c>
      <c r="H181" s="170">
        <v>2.46E-2</v>
      </c>
      <c r="I181" s="884">
        <f>SUM(G181:H181)</f>
        <v>0.15000000000000002</v>
      </c>
      <c r="J181" s="885">
        <f>$F181</f>
        <v>70000</v>
      </c>
      <c r="K181" s="884">
        <f>$G181</f>
        <v>0.12540000000000001</v>
      </c>
      <c r="L181" s="879">
        <f>J181*K181*L$7</f>
        <v>272118</v>
      </c>
      <c r="M181" s="885">
        <f>$F181</f>
        <v>70000</v>
      </c>
      <c r="N181" s="884">
        <f>$G181</f>
        <v>0.12540000000000001</v>
      </c>
      <c r="O181" s="879">
        <f>M181*N181*O$7</f>
        <v>245784</v>
      </c>
      <c r="P181" s="885">
        <f>$F181</f>
        <v>70000</v>
      </c>
      <c r="Q181" s="884">
        <f>$G181</f>
        <v>0.12540000000000001</v>
      </c>
      <c r="R181" s="879">
        <f>P181*Q181*R$7</f>
        <v>272118</v>
      </c>
      <c r="S181" s="885">
        <f>$F181</f>
        <v>70000</v>
      </c>
      <c r="T181" s="884">
        <f>$G181</f>
        <v>0.12540000000000001</v>
      </c>
      <c r="U181" s="879">
        <f>S181*T181*U$7</f>
        <v>263340</v>
      </c>
      <c r="V181" s="885">
        <f>$F181</f>
        <v>70000</v>
      </c>
      <c r="W181" s="884">
        <f>$G181</f>
        <v>0.12540000000000001</v>
      </c>
      <c r="X181" s="879">
        <f>V181*W181*X$7</f>
        <v>272118</v>
      </c>
      <c r="Y181" s="885">
        <f>$F181</f>
        <v>70000</v>
      </c>
      <c r="Z181" s="884">
        <f>$G181</f>
        <v>0.12540000000000001</v>
      </c>
      <c r="AA181" s="879">
        <f>Y181*Z181*AA$7</f>
        <v>263340</v>
      </c>
      <c r="AB181" s="885">
        <f>$F181</f>
        <v>70000</v>
      </c>
      <c r="AC181" s="884">
        <f>$G181</f>
        <v>0.12540000000000001</v>
      </c>
      <c r="AD181" s="879">
        <f>AB181*AC181*AD$7</f>
        <v>272118</v>
      </c>
      <c r="AE181" s="885">
        <f>$F181</f>
        <v>70000</v>
      </c>
      <c r="AF181" s="884">
        <f>$G181</f>
        <v>0.12540000000000001</v>
      </c>
      <c r="AG181" s="879">
        <f>AE181*AF181*AG$7</f>
        <v>272118</v>
      </c>
      <c r="AH181" s="885">
        <f>$F181</f>
        <v>70000</v>
      </c>
      <c r="AI181" s="884">
        <f>$G181</f>
        <v>0.12540000000000001</v>
      </c>
      <c r="AJ181" s="879">
        <f>AH181*AI181*AJ$7</f>
        <v>263340</v>
      </c>
      <c r="AK181" s="885">
        <f>$F181</f>
        <v>70000</v>
      </c>
      <c r="AL181" s="884">
        <f>$G181</f>
        <v>0.12540000000000001</v>
      </c>
      <c r="AM181" s="879">
        <f>AK181*AL181*AM$7</f>
        <v>272118</v>
      </c>
      <c r="AN181" s="885">
        <f>$F181</f>
        <v>70000</v>
      </c>
      <c r="AO181" s="884">
        <f>$G181</f>
        <v>0.12540000000000001</v>
      </c>
      <c r="AP181" s="879">
        <f>AN181*AO181*AP$7</f>
        <v>263340</v>
      </c>
      <c r="AQ181" s="885">
        <f>$F181</f>
        <v>70000</v>
      </c>
      <c r="AR181" s="884">
        <f>$G181</f>
        <v>0.12540000000000001</v>
      </c>
      <c r="AS181" s="879">
        <f>AQ181*AR181*AS$7</f>
        <v>272118</v>
      </c>
      <c r="AT181" s="879"/>
      <c r="AV181" s="823">
        <f>AS181+AP181+AM181+AJ181+AG181+AD181+AA181+X181+U181+R181+O181+L181</f>
        <v>3203970</v>
      </c>
      <c r="AW181" s="910"/>
      <c r="AX181" s="33">
        <f>SUM(AV179:AV181)</f>
        <v>212800</v>
      </c>
      <c r="AY181" s="910"/>
      <c r="BB181" s="910"/>
      <c r="BD181" s="33">
        <f>AX181</f>
        <v>212800</v>
      </c>
    </row>
    <row r="182" spans="1:56" x14ac:dyDescent="0.2">
      <c r="A182" s="924"/>
      <c r="B182" s="925"/>
      <c r="D182" s="816"/>
      <c r="E182" s="926"/>
      <c r="F182" s="929"/>
      <c r="G182" s="883"/>
      <c r="H182" s="29"/>
      <c r="I182" s="884"/>
      <c r="J182" s="885"/>
      <c r="K182" s="884"/>
      <c r="L182" s="879"/>
      <c r="M182" s="885"/>
      <c r="N182" s="884"/>
      <c r="O182" s="879"/>
      <c r="P182" s="885"/>
      <c r="Q182" s="884"/>
      <c r="R182" s="879"/>
      <c r="S182" s="885"/>
      <c r="T182" s="884"/>
      <c r="U182" s="879"/>
      <c r="V182" s="885"/>
      <c r="W182" s="884"/>
      <c r="X182" s="879"/>
      <c r="Y182" s="885"/>
      <c r="Z182" s="884"/>
      <c r="AA182" s="879"/>
      <c r="AB182" s="885"/>
      <c r="AC182" s="884"/>
      <c r="AD182" s="879"/>
      <c r="AE182" s="885"/>
      <c r="AF182" s="884"/>
      <c r="AG182" s="879"/>
      <c r="AH182" s="885"/>
      <c r="AI182" s="884"/>
      <c r="AJ182" s="879"/>
      <c r="AK182" s="885"/>
      <c r="AL182" s="884"/>
      <c r="AM182" s="879"/>
      <c r="AN182" s="885"/>
      <c r="AO182" s="884"/>
      <c r="AP182" s="879"/>
      <c r="AQ182" s="885"/>
      <c r="AR182" s="884"/>
      <c r="AS182" s="879"/>
      <c r="AT182" s="879"/>
      <c r="AV182" s="33"/>
      <c r="AW182" s="886"/>
      <c r="AY182" s="886"/>
      <c r="BB182" s="886"/>
    </row>
    <row r="183" spans="1:56" x14ac:dyDescent="0.2">
      <c r="A183" s="933">
        <v>8255</v>
      </c>
      <c r="B183" s="925" t="s">
        <v>285</v>
      </c>
      <c r="C183">
        <v>2001</v>
      </c>
      <c r="D183" s="5"/>
      <c r="E183" s="926">
        <v>38656</v>
      </c>
      <c r="F183" s="929">
        <v>-306000</v>
      </c>
      <c r="G183" s="883">
        <f>0.3232+0.0686+0.003+0.0051+0.0007</f>
        <v>0.40059999999999996</v>
      </c>
      <c r="H183" s="29">
        <v>3.4299999999999997E-2</v>
      </c>
      <c r="I183" s="884">
        <f>SUM(G183:H183)</f>
        <v>0.43489999999999995</v>
      </c>
      <c r="J183" s="885">
        <f>$F183</f>
        <v>-306000</v>
      </c>
      <c r="K183" s="884">
        <f>$G183</f>
        <v>0.40059999999999996</v>
      </c>
      <c r="L183" s="879">
        <f>J183*K183*L$7</f>
        <v>-3800091.5999999996</v>
      </c>
      <c r="M183" s="885">
        <f>$F183</f>
        <v>-306000</v>
      </c>
      <c r="N183" s="884">
        <f>$G183</f>
        <v>0.40059999999999996</v>
      </c>
      <c r="O183" s="879">
        <f>M183*N183*O$7</f>
        <v>-3432340.8</v>
      </c>
      <c r="P183" s="885">
        <f>$F183</f>
        <v>-306000</v>
      </c>
      <c r="Q183" s="884">
        <f>$G183</f>
        <v>0.40059999999999996</v>
      </c>
      <c r="R183" s="879">
        <f>P183*Q183*R$7</f>
        <v>-3800091.5999999996</v>
      </c>
      <c r="S183" s="885">
        <f>$F183</f>
        <v>-306000</v>
      </c>
      <c r="T183" s="884">
        <f>$G183</f>
        <v>0.40059999999999996</v>
      </c>
      <c r="U183" s="879">
        <f>S183*T183*U$7</f>
        <v>-3677507.9999999995</v>
      </c>
      <c r="V183" s="885">
        <f>$F183</f>
        <v>-306000</v>
      </c>
      <c r="W183" s="884">
        <f>$G183</f>
        <v>0.40059999999999996</v>
      </c>
      <c r="X183" s="879">
        <f>V183*W183*X$7</f>
        <v>-3800091.5999999996</v>
      </c>
      <c r="Y183" s="885">
        <f>$F183</f>
        <v>-306000</v>
      </c>
      <c r="Z183" s="884">
        <f>$G183</f>
        <v>0.40059999999999996</v>
      </c>
      <c r="AA183" s="879">
        <f>Y183*Z183*AA$7</f>
        <v>-3677507.9999999995</v>
      </c>
      <c r="AB183" s="885">
        <f>$F183</f>
        <v>-306000</v>
      </c>
      <c r="AC183" s="884">
        <f>$G183</f>
        <v>0.40059999999999996</v>
      </c>
      <c r="AD183" s="879">
        <f>AB183*AC183*AD$7</f>
        <v>-3800091.5999999996</v>
      </c>
      <c r="AE183" s="885">
        <f>$F183</f>
        <v>-306000</v>
      </c>
      <c r="AF183" s="884">
        <f>$G183</f>
        <v>0.40059999999999996</v>
      </c>
      <c r="AG183" s="879">
        <f>AE183*AF183*AG$7</f>
        <v>-3800091.5999999996</v>
      </c>
      <c r="AH183" s="885">
        <f>$F183</f>
        <v>-306000</v>
      </c>
      <c r="AI183" s="884">
        <f>$G183</f>
        <v>0.40059999999999996</v>
      </c>
      <c r="AJ183" s="879">
        <f>AH183*AI183*AJ$7</f>
        <v>-3677507.9999999995</v>
      </c>
      <c r="AK183" s="885">
        <f>$F183</f>
        <v>-306000</v>
      </c>
      <c r="AL183" s="884">
        <f>$G183</f>
        <v>0.40059999999999996</v>
      </c>
      <c r="AM183" s="879">
        <f>AK183*AL183*AM$7</f>
        <v>-3800091.5999999996</v>
      </c>
      <c r="AN183" s="885">
        <f>$F183</f>
        <v>-306000</v>
      </c>
      <c r="AO183" s="884">
        <f>$G183-0.0686+0.0065</f>
        <v>0.33849999999999997</v>
      </c>
      <c r="AP183" s="879">
        <f>AN183*AO183*AP$7</f>
        <v>-3107429.9999999995</v>
      </c>
      <c r="AQ183" s="885">
        <f>$F183</f>
        <v>-306000</v>
      </c>
      <c r="AR183" s="884">
        <f>$G183-0.0686+0.0065</f>
        <v>0.33849999999999997</v>
      </c>
      <c r="AS183" s="879">
        <f>AQ183*AR183*AS$7</f>
        <v>-3211010.9999999995</v>
      </c>
      <c r="AT183" s="879"/>
      <c r="AV183" s="823">
        <f>AS183+AP183+AM183+AJ183+AG183+AD183+AA183+X183+U183+R183+O183+L183</f>
        <v>-43583855.399999999</v>
      </c>
      <c r="AW183" s="910"/>
      <c r="AY183" s="910"/>
      <c r="BB183" s="910"/>
    </row>
    <row r="184" spans="1:56" x14ac:dyDescent="0.2">
      <c r="A184" s="175">
        <v>8255</v>
      </c>
      <c r="B184" s="175" t="s">
        <v>545</v>
      </c>
      <c r="C184">
        <v>2002</v>
      </c>
      <c r="D184" s="579" t="s">
        <v>546</v>
      </c>
      <c r="E184" s="181">
        <v>38656</v>
      </c>
      <c r="F184" s="733">
        <v>306000</v>
      </c>
      <c r="G184" s="170">
        <f>0.3232+0.0057+0.002</f>
        <v>0.33089999999999997</v>
      </c>
      <c r="H184" s="565">
        <v>3.32E-2</v>
      </c>
      <c r="I184" s="884">
        <f>SUM(G184:H184)</f>
        <v>0.36409999999999998</v>
      </c>
      <c r="J184" s="885">
        <f>$F184</f>
        <v>306000</v>
      </c>
      <c r="K184" s="884">
        <f>$G184</f>
        <v>0.33089999999999997</v>
      </c>
      <c r="L184" s="879">
        <f>J184*K184*L$7</f>
        <v>3138917.4</v>
      </c>
      <c r="M184" s="885">
        <f>$F184</f>
        <v>306000</v>
      </c>
      <c r="N184" s="884">
        <f>$G184</f>
        <v>0.33089999999999997</v>
      </c>
      <c r="O184" s="879">
        <f>M184*N184*O$7</f>
        <v>2835151.1999999997</v>
      </c>
      <c r="P184" s="885">
        <f>$F184</f>
        <v>306000</v>
      </c>
      <c r="Q184" s="884">
        <f>$G184</f>
        <v>0.33089999999999997</v>
      </c>
      <c r="R184" s="879">
        <f>P184*Q184*R$7</f>
        <v>3138917.4</v>
      </c>
      <c r="S184" s="885">
        <f>$F184</f>
        <v>306000</v>
      </c>
      <c r="T184" s="884">
        <f>$G184</f>
        <v>0.33089999999999997</v>
      </c>
      <c r="U184" s="879">
        <f>S184*T184*U$7</f>
        <v>3037662</v>
      </c>
      <c r="V184" s="885">
        <f>$F184</f>
        <v>306000</v>
      </c>
      <c r="W184" s="884">
        <f>$G184</f>
        <v>0.33089999999999997</v>
      </c>
      <c r="X184" s="879">
        <f>V184*W184*X$7</f>
        <v>3138917.4</v>
      </c>
      <c r="Y184" s="885">
        <f>$F184</f>
        <v>306000</v>
      </c>
      <c r="Z184" s="884">
        <f>$G184</f>
        <v>0.33089999999999997</v>
      </c>
      <c r="AA184" s="879">
        <f>Y184*Z184*AA$7</f>
        <v>3037662</v>
      </c>
      <c r="AB184" s="885">
        <f>$F184</f>
        <v>306000</v>
      </c>
      <c r="AC184" s="884">
        <f>$G184</f>
        <v>0.33089999999999997</v>
      </c>
      <c r="AD184" s="879">
        <f>AB184*AC184*AD$7</f>
        <v>3138917.4</v>
      </c>
      <c r="AE184" s="885">
        <f>$F184</f>
        <v>306000</v>
      </c>
      <c r="AF184" s="884">
        <f>$G184</f>
        <v>0.33089999999999997</v>
      </c>
      <c r="AG184" s="879">
        <f>AE184*AF184*AG$7</f>
        <v>3138917.4</v>
      </c>
      <c r="AH184" s="885">
        <f>$F184</f>
        <v>306000</v>
      </c>
      <c r="AI184" s="884">
        <f>$G184</f>
        <v>0.33089999999999997</v>
      </c>
      <c r="AJ184" s="879">
        <f>AH184*AI184*AJ$7</f>
        <v>3037662</v>
      </c>
      <c r="AK184" s="885">
        <f>$F184</f>
        <v>306000</v>
      </c>
      <c r="AL184" s="884">
        <f>$G184</f>
        <v>0.33089999999999997</v>
      </c>
      <c r="AM184" s="879">
        <f>AK184*AL184*AM$7</f>
        <v>3138917.4</v>
      </c>
      <c r="AN184" s="885">
        <f>$F184</f>
        <v>306000</v>
      </c>
      <c r="AO184" s="884">
        <f>$G184</f>
        <v>0.33089999999999997</v>
      </c>
      <c r="AP184" s="879">
        <f>AN184*AO184*AP$7</f>
        <v>3037662</v>
      </c>
      <c r="AQ184" s="885">
        <f>$F184</f>
        <v>306000</v>
      </c>
      <c r="AR184" s="884">
        <f>$G184</f>
        <v>0.33089999999999997</v>
      </c>
      <c r="AS184" s="879">
        <f>AQ184*AR184*AS$7</f>
        <v>3138917.4</v>
      </c>
      <c r="AT184" s="879"/>
      <c r="AV184" s="823">
        <f>AS184+AP184+AM184+AJ184+AG184+AD184+AA184+X184+U184+R184+O184+L184</f>
        <v>36958221</v>
      </c>
      <c r="AW184" s="910"/>
      <c r="AY184" s="910"/>
      <c r="AZ184" s="33"/>
      <c r="BA184" s="33"/>
      <c r="BB184" s="910"/>
      <c r="BC184" s="33"/>
    </row>
    <row r="185" spans="1:56" s="11" customFormat="1" x14ac:dyDescent="0.2">
      <c r="A185" s="617">
        <v>8255</v>
      </c>
      <c r="B185" s="617" t="s">
        <v>285</v>
      </c>
      <c r="C185" s="11">
        <v>2002</v>
      </c>
      <c r="D185" s="529"/>
      <c r="E185" s="913" t="s">
        <v>655</v>
      </c>
      <c r="F185" s="934">
        <v>306000</v>
      </c>
      <c r="G185" s="911">
        <f>0.3297-0.3232</f>
        <v>6.5000000000000058E-3</v>
      </c>
      <c r="H185" s="1117" t="s">
        <v>647</v>
      </c>
      <c r="I185" s="1117"/>
      <c r="J185" s="885">
        <v>0</v>
      </c>
      <c r="K185" s="909">
        <v>0</v>
      </c>
      <c r="L185" s="891">
        <v>61659</v>
      </c>
      <c r="M185" s="885">
        <v>0</v>
      </c>
      <c r="N185" s="909">
        <v>0</v>
      </c>
      <c r="O185" s="891">
        <v>55692</v>
      </c>
      <c r="P185" s="885">
        <v>0</v>
      </c>
      <c r="Q185" s="909">
        <v>0</v>
      </c>
      <c r="R185" s="891">
        <v>61659</v>
      </c>
      <c r="S185" s="885">
        <v>0</v>
      </c>
      <c r="T185" s="909">
        <v>0</v>
      </c>
      <c r="U185" s="891">
        <v>59670</v>
      </c>
      <c r="V185" s="885">
        <v>0</v>
      </c>
      <c r="W185" s="909">
        <v>0</v>
      </c>
      <c r="X185" s="891">
        <v>61659</v>
      </c>
      <c r="Y185" s="885">
        <v>0</v>
      </c>
      <c r="Z185" s="909">
        <v>0</v>
      </c>
      <c r="AA185" s="891">
        <v>59670</v>
      </c>
      <c r="AB185" s="885">
        <v>0</v>
      </c>
      <c r="AC185" s="909">
        <v>0</v>
      </c>
      <c r="AD185" s="891">
        <v>61659</v>
      </c>
      <c r="AE185" s="885">
        <v>0</v>
      </c>
      <c r="AF185" s="909">
        <v>0</v>
      </c>
      <c r="AG185" s="891">
        <v>61659</v>
      </c>
      <c r="AH185" s="885">
        <v>0</v>
      </c>
      <c r="AI185" s="909">
        <v>0</v>
      </c>
      <c r="AJ185" s="891">
        <v>59670</v>
      </c>
      <c r="AK185" s="885">
        <v>0</v>
      </c>
      <c r="AL185" s="909">
        <v>0</v>
      </c>
      <c r="AM185" s="891">
        <v>61659</v>
      </c>
      <c r="AN185" s="885">
        <v>0</v>
      </c>
      <c r="AO185" s="909">
        <v>0</v>
      </c>
      <c r="AP185" s="891">
        <v>121176</v>
      </c>
      <c r="AQ185" s="885">
        <v>0</v>
      </c>
      <c r="AR185" s="909">
        <v>0</v>
      </c>
      <c r="AS185" s="891">
        <v>125215</v>
      </c>
      <c r="AT185" s="891"/>
      <c r="AU185" s="915"/>
      <c r="AV185" s="823">
        <f>AS185+AP185+AM185+AJ185+AG185+AD185+AA185+X185+U185+R185+O185+L185</f>
        <v>851047</v>
      </c>
      <c r="AW185" s="910"/>
      <c r="AX185" s="823">
        <f>SUM(AV183:AV185)</f>
        <v>-5774587.3999999985</v>
      </c>
      <c r="AY185" s="910"/>
      <c r="AZ185" s="823">
        <f>(306000*304*0.0065)+(306000*61*0.0067)-(306000*365*0.0001)</f>
        <v>718549.2</v>
      </c>
      <c r="BA185" s="823">
        <f>306000*304*-0.0686</f>
        <v>-6381446.3999999994</v>
      </c>
      <c r="BB185" s="910"/>
      <c r="BC185" s="823">
        <f>306000*365*-0.001</f>
        <v>-111690</v>
      </c>
    </row>
    <row r="186" spans="1:56" x14ac:dyDescent="0.2">
      <c r="A186" s="933"/>
      <c r="B186" s="925"/>
      <c r="D186" s="5"/>
      <c r="E186" s="926"/>
      <c r="F186" s="929"/>
      <c r="G186" s="883"/>
      <c r="H186" s="29"/>
      <c r="I186" s="884"/>
      <c r="J186" s="885"/>
      <c r="K186" s="884"/>
      <c r="L186" s="879"/>
      <c r="M186" s="885"/>
      <c r="N186" s="884"/>
      <c r="O186" s="879"/>
      <c r="P186" s="885"/>
      <c r="Q186" s="884"/>
      <c r="R186" s="879"/>
      <c r="S186" s="885"/>
      <c r="T186" s="884"/>
      <c r="U186" s="879"/>
      <c r="V186" s="885"/>
      <c r="W186" s="884"/>
      <c r="X186" s="879"/>
      <c r="Y186" s="885"/>
      <c r="Z186" s="884"/>
      <c r="AA186" s="879"/>
      <c r="AB186" s="885"/>
      <c r="AC186" s="884"/>
      <c r="AD186" s="879"/>
      <c r="AE186" s="885"/>
      <c r="AF186" s="884"/>
      <c r="AG186" s="879"/>
      <c r="AH186" s="885"/>
      <c r="AI186" s="884"/>
      <c r="AJ186" s="879"/>
      <c r="AK186" s="885"/>
      <c r="AL186" s="884"/>
      <c r="AM186" s="879"/>
      <c r="AN186" s="885"/>
      <c r="AO186" s="884"/>
      <c r="AP186" s="879"/>
      <c r="AQ186" s="885"/>
      <c r="AR186" s="884"/>
      <c r="AS186" s="879"/>
      <c r="AT186" s="879"/>
      <c r="AV186" s="33"/>
      <c r="AW186" s="886"/>
      <c r="AY186" s="886"/>
      <c r="BB186" s="886"/>
    </row>
    <row r="187" spans="1:56" x14ac:dyDescent="0.2">
      <c r="A187" s="933">
        <v>25841</v>
      </c>
      <c r="B187" s="925" t="s">
        <v>286</v>
      </c>
      <c r="C187">
        <v>2001</v>
      </c>
      <c r="D187" s="816">
        <v>36557</v>
      </c>
      <c r="E187" s="926">
        <v>37560</v>
      </c>
      <c r="F187" s="929">
        <v>-40000</v>
      </c>
      <c r="G187" s="883">
        <v>8.2900000000000001E-2</v>
      </c>
      <c r="H187" s="29">
        <v>2.46E-2</v>
      </c>
      <c r="I187" s="884">
        <f>SUM(G187:H187)</f>
        <v>0.1075</v>
      </c>
      <c r="J187" s="885">
        <f>$F187</f>
        <v>-40000</v>
      </c>
      <c r="K187" s="884">
        <f>$G187</f>
        <v>8.2900000000000001E-2</v>
      </c>
      <c r="L187" s="879">
        <f>J187*K187*L$7</f>
        <v>-102796</v>
      </c>
      <c r="M187" s="885">
        <f>$F187</f>
        <v>-40000</v>
      </c>
      <c r="N187" s="884">
        <f>$G187</f>
        <v>8.2900000000000001E-2</v>
      </c>
      <c r="O187" s="879">
        <f>M187*N187*O$7</f>
        <v>-92848</v>
      </c>
      <c r="P187" s="885">
        <f>$F187</f>
        <v>-40000</v>
      </c>
      <c r="Q187" s="884">
        <f>$G187</f>
        <v>8.2900000000000001E-2</v>
      </c>
      <c r="R187" s="879">
        <f>P187*Q187*R$7</f>
        <v>-102796</v>
      </c>
      <c r="S187" s="885">
        <f>$F187</f>
        <v>-40000</v>
      </c>
      <c r="T187" s="884">
        <f>$G187</f>
        <v>8.2900000000000001E-2</v>
      </c>
      <c r="U187" s="879">
        <f>S187*T187*U$7</f>
        <v>-99480</v>
      </c>
      <c r="V187" s="885">
        <f>$F187</f>
        <v>-40000</v>
      </c>
      <c r="W187" s="884">
        <f>$G187</f>
        <v>8.2900000000000001E-2</v>
      </c>
      <c r="X187" s="879">
        <f>V187*W187*X$7</f>
        <v>-102796</v>
      </c>
      <c r="Y187" s="885">
        <f>$F187</f>
        <v>-40000</v>
      </c>
      <c r="Z187" s="884">
        <f>$G187</f>
        <v>8.2900000000000001E-2</v>
      </c>
      <c r="AA187" s="879">
        <f>Y187*Z187*AA$7</f>
        <v>-99480</v>
      </c>
      <c r="AB187" s="885">
        <f>$F187</f>
        <v>-40000</v>
      </c>
      <c r="AC187" s="884">
        <f>$G187</f>
        <v>8.2900000000000001E-2</v>
      </c>
      <c r="AD187" s="879">
        <f>AB187*AC187*AD$7</f>
        <v>-102796</v>
      </c>
      <c r="AE187" s="885">
        <f>$F187</f>
        <v>-40000</v>
      </c>
      <c r="AF187" s="884">
        <f>$G187</f>
        <v>8.2900000000000001E-2</v>
      </c>
      <c r="AG187" s="879">
        <f>AE187*AF187*AG$7</f>
        <v>-102796</v>
      </c>
      <c r="AH187" s="885">
        <f>$F187</f>
        <v>-40000</v>
      </c>
      <c r="AI187" s="884">
        <f>$G187</f>
        <v>8.2900000000000001E-2</v>
      </c>
      <c r="AJ187" s="879">
        <f>AH187*AI187*AJ$7</f>
        <v>-99480</v>
      </c>
      <c r="AK187" s="885">
        <f>$F187</f>
        <v>-40000</v>
      </c>
      <c r="AL187" s="884">
        <f>$G187</f>
        <v>8.2900000000000001E-2</v>
      </c>
      <c r="AM187" s="879">
        <f>AK187*AL187*AM$7</f>
        <v>-102796</v>
      </c>
      <c r="AN187" s="885">
        <f>$F187</f>
        <v>-40000</v>
      </c>
      <c r="AO187" s="884">
        <f>$G187</f>
        <v>8.2900000000000001E-2</v>
      </c>
      <c r="AP187" s="879">
        <f>AN187*AO187*AP$7</f>
        <v>-99480</v>
      </c>
      <c r="AQ187" s="885">
        <f>$F187</f>
        <v>-40000</v>
      </c>
      <c r="AR187" s="884">
        <f>$G187</f>
        <v>8.2900000000000001E-2</v>
      </c>
      <c r="AS187" s="879">
        <f>AQ187*AR187*AS$7</f>
        <v>-102796</v>
      </c>
      <c r="AT187" s="879"/>
      <c r="AV187" s="823">
        <f>AS187+AP187+AM187+AJ187+AG187+AD187+AA187+X187+U187+R187+O187+L187</f>
        <v>-1210340</v>
      </c>
      <c r="AW187" s="910"/>
      <c r="AY187" s="910"/>
      <c r="BB187" s="910"/>
    </row>
    <row r="188" spans="1:56" x14ac:dyDescent="0.2">
      <c r="A188" s="175">
        <v>25841</v>
      </c>
      <c r="B188" s="175" t="s">
        <v>286</v>
      </c>
      <c r="C188">
        <v>2002</v>
      </c>
      <c r="D188" s="181">
        <v>36557</v>
      </c>
      <c r="E188" s="181">
        <v>37560</v>
      </c>
      <c r="F188" s="182">
        <v>40000</v>
      </c>
      <c r="G188" s="170">
        <v>8.2900000000000001E-2</v>
      </c>
      <c r="H188" s="170">
        <v>2.46E-2</v>
      </c>
      <c r="I188" s="884">
        <f>SUM(G188:H188)</f>
        <v>0.1075</v>
      </c>
      <c r="J188" s="885">
        <f>$F188</f>
        <v>40000</v>
      </c>
      <c r="K188" s="884">
        <f>$G188</f>
        <v>8.2900000000000001E-2</v>
      </c>
      <c r="L188" s="879">
        <f>J188*K188*L$7</f>
        <v>102796</v>
      </c>
      <c r="M188" s="885">
        <f>$F188</f>
        <v>40000</v>
      </c>
      <c r="N188" s="884">
        <f>$G188</f>
        <v>8.2900000000000001E-2</v>
      </c>
      <c r="O188" s="879">
        <f>M188*N188*O$7</f>
        <v>92848</v>
      </c>
      <c r="P188" s="885">
        <f>$F188</f>
        <v>40000</v>
      </c>
      <c r="Q188" s="884">
        <f>$G188</f>
        <v>8.2900000000000001E-2</v>
      </c>
      <c r="R188" s="879">
        <f>P188*Q188*R$7</f>
        <v>102796</v>
      </c>
      <c r="S188" s="885">
        <f>$F188</f>
        <v>40000</v>
      </c>
      <c r="T188" s="884">
        <f>$G188</f>
        <v>8.2900000000000001E-2</v>
      </c>
      <c r="U188" s="879">
        <f>S188*T188*U$7</f>
        <v>99480</v>
      </c>
      <c r="V188" s="885">
        <f>$F188</f>
        <v>40000</v>
      </c>
      <c r="W188" s="884">
        <f>$G188</f>
        <v>8.2900000000000001E-2</v>
      </c>
      <c r="X188" s="879">
        <f>V188*W188*X$7</f>
        <v>102796</v>
      </c>
      <c r="Y188" s="885">
        <f>$F188</f>
        <v>40000</v>
      </c>
      <c r="Z188" s="884">
        <f>$G188</f>
        <v>8.2900000000000001E-2</v>
      </c>
      <c r="AA188" s="879">
        <f>Y188*Z188*AA$7</f>
        <v>99480</v>
      </c>
      <c r="AB188" s="885">
        <f>$F188</f>
        <v>40000</v>
      </c>
      <c r="AC188" s="884">
        <f>$G188</f>
        <v>8.2900000000000001E-2</v>
      </c>
      <c r="AD188" s="879">
        <f>AB188*AC188*AD$7</f>
        <v>102796</v>
      </c>
      <c r="AE188" s="885">
        <f>$F188</f>
        <v>40000</v>
      </c>
      <c r="AF188" s="884">
        <f>$G188</f>
        <v>8.2900000000000001E-2</v>
      </c>
      <c r="AG188" s="879">
        <f>AE188*AF188*AG$7</f>
        <v>102796</v>
      </c>
      <c r="AH188" s="885">
        <f>$F188</f>
        <v>40000</v>
      </c>
      <c r="AI188" s="884">
        <f>$G188</f>
        <v>8.2900000000000001E-2</v>
      </c>
      <c r="AJ188" s="879">
        <f>AH188*AI188*AJ$7</f>
        <v>99480</v>
      </c>
      <c r="AK188" s="885">
        <f>$F188</f>
        <v>40000</v>
      </c>
      <c r="AL188" s="884">
        <f>$G188</f>
        <v>8.2900000000000001E-2</v>
      </c>
      <c r="AM188" s="879">
        <f>AK188*AL188*AM$7</f>
        <v>102796</v>
      </c>
      <c r="AN188" s="885">
        <v>0</v>
      </c>
      <c r="AO188" s="884">
        <f>$G188</f>
        <v>8.2900000000000001E-2</v>
      </c>
      <c r="AP188" s="879">
        <f>AN188*AO188*AP$7</f>
        <v>0</v>
      </c>
      <c r="AQ188" s="885">
        <v>0</v>
      </c>
      <c r="AR188" s="884">
        <f>$G188</f>
        <v>8.2900000000000001E-2</v>
      </c>
      <c r="AS188" s="879">
        <f>AQ188*AR188*AS$7</f>
        <v>0</v>
      </c>
      <c r="AT188" s="879"/>
      <c r="AV188" s="823">
        <f>AS188+AP188+AM188+AJ188+AG188+AD188+AA188+X188+U188+R188+O188+L188</f>
        <v>1008064</v>
      </c>
      <c r="AW188" s="910"/>
      <c r="AY188" s="910"/>
      <c r="BB188" s="910"/>
    </row>
    <row r="189" spans="1:56" s="11" customFormat="1" x14ac:dyDescent="0.2">
      <c r="A189" s="617">
        <v>25841</v>
      </c>
      <c r="B189" s="617" t="s">
        <v>628</v>
      </c>
      <c r="C189" s="11">
        <v>2002</v>
      </c>
      <c r="D189" s="913">
        <v>37561</v>
      </c>
      <c r="E189" s="913">
        <v>37621</v>
      </c>
      <c r="F189" s="934">
        <v>40000</v>
      </c>
      <c r="G189" s="170">
        <v>0.14000000000000001</v>
      </c>
      <c r="H189" s="170">
        <v>2.46E-2</v>
      </c>
      <c r="I189" s="884">
        <f>SUM(G189:H189)</f>
        <v>0.16460000000000002</v>
      </c>
      <c r="J189" s="878">
        <v>0</v>
      </c>
      <c r="K189" s="909">
        <v>0</v>
      </c>
      <c r="L189" s="891">
        <v>0</v>
      </c>
      <c r="M189" s="878">
        <v>0</v>
      </c>
      <c r="N189" s="909">
        <v>0</v>
      </c>
      <c r="O189" s="891">
        <v>0</v>
      </c>
      <c r="P189" s="878">
        <v>0</v>
      </c>
      <c r="Q189" s="909">
        <v>0</v>
      </c>
      <c r="R189" s="891">
        <v>0</v>
      </c>
      <c r="S189" s="878">
        <v>0</v>
      </c>
      <c r="T189" s="909">
        <v>0</v>
      </c>
      <c r="U189" s="891">
        <v>0</v>
      </c>
      <c r="V189" s="878">
        <v>0</v>
      </c>
      <c r="W189" s="909">
        <v>0</v>
      </c>
      <c r="X189" s="891">
        <v>0</v>
      </c>
      <c r="Y189" s="878">
        <v>0</v>
      </c>
      <c r="Z189" s="909">
        <v>0</v>
      </c>
      <c r="AA189" s="891">
        <v>0</v>
      </c>
      <c r="AB189" s="878">
        <v>0</v>
      </c>
      <c r="AC189" s="909">
        <v>0</v>
      </c>
      <c r="AD189" s="891">
        <v>0</v>
      </c>
      <c r="AE189" s="878">
        <v>0</v>
      </c>
      <c r="AF189" s="909">
        <v>0</v>
      </c>
      <c r="AG189" s="891">
        <v>0</v>
      </c>
      <c r="AH189" s="878">
        <v>0</v>
      </c>
      <c r="AI189" s="909">
        <v>0</v>
      </c>
      <c r="AJ189" s="891">
        <v>0</v>
      </c>
      <c r="AK189" s="878">
        <v>0</v>
      </c>
      <c r="AL189" s="909">
        <v>0</v>
      </c>
      <c r="AM189" s="891">
        <v>0</v>
      </c>
      <c r="AN189" s="878">
        <v>40000</v>
      </c>
      <c r="AO189" s="884">
        <f>$G189</f>
        <v>0.14000000000000001</v>
      </c>
      <c r="AP189" s="879">
        <f>AN189*AO189*AP$7</f>
        <v>168000.00000000003</v>
      </c>
      <c r="AQ189" s="878">
        <v>40000</v>
      </c>
      <c r="AR189" s="884">
        <f>$G189</f>
        <v>0.14000000000000001</v>
      </c>
      <c r="AS189" s="879">
        <f>AQ189*AR189*AS$7</f>
        <v>173600.00000000003</v>
      </c>
      <c r="AT189" s="891"/>
      <c r="AV189" s="823">
        <f>AS189+AP189+AM189+AJ189+AG189+AD189+AA189+X189+U189+R189+O189+L189</f>
        <v>341600.00000000006</v>
      </c>
      <c r="AW189" s="910"/>
      <c r="AX189" s="823">
        <f>SUM(AV187:AV189)</f>
        <v>139324.00000000006</v>
      </c>
      <c r="AY189" s="910"/>
      <c r="BB189" s="910"/>
    </row>
    <row r="190" spans="1:56" x14ac:dyDescent="0.2">
      <c r="AW190" s="389"/>
      <c r="AY190" s="389"/>
      <c r="BB190" s="389"/>
    </row>
    <row r="191" spans="1:56" x14ac:dyDescent="0.2">
      <c r="A191" s="933">
        <v>26511</v>
      </c>
      <c r="B191" s="925" t="s">
        <v>286</v>
      </c>
      <c r="C191">
        <v>2001</v>
      </c>
      <c r="D191" s="816">
        <v>36465</v>
      </c>
      <c r="E191" s="926">
        <v>37560</v>
      </c>
      <c r="F191" s="929">
        <v>-21000</v>
      </c>
      <c r="G191" s="883">
        <v>8.2900000000000001E-2</v>
      </c>
      <c r="H191" s="29">
        <v>2.46E-2</v>
      </c>
      <c r="I191" s="884">
        <f>SUM(G191:H191)</f>
        <v>0.1075</v>
      </c>
      <c r="J191" s="885">
        <f>$F191</f>
        <v>-21000</v>
      </c>
      <c r="K191" s="884">
        <f>$G191</f>
        <v>8.2900000000000001E-2</v>
      </c>
      <c r="L191" s="879">
        <f>J191*K191*L$7</f>
        <v>-53967.9</v>
      </c>
      <c r="M191" s="885">
        <f>$F191</f>
        <v>-21000</v>
      </c>
      <c r="N191" s="884">
        <f>$G191</f>
        <v>8.2900000000000001E-2</v>
      </c>
      <c r="O191" s="879">
        <f>M191*N191*O$7</f>
        <v>-48745.200000000004</v>
      </c>
      <c r="P191" s="885">
        <f>$F191</f>
        <v>-21000</v>
      </c>
      <c r="Q191" s="884">
        <f>$G191</f>
        <v>8.2900000000000001E-2</v>
      </c>
      <c r="R191" s="879">
        <f>P191*Q191*R$7</f>
        <v>-53967.9</v>
      </c>
      <c r="S191" s="885">
        <f>$F191</f>
        <v>-21000</v>
      </c>
      <c r="T191" s="884">
        <f>$G191</f>
        <v>8.2900000000000001E-2</v>
      </c>
      <c r="U191" s="879">
        <f>S191*T191*U$7</f>
        <v>-52227</v>
      </c>
      <c r="V191" s="885">
        <f>$F191</f>
        <v>-21000</v>
      </c>
      <c r="W191" s="884">
        <f>$G191</f>
        <v>8.2900000000000001E-2</v>
      </c>
      <c r="X191" s="879">
        <f>V191*W191*X$7</f>
        <v>-53967.9</v>
      </c>
      <c r="Y191" s="885">
        <f>$F191</f>
        <v>-21000</v>
      </c>
      <c r="Z191" s="884">
        <f>$G191</f>
        <v>8.2900000000000001E-2</v>
      </c>
      <c r="AA191" s="879">
        <f>Y191*Z191*AA$7</f>
        <v>-52227</v>
      </c>
      <c r="AB191" s="885">
        <f>$F191</f>
        <v>-21000</v>
      </c>
      <c r="AC191" s="884">
        <f>$G191</f>
        <v>8.2900000000000001E-2</v>
      </c>
      <c r="AD191" s="879">
        <f>AB191*AC191*AD$7</f>
        <v>-53967.9</v>
      </c>
      <c r="AE191" s="885">
        <f>$F191</f>
        <v>-21000</v>
      </c>
      <c r="AF191" s="884">
        <f>$G191</f>
        <v>8.2900000000000001E-2</v>
      </c>
      <c r="AG191" s="879">
        <f>AE191*AF191*AG$7</f>
        <v>-53967.9</v>
      </c>
      <c r="AH191" s="885">
        <f>$F191</f>
        <v>-21000</v>
      </c>
      <c r="AI191" s="884">
        <f>$G191</f>
        <v>8.2900000000000001E-2</v>
      </c>
      <c r="AJ191" s="879">
        <f>AH191*AI191*AJ$7</f>
        <v>-52227</v>
      </c>
      <c r="AK191" s="885">
        <f>$F191</f>
        <v>-21000</v>
      </c>
      <c r="AL191" s="884">
        <f>$G191</f>
        <v>8.2900000000000001E-2</v>
      </c>
      <c r="AM191" s="879">
        <f>AK191*AL191*AM$7</f>
        <v>-53967.9</v>
      </c>
      <c r="AN191" s="885">
        <f>$F191</f>
        <v>-21000</v>
      </c>
      <c r="AO191" s="884">
        <f>$G191</f>
        <v>8.2900000000000001E-2</v>
      </c>
      <c r="AP191" s="879">
        <f>AN191*AO191*AP$7</f>
        <v>-52227</v>
      </c>
      <c r="AQ191" s="885">
        <f>$F191</f>
        <v>-21000</v>
      </c>
      <c r="AR191" s="884">
        <f>$G191</f>
        <v>8.2900000000000001E-2</v>
      </c>
      <c r="AS191" s="879">
        <f>AQ191*AR191*AS$7</f>
        <v>-53967.9</v>
      </c>
      <c r="AT191" s="879"/>
      <c r="AV191" s="823">
        <f>AS191+AP191+AM191+AJ191+AG191+AD191+AA191+X191+U191+R191+O191+L191</f>
        <v>-635428.5</v>
      </c>
      <c r="AW191" s="910"/>
      <c r="AY191" s="910"/>
      <c r="BB191" s="910"/>
    </row>
    <row r="192" spans="1:56" x14ac:dyDescent="0.2">
      <c r="A192" s="175">
        <v>26511</v>
      </c>
      <c r="B192" s="175" t="s">
        <v>286</v>
      </c>
      <c r="C192">
        <v>2002</v>
      </c>
      <c r="D192" s="181">
        <v>36465</v>
      </c>
      <c r="E192" s="181">
        <v>37560</v>
      </c>
      <c r="F192" s="182">
        <v>21000</v>
      </c>
      <c r="G192" s="170">
        <v>8.2900000000000001E-2</v>
      </c>
      <c r="H192" s="170">
        <v>2.46E-2</v>
      </c>
      <c r="I192" s="884">
        <f>SUM(G192:H192)</f>
        <v>0.1075</v>
      </c>
      <c r="J192" s="885">
        <f>$F192</f>
        <v>21000</v>
      </c>
      <c r="K192" s="884">
        <f>$G192</f>
        <v>8.2900000000000001E-2</v>
      </c>
      <c r="L192" s="879">
        <f>J192*K192*L$7</f>
        <v>53967.9</v>
      </c>
      <c r="M192" s="885">
        <f>$F192</f>
        <v>21000</v>
      </c>
      <c r="N192" s="884">
        <f>$G192</f>
        <v>8.2900000000000001E-2</v>
      </c>
      <c r="O192" s="879">
        <f>M192*N192*O$7</f>
        <v>48745.200000000004</v>
      </c>
      <c r="P192" s="885">
        <f>$F192</f>
        <v>21000</v>
      </c>
      <c r="Q192" s="884">
        <f>$G192</f>
        <v>8.2900000000000001E-2</v>
      </c>
      <c r="R192" s="879">
        <f>P192*Q192*R$7</f>
        <v>53967.9</v>
      </c>
      <c r="S192" s="885">
        <f>$F192</f>
        <v>21000</v>
      </c>
      <c r="T192" s="884">
        <f>$G192</f>
        <v>8.2900000000000001E-2</v>
      </c>
      <c r="U192" s="879">
        <f>S192*T192*U$7</f>
        <v>52227</v>
      </c>
      <c r="V192" s="885">
        <f>$F192</f>
        <v>21000</v>
      </c>
      <c r="W192" s="884">
        <f>$G192</f>
        <v>8.2900000000000001E-2</v>
      </c>
      <c r="X192" s="879">
        <f>V192*W192*X$7</f>
        <v>53967.9</v>
      </c>
      <c r="Y192" s="885">
        <f>$F192</f>
        <v>21000</v>
      </c>
      <c r="Z192" s="884">
        <f>$G192</f>
        <v>8.2900000000000001E-2</v>
      </c>
      <c r="AA192" s="879">
        <f>Y192*Z192*AA$7</f>
        <v>52227</v>
      </c>
      <c r="AB192" s="885">
        <f>$F192</f>
        <v>21000</v>
      </c>
      <c r="AC192" s="884">
        <f>$G192</f>
        <v>8.2900000000000001E-2</v>
      </c>
      <c r="AD192" s="879">
        <f>AB192*AC192*AD$7</f>
        <v>53967.9</v>
      </c>
      <c r="AE192" s="885">
        <f>$F192</f>
        <v>21000</v>
      </c>
      <c r="AF192" s="884">
        <f>$G192</f>
        <v>8.2900000000000001E-2</v>
      </c>
      <c r="AG192" s="879">
        <f>AE192*AF192*AG$7</f>
        <v>53967.9</v>
      </c>
      <c r="AH192" s="885">
        <f>$F192</f>
        <v>21000</v>
      </c>
      <c r="AI192" s="884">
        <f>$G192</f>
        <v>8.2900000000000001E-2</v>
      </c>
      <c r="AJ192" s="879">
        <f>AH192*AI192*AJ$7</f>
        <v>52227</v>
      </c>
      <c r="AK192" s="885">
        <f>$F192</f>
        <v>21000</v>
      </c>
      <c r="AL192" s="884">
        <f>$G192</f>
        <v>8.2900000000000001E-2</v>
      </c>
      <c r="AM192" s="879">
        <f>AK192*AL192*AM$7</f>
        <v>53967.9</v>
      </c>
      <c r="AN192" s="885">
        <v>0</v>
      </c>
      <c r="AO192" s="884">
        <f>$G192</f>
        <v>8.2900000000000001E-2</v>
      </c>
      <c r="AP192" s="879">
        <f>AN192*AO192*AP$7</f>
        <v>0</v>
      </c>
      <c r="AQ192" s="885">
        <v>0</v>
      </c>
      <c r="AR192" s="884">
        <f>$G192</f>
        <v>8.2900000000000001E-2</v>
      </c>
      <c r="AS192" s="879">
        <f>AQ192*AR192*AS$7</f>
        <v>0</v>
      </c>
      <c r="AT192" s="879"/>
      <c r="AV192" s="823">
        <f>AS192+AP192+AM192+AJ192+AG192+AD192+AA192+X192+U192+R192+O192+L192</f>
        <v>529233.6</v>
      </c>
      <c r="AW192" s="910"/>
      <c r="AY192" s="910"/>
      <c r="BB192" s="910"/>
    </row>
    <row r="193" spans="1:56" s="11" customFormat="1" x14ac:dyDescent="0.2">
      <c r="A193" s="617">
        <v>26511</v>
      </c>
      <c r="B193" s="617" t="s">
        <v>628</v>
      </c>
      <c r="C193" s="11">
        <v>2002</v>
      </c>
      <c r="D193" s="913">
        <v>37561</v>
      </c>
      <c r="E193" s="913">
        <v>37621</v>
      </c>
      <c r="F193" s="934">
        <v>21000</v>
      </c>
      <c r="G193" s="170">
        <v>0.2</v>
      </c>
      <c r="H193" s="170">
        <v>2.46E-2</v>
      </c>
      <c r="I193" s="884">
        <f>SUM(G193:H193)</f>
        <v>0.22460000000000002</v>
      </c>
      <c r="J193" s="878"/>
      <c r="K193" s="909"/>
      <c r="L193" s="891"/>
      <c r="M193" s="878"/>
      <c r="N193" s="909"/>
      <c r="O193" s="891"/>
      <c r="P193" s="878"/>
      <c r="Q193" s="909"/>
      <c r="R193" s="891"/>
      <c r="S193" s="878">
        <v>0</v>
      </c>
      <c r="T193" s="909">
        <v>0</v>
      </c>
      <c r="U193" s="891">
        <v>0</v>
      </c>
      <c r="V193" s="878">
        <v>0</v>
      </c>
      <c r="W193" s="909"/>
      <c r="X193" s="891">
        <v>0</v>
      </c>
      <c r="Y193" s="878">
        <v>0</v>
      </c>
      <c r="Z193" s="909"/>
      <c r="AA193" s="891">
        <v>0</v>
      </c>
      <c r="AB193" s="878">
        <v>0</v>
      </c>
      <c r="AC193" s="909"/>
      <c r="AD193" s="891">
        <v>0</v>
      </c>
      <c r="AE193" s="878">
        <v>0</v>
      </c>
      <c r="AF193" s="909"/>
      <c r="AG193" s="891">
        <v>0</v>
      </c>
      <c r="AH193" s="878">
        <v>0</v>
      </c>
      <c r="AI193" s="909"/>
      <c r="AJ193" s="891">
        <v>0</v>
      </c>
      <c r="AK193" s="878">
        <v>0</v>
      </c>
      <c r="AL193" s="909"/>
      <c r="AM193" s="891">
        <v>0</v>
      </c>
      <c r="AN193" s="878">
        <v>21000</v>
      </c>
      <c r="AO193" s="884">
        <f>$G193</f>
        <v>0.2</v>
      </c>
      <c r="AP193" s="879">
        <f>AN193*AO193*AP$7</f>
        <v>126000</v>
      </c>
      <c r="AQ193" s="878">
        <v>21000</v>
      </c>
      <c r="AR193" s="884">
        <f>$G193</f>
        <v>0.2</v>
      </c>
      <c r="AS193" s="879">
        <f>AQ193*AR193*AS$7</f>
        <v>130200</v>
      </c>
      <c r="AT193" s="891"/>
      <c r="AV193" s="823">
        <f>AS193+AP193+AM193+AJ193+AG193+AD193+AA193+X193+U193+R193+O193+L193</f>
        <v>256200</v>
      </c>
      <c r="AW193" s="910"/>
      <c r="AX193" s="823">
        <f>SUM(AV191:AV193)</f>
        <v>150005.09999999998</v>
      </c>
      <c r="AY193" s="910"/>
      <c r="BB193" s="910"/>
    </row>
    <row r="194" spans="1:56" x14ac:dyDescent="0.2">
      <c r="A194" s="933"/>
      <c r="B194" s="925"/>
      <c r="D194" s="816"/>
      <c r="E194" s="926"/>
      <c r="F194" s="929"/>
      <c r="G194" s="883"/>
      <c r="H194" s="29"/>
      <c r="I194" s="884"/>
      <c r="J194" s="885"/>
      <c r="K194" s="884"/>
      <c r="L194" s="879"/>
      <c r="M194" s="885"/>
      <c r="N194" s="884"/>
      <c r="O194" s="879"/>
      <c r="P194" s="885"/>
      <c r="Q194" s="884"/>
      <c r="R194" s="879"/>
      <c r="S194" s="885"/>
      <c r="T194" s="884"/>
      <c r="U194" s="879"/>
      <c r="V194" s="885"/>
      <c r="W194" s="884"/>
      <c r="X194" s="879"/>
      <c r="Y194" s="885"/>
      <c r="Z194" s="884"/>
      <c r="AA194" s="879"/>
      <c r="AB194" s="885"/>
      <c r="AC194" s="884"/>
      <c r="AD194" s="879"/>
      <c r="AE194" s="885"/>
      <c r="AF194" s="884"/>
      <c r="AG194" s="879"/>
      <c r="AH194" s="885"/>
      <c r="AI194" s="884"/>
      <c r="AJ194" s="879"/>
      <c r="AK194" s="885"/>
      <c r="AL194" s="884"/>
      <c r="AM194" s="879"/>
      <c r="AN194" s="885"/>
      <c r="AO194" s="884"/>
      <c r="AP194" s="879"/>
      <c r="AQ194" s="885"/>
      <c r="AR194" s="884"/>
      <c r="AS194" s="879"/>
      <c r="AT194" s="879"/>
      <c r="AV194" s="33"/>
      <c r="AW194" s="886"/>
      <c r="AY194" s="886"/>
      <c r="BB194" s="886"/>
    </row>
    <row r="195" spans="1:56" x14ac:dyDescent="0.2">
      <c r="A195" s="933">
        <v>26683</v>
      </c>
      <c r="B195" s="925" t="s">
        <v>287</v>
      </c>
      <c r="C195">
        <v>2001</v>
      </c>
      <c r="D195" s="816">
        <v>36220</v>
      </c>
      <c r="E195" s="926">
        <v>36981</v>
      </c>
      <c r="F195" s="932">
        <v>-8000</v>
      </c>
      <c r="G195" s="883">
        <v>0.12740000000000001</v>
      </c>
      <c r="H195" s="29">
        <v>2.46E-2</v>
      </c>
      <c r="I195" s="884">
        <f>SUM(G195:H195)</f>
        <v>0.15200000000000002</v>
      </c>
      <c r="J195" s="885">
        <f>$F195</f>
        <v>-8000</v>
      </c>
      <c r="K195" s="884">
        <f>$G195</f>
        <v>0.12740000000000001</v>
      </c>
      <c r="L195" s="879">
        <f>J195*K195*L$7</f>
        <v>-31595.200000000004</v>
      </c>
      <c r="M195" s="885">
        <f>$F195</f>
        <v>-8000</v>
      </c>
      <c r="N195" s="884">
        <f>$G195</f>
        <v>0.12740000000000001</v>
      </c>
      <c r="O195" s="879">
        <f>M195*N195*O$7</f>
        <v>-28537.600000000006</v>
      </c>
      <c r="P195" s="885">
        <f>$F195</f>
        <v>-8000</v>
      </c>
      <c r="Q195" s="884">
        <f>$G195</f>
        <v>0.12740000000000001</v>
      </c>
      <c r="R195" s="879">
        <f>P195*Q195*R$7</f>
        <v>-31595.200000000004</v>
      </c>
      <c r="S195" s="885">
        <v>0</v>
      </c>
      <c r="T195" s="884">
        <f>$G195</f>
        <v>0.12740000000000001</v>
      </c>
      <c r="U195" s="879">
        <f>S195*T195*U$7</f>
        <v>0</v>
      </c>
      <c r="V195" s="885">
        <v>0</v>
      </c>
      <c r="W195" s="884">
        <f>$G195</f>
        <v>0.12740000000000001</v>
      </c>
      <c r="X195" s="879">
        <f>V195*W195*X$7</f>
        <v>0</v>
      </c>
      <c r="Y195" s="885">
        <v>0</v>
      </c>
      <c r="Z195" s="884">
        <f>$G195</f>
        <v>0.12740000000000001</v>
      </c>
      <c r="AA195" s="879">
        <f>Y195*Z195*AA$7</f>
        <v>0</v>
      </c>
      <c r="AB195" s="885">
        <v>0</v>
      </c>
      <c r="AC195" s="884">
        <f>$G195</f>
        <v>0.12740000000000001</v>
      </c>
      <c r="AD195" s="879">
        <f>AB195*AC195*AD$7</f>
        <v>0</v>
      </c>
      <c r="AE195" s="885">
        <v>0</v>
      </c>
      <c r="AF195" s="884">
        <f>$G195</f>
        <v>0.12740000000000001</v>
      </c>
      <c r="AG195" s="879">
        <f>AE195*AF195*AG$7</f>
        <v>0</v>
      </c>
      <c r="AH195" s="885">
        <v>0</v>
      </c>
      <c r="AI195" s="884">
        <f>$G195</f>
        <v>0.12740000000000001</v>
      </c>
      <c r="AJ195" s="879">
        <f>AH195*AI195*AJ$7</f>
        <v>0</v>
      </c>
      <c r="AK195" s="885">
        <v>0</v>
      </c>
      <c r="AL195" s="884">
        <f>$G195</f>
        <v>0.12740000000000001</v>
      </c>
      <c r="AM195" s="879">
        <f>AK195*AL195*AM$7</f>
        <v>0</v>
      </c>
      <c r="AN195" s="885">
        <v>0</v>
      </c>
      <c r="AO195" s="884">
        <f>$G195</f>
        <v>0.12740000000000001</v>
      </c>
      <c r="AP195" s="879">
        <f>AN195*AO195*AP$7</f>
        <v>0</v>
      </c>
      <c r="AQ195" s="885">
        <v>0</v>
      </c>
      <c r="AR195" s="884">
        <f>$G195</f>
        <v>0.12740000000000001</v>
      </c>
      <c r="AS195" s="879">
        <f>AQ195*AR195*AS$7</f>
        <v>0</v>
      </c>
      <c r="AT195" s="879"/>
      <c r="AV195" s="823">
        <f>AS195+AP195+AM195+AJ195+AG195+AD195+AA195+X195+U195+R195+O195+L195</f>
        <v>-91728.000000000015</v>
      </c>
      <c r="AW195" s="910"/>
      <c r="AY195" s="910"/>
      <c r="BB195" s="910"/>
    </row>
    <row r="196" spans="1:56" x14ac:dyDescent="0.2">
      <c r="A196" s="169">
        <v>26683</v>
      </c>
      <c r="B196" s="928" t="s">
        <v>287</v>
      </c>
      <c r="C196">
        <v>2001</v>
      </c>
      <c r="D196" s="928" t="s">
        <v>303</v>
      </c>
      <c r="E196" s="931"/>
      <c r="F196" s="935">
        <v>-8000</v>
      </c>
      <c r="G196" s="890">
        <v>0.12540000000000001</v>
      </c>
      <c r="H196" s="48">
        <v>2.46E-2</v>
      </c>
      <c r="I196" s="884">
        <f>SUM(G196:H196)</f>
        <v>0.15000000000000002</v>
      </c>
      <c r="J196" s="885">
        <v>0</v>
      </c>
      <c r="K196" s="884">
        <f>$G196</f>
        <v>0.12540000000000001</v>
      </c>
      <c r="L196" s="879">
        <f>J196*K196*L$7</f>
        <v>0</v>
      </c>
      <c r="M196" s="885">
        <v>0</v>
      </c>
      <c r="N196" s="884">
        <f>$G196</f>
        <v>0.12540000000000001</v>
      </c>
      <c r="O196" s="879">
        <f>M196*N196*O$7</f>
        <v>0</v>
      </c>
      <c r="P196" s="885">
        <v>0</v>
      </c>
      <c r="Q196" s="884">
        <f>$G196</f>
        <v>0.12540000000000001</v>
      </c>
      <c r="R196" s="879">
        <f>P196*Q196*R$7</f>
        <v>0</v>
      </c>
      <c r="S196" s="885">
        <f>$F196</f>
        <v>-8000</v>
      </c>
      <c r="T196" s="884">
        <f>$G196</f>
        <v>0.12540000000000001</v>
      </c>
      <c r="U196" s="879">
        <f>S196*T196*U$7</f>
        <v>-30096</v>
      </c>
      <c r="V196" s="885">
        <f>$F196</f>
        <v>-8000</v>
      </c>
      <c r="W196" s="884">
        <f>$G196</f>
        <v>0.12540000000000001</v>
      </c>
      <c r="X196" s="879">
        <f>V196*W196*X$7</f>
        <v>-31099.200000000001</v>
      </c>
      <c r="Y196" s="885">
        <f>$F196</f>
        <v>-8000</v>
      </c>
      <c r="Z196" s="884">
        <f>$G196</f>
        <v>0.12540000000000001</v>
      </c>
      <c r="AA196" s="879">
        <f>Y196*Z196*AA$7</f>
        <v>-30096</v>
      </c>
      <c r="AB196" s="885">
        <f>$F196</f>
        <v>-8000</v>
      </c>
      <c r="AC196" s="884">
        <f>$G196</f>
        <v>0.12540000000000001</v>
      </c>
      <c r="AD196" s="879">
        <f>AB196*AC196*AD$7</f>
        <v>-31099.200000000001</v>
      </c>
      <c r="AE196" s="885">
        <f>$F196</f>
        <v>-8000</v>
      </c>
      <c r="AF196" s="884">
        <f>$G196</f>
        <v>0.12540000000000001</v>
      </c>
      <c r="AG196" s="879">
        <f>AE196*AF196*AG$7</f>
        <v>-31099.200000000001</v>
      </c>
      <c r="AH196" s="885">
        <f>$F196</f>
        <v>-8000</v>
      </c>
      <c r="AI196" s="884">
        <f>$G196</f>
        <v>0.12540000000000001</v>
      </c>
      <c r="AJ196" s="879">
        <f>AH196*AI196*AJ$7</f>
        <v>-30096</v>
      </c>
      <c r="AK196" s="885">
        <f>$F196</f>
        <v>-8000</v>
      </c>
      <c r="AL196" s="884">
        <f>$G196</f>
        <v>0.12540000000000001</v>
      </c>
      <c r="AM196" s="879">
        <f>AK196*AL196*AM$7</f>
        <v>-31099.200000000001</v>
      </c>
      <c r="AN196" s="885">
        <f>$F196</f>
        <v>-8000</v>
      </c>
      <c r="AO196" s="884">
        <f>$G196</f>
        <v>0.12540000000000001</v>
      </c>
      <c r="AP196" s="879">
        <f>AN196*AO196*AP$7</f>
        <v>-30096</v>
      </c>
      <c r="AQ196" s="885">
        <f>$F196</f>
        <v>-8000</v>
      </c>
      <c r="AR196" s="884">
        <f>$G196</f>
        <v>0.12540000000000001</v>
      </c>
      <c r="AS196" s="879">
        <f>AQ196*AR196*AS$7</f>
        <v>-31099.200000000001</v>
      </c>
      <c r="AT196" s="879"/>
      <c r="AV196" s="823">
        <f>AS196+AP196+AM196+AJ196+AG196+AD196+AA196+X196+U196+R196+O196+L196</f>
        <v>-275880</v>
      </c>
      <c r="AW196" s="910"/>
      <c r="AY196" s="910"/>
      <c r="BB196" s="910"/>
    </row>
    <row r="197" spans="1:56" x14ac:dyDescent="0.2">
      <c r="A197" s="175">
        <v>26683</v>
      </c>
      <c r="B197" s="175" t="s">
        <v>553</v>
      </c>
      <c r="C197">
        <v>2002</v>
      </c>
      <c r="D197" s="181">
        <v>36220</v>
      </c>
      <c r="E197" s="181">
        <v>37346</v>
      </c>
      <c r="F197" s="733">
        <v>8000</v>
      </c>
      <c r="G197" s="170">
        <v>0.3473</v>
      </c>
      <c r="H197" s="170">
        <v>2.46E-2</v>
      </c>
      <c r="I197" s="884">
        <f>SUM(G197:H197)</f>
        <v>0.37190000000000001</v>
      </c>
      <c r="J197" s="885">
        <f>$F197</f>
        <v>8000</v>
      </c>
      <c r="K197" s="884">
        <f>$G197</f>
        <v>0.3473</v>
      </c>
      <c r="L197" s="879">
        <f>J197*K197*L$7</f>
        <v>86130.400000000009</v>
      </c>
      <c r="M197" s="885">
        <f>$F197</f>
        <v>8000</v>
      </c>
      <c r="N197" s="884">
        <f>$G197</f>
        <v>0.3473</v>
      </c>
      <c r="O197" s="879">
        <f>M197*N197*O$7</f>
        <v>77795.199999999997</v>
      </c>
      <c r="P197" s="885">
        <f>$F197</f>
        <v>8000</v>
      </c>
      <c r="Q197" s="884">
        <f>$G197</f>
        <v>0.3473</v>
      </c>
      <c r="R197" s="879">
        <f>P197*Q197*R$7</f>
        <v>86130.400000000009</v>
      </c>
      <c r="S197" s="885">
        <v>0</v>
      </c>
      <c r="T197" s="884">
        <f>$G197</f>
        <v>0.3473</v>
      </c>
      <c r="U197" s="879">
        <v>0</v>
      </c>
      <c r="V197" s="885">
        <v>0</v>
      </c>
      <c r="W197" s="884">
        <v>0</v>
      </c>
      <c r="X197" s="879">
        <v>0</v>
      </c>
      <c r="Y197" s="885">
        <v>0</v>
      </c>
      <c r="Z197" s="884">
        <f>$G197</f>
        <v>0.3473</v>
      </c>
      <c r="AA197" s="879">
        <f>Y197*Z197*AA$7</f>
        <v>0</v>
      </c>
      <c r="AB197" s="885">
        <v>0</v>
      </c>
      <c r="AC197" s="884">
        <f>$G197</f>
        <v>0.3473</v>
      </c>
      <c r="AD197" s="879">
        <f>AB197*AC197*AD$7</f>
        <v>0</v>
      </c>
      <c r="AE197" s="885">
        <v>0</v>
      </c>
      <c r="AF197" s="884">
        <f>$G197</f>
        <v>0.3473</v>
      </c>
      <c r="AG197" s="879">
        <f>AE197*AF197*AG$7</f>
        <v>0</v>
      </c>
      <c r="AH197" s="885">
        <v>0</v>
      </c>
      <c r="AI197" s="884">
        <f>$G197</f>
        <v>0.3473</v>
      </c>
      <c r="AJ197" s="879">
        <f>AH197*AI197*AJ$7</f>
        <v>0</v>
      </c>
      <c r="AK197" s="885">
        <v>0</v>
      </c>
      <c r="AL197" s="884">
        <f>$G197</f>
        <v>0.3473</v>
      </c>
      <c r="AM197" s="879">
        <f>AK197*AL197*AM$7</f>
        <v>0</v>
      </c>
      <c r="AN197" s="885">
        <v>0</v>
      </c>
      <c r="AO197" s="884">
        <f>$G197</f>
        <v>0.3473</v>
      </c>
      <c r="AP197" s="879">
        <f>AN197*AO197*AP$7</f>
        <v>0</v>
      </c>
      <c r="AQ197" s="885">
        <v>0</v>
      </c>
      <c r="AR197" s="884">
        <f>$G197</f>
        <v>0.3473</v>
      </c>
      <c r="AS197" s="879">
        <f>AQ197*AR197*AS$7</f>
        <v>0</v>
      </c>
      <c r="AT197" s="879"/>
      <c r="AV197" s="823">
        <f>AS197+AP197+AM197+AJ197+AG197+AD197+AA197+X197+U197+R197+O197+L197</f>
        <v>250056</v>
      </c>
      <c r="AW197" s="910"/>
      <c r="AY197" s="910"/>
      <c r="BB197" s="910"/>
    </row>
    <row r="198" spans="1:56" x14ac:dyDescent="0.2">
      <c r="A198" s="519">
        <v>26683</v>
      </c>
      <c r="B198" s="519" t="s">
        <v>553</v>
      </c>
      <c r="C198">
        <v>2002</v>
      </c>
      <c r="D198" s="524">
        <v>37347</v>
      </c>
      <c r="E198" s="524">
        <v>37711</v>
      </c>
      <c r="F198" s="522">
        <v>8000</v>
      </c>
      <c r="G198" s="525">
        <v>0.3473</v>
      </c>
      <c r="H198" s="525">
        <v>2.46E-2</v>
      </c>
      <c r="I198" s="884">
        <f>SUM(G198:H198)</f>
        <v>0.37190000000000001</v>
      </c>
      <c r="J198" s="885">
        <v>0</v>
      </c>
      <c r="K198" s="884">
        <f>$G198</f>
        <v>0.3473</v>
      </c>
      <c r="L198" s="879">
        <f>J198*K198*L$7</f>
        <v>0</v>
      </c>
      <c r="M198" s="885">
        <v>0</v>
      </c>
      <c r="N198" s="884">
        <f>$G198</f>
        <v>0.3473</v>
      </c>
      <c r="O198" s="879">
        <f>M198*N198*O$7</f>
        <v>0</v>
      </c>
      <c r="P198" s="885">
        <v>0</v>
      </c>
      <c r="Q198" s="884">
        <f>$G198</f>
        <v>0.3473</v>
      </c>
      <c r="R198" s="879">
        <f>P198*Q198*R$7</f>
        <v>0</v>
      </c>
      <c r="S198" s="885">
        <v>8000</v>
      </c>
      <c r="T198" s="884">
        <f>$G198</f>
        <v>0.3473</v>
      </c>
      <c r="U198" s="879">
        <f>S198*T198*U$7</f>
        <v>83352</v>
      </c>
      <c r="V198" s="885">
        <v>8000</v>
      </c>
      <c r="W198" s="884">
        <f>$G198</f>
        <v>0.3473</v>
      </c>
      <c r="X198" s="879">
        <f>V198*W198*X$7</f>
        <v>86130.400000000009</v>
      </c>
      <c r="Y198" s="885">
        <v>8000</v>
      </c>
      <c r="Z198" s="884">
        <f>$G198</f>
        <v>0.3473</v>
      </c>
      <c r="AA198" s="879">
        <f>Y198*Z198*AA$7</f>
        <v>83352</v>
      </c>
      <c r="AB198" s="885">
        <v>8000</v>
      </c>
      <c r="AC198" s="884">
        <f>$G198</f>
        <v>0.3473</v>
      </c>
      <c r="AD198" s="879">
        <f>AB198*AC198*AD$7</f>
        <v>86130.400000000009</v>
      </c>
      <c r="AE198" s="885">
        <v>8000</v>
      </c>
      <c r="AF198" s="884">
        <f>$G198</f>
        <v>0.3473</v>
      </c>
      <c r="AG198" s="879">
        <f>AE198*AF198*AG$7</f>
        <v>86130.400000000009</v>
      </c>
      <c r="AH198" s="885">
        <v>8000</v>
      </c>
      <c r="AI198" s="884">
        <f>$G198</f>
        <v>0.3473</v>
      </c>
      <c r="AJ198" s="879">
        <f>AH198*AI198*AJ$7</f>
        <v>83352</v>
      </c>
      <c r="AK198" s="885">
        <v>8000</v>
      </c>
      <c r="AL198" s="884">
        <f>$G198</f>
        <v>0.3473</v>
      </c>
      <c r="AM198" s="879">
        <f>AK198*AL198*AM$7</f>
        <v>86130.400000000009</v>
      </c>
      <c r="AN198" s="885">
        <v>8000</v>
      </c>
      <c r="AO198" s="884">
        <f>$G198</f>
        <v>0.3473</v>
      </c>
      <c r="AP198" s="879">
        <f>AN198*AO198*AP$7</f>
        <v>83352</v>
      </c>
      <c r="AQ198" s="885">
        <v>8000</v>
      </c>
      <c r="AR198" s="884">
        <f>$G198</f>
        <v>0.3473</v>
      </c>
      <c r="AS198" s="879">
        <f>AQ198*AR198*AS$7</f>
        <v>86130.400000000009</v>
      </c>
      <c r="AT198" s="879"/>
      <c r="AV198" s="823">
        <f>AS198+AP198+AM198+AJ198+AG198+AD198+AA198+X198+U198+R198+O198+L198</f>
        <v>764060.00000000012</v>
      </c>
      <c r="AW198" s="910"/>
      <c r="AX198" s="33">
        <f>SUM(AV195:AV198)</f>
        <v>646508.00000000012</v>
      </c>
      <c r="AY198" s="910"/>
      <c r="BB198" s="910"/>
      <c r="BD198" s="33">
        <f>AX198</f>
        <v>646508.00000000012</v>
      </c>
    </row>
    <row r="199" spans="1:56" s="11" customFormat="1" x14ac:dyDescent="0.2">
      <c r="A199" s="617"/>
      <c r="B199" s="617"/>
      <c r="D199" s="913"/>
      <c r="E199" s="913"/>
      <c r="F199" s="934"/>
      <c r="G199" s="911"/>
      <c r="H199" s="911"/>
      <c r="I199" s="911"/>
      <c r="J199" s="878"/>
      <c r="K199" s="909"/>
      <c r="L199" s="891"/>
      <c r="M199" s="878"/>
      <c r="N199" s="909"/>
      <c r="O199" s="891"/>
      <c r="P199" s="878"/>
      <c r="Q199" s="909"/>
      <c r="R199" s="891"/>
      <c r="S199" s="878"/>
      <c r="T199" s="909"/>
      <c r="U199" s="891"/>
      <c r="V199" s="878"/>
      <c r="W199" s="909"/>
      <c r="X199" s="891"/>
      <c r="Y199" s="878"/>
      <c r="Z199" s="909"/>
      <c r="AA199" s="891"/>
      <c r="AB199" s="878"/>
      <c r="AC199" s="909"/>
      <c r="AD199" s="891"/>
      <c r="AE199" s="878"/>
      <c r="AF199" s="909"/>
      <c r="AG199" s="891"/>
      <c r="AH199" s="878"/>
      <c r="AI199" s="909"/>
      <c r="AJ199" s="891"/>
      <c r="AK199" s="878"/>
      <c r="AL199" s="909"/>
      <c r="AM199" s="891"/>
      <c r="AN199" s="878"/>
      <c r="AO199" s="909"/>
      <c r="AP199" s="891"/>
      <c r="AQ199" s="912"/>
      <c r="AR199" s="909"/>
      <c r="AS199" s="891"/>
      <c r="AT199" s="891"/>
      <c r="AV199" s="823"/>
      <c r="AW199" s="910"/>
      <c r="AY199" s="910"/>
      <c r="BB199" s="910"/>
    </row>
    <row r="200" spans="1:56" x14ac:dyDescent="0.2">
      <c r="A200" s="933">
        <v>26758</v>
      </c>
      <c r="B200" s="925" t="s">
        <v>288</v>
      </c>
      <c r="C200">
        <v>2001</v>
      </c>
      <c r="D200" s="816">
        <v>36647</v>
      </c>
      <c r="E200" s="926">
        <v>38472</v>
      </c>
      <c r="F200" s="932">
        <v>-40000</v>
      </c>
      <c r="G200" s="883">
        <v>8.6599999999999996E-2</v>
      </c>
      <c r="H200" s="29">
        <v>2.46E-2</v>
      </c>
      <c r="I200" s="884">
        <f>SUM(G200:H200)</f>
        <v>0.11119999999999999</v>
      </c>
      <c r="J200" s="885">
        <f>$F200</f>
        <v>-40000</v>
      </c>
      <c r="K200" s="884">
        <f>$G200</f>
        <v>8.6599999999999996E-2</v>
      </c>
      <c r="L200" s="879">
        <f>J200*K200*L$7</f>
        <v>-107384</v>
      </c>
      <c r="M200" s="885">
        <f>$F200</f>
        <v>-40000</v>
      </c>
      <c r="N200" s="884">
        <f>$G200</f>
        <v>8.6599999999999996E-2</v>
      </c>
      <c r="O200" s="879">
        <f>M200*N200*O$7</f>
        <v>-96992</v>
      </c>
      <c r="P200" s="885">
        <f>$F200</f>
        <v>-40000</v>
      </c>
      <c r="Q200" s="884">
        <f>$G200</f>
        <v>8.6599999999999996E-2</v>
      </c>
      <c r="R200" s="879">
        <f>P200*Q200*R$7</f>
        <v>-107384</v>
      </c>
      <c r="S200" s="885">
        <f>$F200</f>
        <v>-40000</v>
      </c>
      <c r="T200" s="884">
        <f>$G200</f>
        <v>8.6599999999999996E-2</v>
      </c>
      <c r="U200" s="879">
        <f>S200*T200*U$7</f>
        <v>-103920</v>
      </c>
      <c r="V200" s="885">
        <f>$F200</f>
        <v>-40000</v>
      </c>
      <c r="W200" s="884">
        <f>$G200</f>
        <v>8.6599999999999996E-2</v>
      </c>
      <c r="X200" s="879">
        <f>V200*W200*X$7</f>
        <v>-107384</v>
      </c>
      <c r="Y200" s="885">
        <f>$F200</f>
        <v>-40000</v>
      </c>
      <c r="Z200" s="884">
        <f>$G200</f>
        <v>8.6599999999999996E-2</v>
      </c>
      <c r="AA200" s="879">
        <f>Y200*Z200*AA$7</f>
        <v>-103920</v>
      </c>
      <c r="AB200" s="885">
        <f>$F200</f>
        <v>-40000</v>
      </c>
      <c r="AC200" s="884">
        <f>$G200</f>
        <v>8.6599999999999996E-2</v>
      </c>
      <c r="AD200" s="879">
        <f>AB200*AC200*AD$7</f>
        <v>-107384</v>
      </c>
      <c r="AE200" s="885">
        <f>$F200</f>
        <v>-40000</v>
      </c>
      <c r="AF200" s="884">
        <f>$G200</f>
        <v>8.6599999999999996E-2</v>
      </c>
      <c r="AG200" s="879">
        <f>AE200*AF200*AG$7</f>
        <v>-107384</v>
      </c>
      <c r="AH200" s="885">
        <f>$F200</f>
        <v>-40000</v>
      </c>
      <c r="AI200" s="884">
        <f>$G200</f>
        <v>8.6599999999999996E-2</v>
      </c>
      <c r="AJ200" s="879">
        <f>AH200*AI200*AJ$7</f>
        <v>-103920</v>
      </c>
      <c r="AK200" s="885">
        <f>$F200</f>
        <v>-40000</v>
      </c>
      <c r="AL200" s="884">
        <f>$G200</f>
        <v>8.6599999999999996E-2</v>
      </c>
      <c r="AM200" s="879">
        <f>AK200*AL200*AM$7</f>
        <v>-107384</v>
      </c>
      <c r="AN200" s="885">
        <f>$F200</f>
        <v>-40000</v>
      </c>
      <c r="AO200" s="884">
        <f>$G200</f>
        <v>8.6599999999999996E-2</v>
      </c>
      <c r="AP200" s="891">
        <f>AN200*AO200*AP$7</f>
        <v>-103920</v>
      </c>
      <c r="AQ200" s="892">
        <f>$F200</f>
        <v>-40000</v>
      </c>
      <c r="AR200" s="884">
        <f>$G200</f>
        <v>8.6599999999999996E-2</v>
      </c>
      <c r="AS200" s="879">
        <f>AQ200*AR200*AS$7</f>
        <v>-107384</v>
      </c>
      <c r="AT200" s="879"/>
      <c r="AV200" s="823">
        <f>AS200+AP200+AM200+AJ200+AG200+AD200+AA200+X200+U200+R200+O200+L200</f>
        <v>-1264360</v>
      </c>
      <c r="AW200" s="910"/>
      <c r="AY200" s="910"/>
      <c r="BB200" s="910"/>
    </row>
    <row r="201" spans="1:56" x14ac:dyDescent="0.2">
      <c r="A201" s="175">
        <v>26758</v>
      </c>
      <c r="B201" s="510" t="s">
        <v>556</v>
      </c>
      <c r="C201">
        <v>2002</v>
      </c>
      <c r="D201" s="181">
        <v>36647</v>
      </c>
      <c r="E201" s="181">
        <v>38472</v>
      </c>
      <c r="F201" s="182">
        <v>40000</v>
      </c>
      <c r="G201" s="170">
        <v>8.6599999999999996E-2</v>
      </c>
      <c r="H201" s="170">
        <v>2.46E-2</v>
      </c>
      <c r="I201" s="884">
        <f>SUM(G201:H201)</f>
        <v>0.11119999999999999</v>
      </c>
      <c r="J201" s="885">
        <f>$F201</f>
        <v>40000</v>
      </c>
      <c r="K201" s="884">
        <f>$G201</f>
        <v>8.6599999999999996E-2</v>
      </c>
      <c r="L201" s="879">
        <f>J201*K201*L$7</f>
        <v>107384</v>
      </c>
      <c r="M201" s="885">
        <f>$F201</f>
        <v>40000</v>
      </c>
      <c r="N201" s="884">
        <f>$G201</f>
        <v>8.6599999999999996E-2</v>
      </c>
      <c r="O201" s="879">
        <f>M201*N201*O$7</f>
        <v>96992</v>
      </c>
      <c r="P201" s="885">
        <f>$F201</f>
        <v>40000</v>
      </c>
      <c r="Q201" s="884">
        <f>$G201</f>
        <v>8.6599999999999996E-2</v>
      </c>
      <c r="R201" s="879">
        <f>P201*Q201*R$7</f>
        <v>107384</v>
      </c>
      <c r="S201" s="885">
        <f>$F201</f>
        <v>40000</v>
      </c>
      <c r="T201" s="884">
        <f>$G201</f>
        <v>8.6599999999999996E-2</v>
      </c>
      <c r="U201" s="879">
        <f>S201*T201*U$7</f>
        <v>103920</v>
      </c>
      <c r="V201" s="885">
        <f>$F201</f>
        <v>40000</v>
      </c>
      <c r="W201" s="884">
        <f>$G201</f>
        <v>8.6599999999999996E-2</v>
      </c>
      <c r="X201" s="879">
        <f>V201*W201*X$7</f>
        <v>107384</v>
      </c>
      <c r="Y201" s="885">
        <f>$F201</f>
        <v>40000</v>
      </c>
      <c r="Z201" s="884">
        <f>$G201</f>
        <v>8.6599999999999996E-2</v>
      </c>
      <c r="AA201" s="879">
        <f>Y201*Z201*AA$7</f>
        <v>103920</v>
      </c>
      <c r="AB201" s="885">
        <f>$F201</f>
        <v>40000</v>
      </c>
      <c r="AC201" s="884">
        <f>$G201</f>
        <v>8.6599999999999996E-2</v>
      </c>
      <c r="AD201" s="879">
        <f>AB201*AC201*AD$7</f>
        <v>107384</v>
      </c>
      <c r="AE201" s="885">
        <f>$F201</f>
        <v>40000</v>
      </c>
      <c r="AF201" s="884">
        <f>$G201</f>
        <v>8.6599999999999996E-2</v>
      </c>
      <c r="AG201" s="879">
        <f>AE201*AF201*AG$7</f>
        <v>107384</v>
      </c>
      <c r="AH201" s="885">
        <f>$F201</f>
        <v>40000</v>
      </c>
      <c r="AI201" s="884">
        <f>$G201</f>
        <v>8.6599999999999996E-2</v>
      </c>
      <c r="AJ201" s="879">
        <f>AH201*AI201*AJ$7</f>
        <v>103920</v>
      </c>
      <c r="AK201" s="885">
        <f>$F201</f>
        <v>40000</v>
      </c>
      <c r="AL201" s="884">
        <f>$G201</f>
        <v>8.6599999999999996E-2</v>
      </c>
      <c r="AM201" s="879">
        <f>AK201*AL201*AM$7</f>
        <v>107384</v>
      </c>
      <c r="AN201" s="885">
        <f>$F201</f>
        <v>40000</v>
      </c>
      <c r="AO201" s="884">
        <f>$G201</f>
        <v>8.6599999999999996E-2</v>
      </c>
      <c r="AP201" s="879">
        <f>AN201*AO201*AP$7</f>
        <v>103920</v>
      </c>
      <c r="AQ201" s="885">
        <f>$F201</f>
        <v>40000</v>
      </c>
      <c r="AR201" s="884">
        <f>$G201</f>
        <v>8.6599999999999996E-2</v>
      </c>
      <c r="AS201" s="879">
        <f>AQ201*AR201*AS$7</f>
        <v>107384</v>
      </c>
      <c r="AT201" s="879"/>
      <c r="AV201" s="823">
        <f>AS201+AP201+AM201+AJ201+AG201+AD201+AA201+X201+U201+R201+O201+L201</f>
        <v>1264360</v>
      </c>
      <c r="AW201" s="910"/>
      <c r="AX201" s="33">
        <f>SUM(AV200:AV201)</f>
        <v>0</v>
      </c>
      <c r="AY201" s="910"/>
      <c r="BB201" s="910"/>
    </row>
    <row r="202" spans="1:56" x14ac:dyDescent="0.2">
      <c r="A202" s="933"/>
      <c r="B202" s="925"/>
      <c r="D202" s="816"/>
      <c r="E202" s="926"/>
      <c r="F202" s="932"/>
      <c r="G202" s="883"/>
      <c r="H202" s="29"/>
      <c r="I202" s="884"/>
      <c r="J202" s="885"/>
      <c r="K202" s="884"/>
      <c r="L202" s="879"/>
      <c r="M202" s="885"/>
      <c r="N202" s="884"/>
      <c r="O202" s="879"/>
      <c r="P202" s="885"/>
      <c r="Q202" s="884"/>
      <c r="R202" s="879"/>
      <c r="S202" s="885"/>
      <c r="T202" s="884"/>
      <c r="U202" s="879"/>
      <c r="V202" s="885"/>
      <c r="W202" s="884"/>
      <c r="X202" s="879"/>
      <c r="Y202" s="885"/>
      <c r="Z202" s="884"/>
      <c r="AA202" s="879"/>
      <c r="AB202" s="885"/>
      <c r="AC202" s="884"/>
      <c r="AD202" s="879"/>
      <c r="AE202" s="885"/>
      <c r="AF202" s="884"/>
      <c r="AG202" s="879"/>
      <c r="AH202" s="885"/>
      <c r="AI202" s="884"/>
      <c r="AJ202" s="879"/>
      <c r="AK202" s="885"/>
      <c r="AL202" s="884"/>
      <c r="AM202" s="879"/>
      <c r="AN202" s="885"/>
      <c r="AO202" s="884"/>
      <c r="AP202" s="891"/>
      <c r="AQ202" s="892"/>
      <c r="AR202" s="884"/>
      <c r="AS202" s="879"/>
      <c r="AT202" s="879"/>
      <c r="AV202" s="33"/>
      <c r="AW202" s="886"/>
      <c r="AY202" s="886"/>
      <c r="BB202" s="886"/>
    </row>
    <row r="203" spans="1:56" x14ac:dyDescent="0.2">
      <c r="A203" s="169"/>
      <c r="B203" s="936" t="s">
        <v>287</v>
      </c>
      <c r="C203">
        <v>2001</v>
      </c>
      <c r="D203" s="46"/>
      <c r="E203" s="937"/>
      <c r="F203" s="935">
        <v>-14000</v>
      </c>
      <c r="G203" s="894">
        <v>0.2054</v>
      </c>
      <c r="H203" s="41">
        <v>2.46E-2</v>
      </c>
      <c r="I203" s="884">
        <f>SUM(G203:H203)</f>
        <v>0.23</v>
      </c>
      <c r="J203" s="885">
        <v>0</v>
      </c>
      <c r="K203" s="884">
        <f>$G203</f>
        <v>0.2054</v>
      </c>
      <c r="L203" s="879">
        <f>J203*K203*L$7</f>
        <v>0</v>
      </c>
      <c r="M203" s="885">
        <v>0</v>
      </c>
      <c r="N203" s="884">
        <f>$G203</f>
        <v>0.2054</v>
      </c>
      <c r="O203" s="879">
        <f>M203*N203*O$7</f>
        <v>0</v>
      </c>
      <c r="P203" s="885">
        <v>0</v>
      </c>
      <c r="Q203" s="884">
        <f>$G203</f>
        <v>0.2054</v>
      </c>
      <c r="R203" s="879">
        <f>P203*Q203*R$7</f>
        <v>0</v>
      </c>
      <c r="S203" s="885">
        <f>$F203</f>
        <v>-14000</v>
      </c>
      <c r="T203" s="884">
        <f>$G203</f>
        <v>0.2054</v>
      </c>
      <c r="U203" s="879">
        <f>S203*T203*U$7</f>
        <v>-86268</v>
      </c>
      <c r="V203" s="885">
        <f>$F203</f>
        <v>-14000</v>
      </c>
      <c r="W203" s="884">
        <f>$G203</f>
        <v>0.2054</v>
      </c>
      <c r="X203" s="879">
        <f>V203*W203*X$7</f>
        <v>-89143.599999999991</v>
      </c>
      <c r="Y203" s="885">
        <f>$F203</f>
        <v>-14000</v>
      </c>
      <c r="Z203" s="884">
        <f>$G203</f>
        <v>0.2054</v>
      </c>
      <c r="AA203" s="879">
        <f>Y203*Z203*AA$7</f>
        <v>-86268</v>
      </c>
      <c r="AB203" s="885">
        <f>$F203</f>
        <v>-14000</v>
      </c>
      <c r="AC203" s="884">
        <f>$G203</f>
        <v>0.2054</v>
      </c>
      <c r="AD203" s="879">
        <f>AB203*AC203*AD$7</f>
        <v>-89143.599999999991</v>
      </c>
      <c r="AE203" s="885">
        <f>$F203</f>
        <v>-14000</v>
      </c>
      <c r="AF203" s="884">
        <f>$G203</f>
        <v>0.2054</v>
      </c>
      <c r="AG203" s="879">
        <f>AE203*AF203*AG$7</f>
        <v>-89143.599999999991</v>
      </c>
      <c r="AH203" s="885">
        <f>$F203</f>
        <v>-14000</v>
      </c>
      <c r="AI203" s="884">
        <f>$G203</f>
        <v>0.2054</v>
      </c>
      <c r="AJ203" s="879">
        <f>AH203*AI203*AJ$7</f>
        <v>-86268</v>
      </c>
      <c r="AK203" s="885">
        <f>$F203</f>
        <v>-14000</v>
      </c>
      <c r="AL203" s="884">
        <f>$G203</f>
        <v>0.2054</v>
      </c>
      <c r="AM203" s="879">
        <f>AK203*AL203*AM$7</f>
        <v>-89143.599999999991</v>
      </c>
      <c r="AN203" s="885">
        <v>0</v>
      </c>
      <c r="AO203" s="884">
        <f>$G203</f>
        <v>0.2054</v>
      </c>
      <c r="AP203" s="879">
        <f>AN203*AO203*AP$7</f>
        <v>0</v>
      </c>
      <c r="AQ203" s="885">
        <v>0</v>
      </c>
      <c r="AR203" s="884">
        <f>$G203</f>
        <v>0.2054</v>
      </c>
      <c r="AS203" s="879">
        <f>AQ203*AR203*AS$7</f>
        <v>0</v>
      </c>
      <c r="AT203" s="879"/>
      <c r="AV203" s="823">
        <f>AS203+AP203+AM203+AJ203+AG203+AD203+AA203+X203+U203+R203+O203+L203</f>
        <v>-615378.39999999991</v>
      </c>
      <c r="AW203" s="910"/>
      <c r="AX203" s="33">
        <f>AV203</f>
        <v>-615378.39999999991</v>
      </c>
      <c r="AY203" s="910"/>
      <c r="BB203" s="910"/>
      <c r="BD203" s="33">
        <f>AX203</f>
        <v>-615378.39999999991</v>
      </c>
    </row>
    <row r="204" spans="1:56" x14ac:dyDescent="0.2">
      <c r="A204" s="169"/>
      <c r="B204" s="936"/>
      <c r="D204" s="46"/>
      <c r="E204" s="937"/>
      <c r="F204" s="935"/>
      <c r="G204" s="894"/>
      <c r="H204" s="41"/>
      <c r="I204" s="884"/>
      <c r="J204" s="885"/>
      <c r="K204" s="884"/>
      <c r="L204" s="879"/>
      <c r="M204" s="885"/>
      <c r="N204" s="884"/>
      <c r="O204" s="879"/>
      <c r="P204" s="885"/>
      <c r="Q204" s="884"/>
      <c r="R204" s="879"/>
      <c r="S204" s="885"/>
      <c r="T204" s="884"/>
      <c r="U204" s="879"/>
      <c r="V204" s="885"/>
      <c r="W204" s="884"/>
      <c r="X204" s="879"/>
      <c r="Y204" s="885"/>
      <c r="Z204" s="884"/>
      <c r="AA204" s="879"/>
      <c r="AB204" s="885"/>
      <c r="AC204" s="884"/>
      <c r="AD204" s="879"/>
      <c r="AE204" s="885"/>
      <c r="AF204" s="884"/>
      <c r="AG204" s="879"/>
      <c r="AH204" s="885"/>
      <c r="AI204" s="884"/>
      <c r="AJ204" s="879"/>
      <c r="AK204" s="885"/>
      <c r="AL204" s="884"/>
      <c r="AM204" s="879"/>
      <c r="AN204" s="885"/>
      <c r="AO204" s="884"/>
      <c r="AP204" s="879"/>
      <c r="AQ204" s="885"/>
      <c r="AR204" s="884"/>
      <c r="AS204" s="879"/>
      <c r="AT204" s="879"/>
      <c r="AV204" s="33"/>
      <c r="AW204" s="886"/>
      <c r="AY204" s="886"/>
      <c r="BB204" s="886"/>
    </row>
    <row r="205" spans="1:56" x14ac:dyDescent="0.2">
      <c r="A205" s="933">
        <v>26819</v>
      </c>
      <c r="B205" s="925" t="s">
        <v>289</v>
      </c>
      <c r="C205">
        <v>2001</v>
      </c>
      <c r="D205" s="816">
        <v>36647</v>
      </c>
      <c r="E205" s="926">
        <v>38472</v>
      </c>
      <c r="F205" s="935">
        <v>-10000</v>
      </c>
      <c r="G205" s="883">
        <v>9.5399999999999999E-2</v>
      </c>
      <c r="H205" s="29">
        <v>2.46E-2</v>
      </c>
      <c r="I205" s="884">
        <f>SUM(G205:H205)</f>
        <v>0.12</v>
      </c>
      <c r="J205" s="885">
        <f>$F205</f>
        <v>-10000</v>
      </c>
      <c r="K205" s="884">
        <f>$G205</f>
        <v>9.5399999999999999E-2</v>
      </c>
      <c r="L205" s="879">
        <f>J205*K205*L$7</f>
        <v>-29574</v>
      </c>
      <c r="M205" s="885">
        <f>$F205</f>
        <v>-10000</v>
      </c>
      <c r="N205" s="884">
        <f>$G205</f>
        <v>9.5399999999999999E-2</v>
      </c>
      <c r="O205" s="879">
        <f>M205*N205*O$7</f>
        <v>-26712</v>
      </c>
      <c r="P205" s="885">
        <f>$F205</f>
        <v>-10000</v>
      </c>
      <c r="Q205" s="884">
        <f>$G205</f>
        <v>9.5399999999999999E-2</v>
      </c>
      <c r="R205" s="879">
        <f>P205*Q205*R$7</f>
        <v>-29574</v>
      </c>
      <c r="S205" s="885">
        <f>$F205</f>
        <v>-10000</v>
      </c>
      <c r="T205" s="884">
        <f>$G205</f>
        <v>9.5399999999999999E-2</v>
      </c>
      <c r="U205" s="879">
        <f>S205*T205*U$7</f>
        <v>-28620</v>
      </c>
      <c r="V205" s="885">
        <f>$F205</f>
        <v>-10000</v>
      </c>
      <c r="W205" s="884">
        <f>$G205</f>
        <v>9.5399999999999999E-2</v>
      </c>
      <c r="X205" s="879">
        <f>V205*W205*X$7</f>
        <v>-29574</v>
      </c>
      <c r="Y205" s="885">
        <f>$F205</f>
        <v>-10000</v>
      </c>
      <c r="Z205" s="884">
        <f>$G205</f>
        <v>9.5399999999999999E-2</v>
      </c>
      <c r="AA205" s="879">
        <f>Y205*Z205*AA$7</f>
        <v>-28620</v>
      </c>
      <c r="AB205" s="885">
        <f>$F205</f>
        <v>-10000</v>
      </c>
      <c r="AC205" s="884">
        <f>$G205</f>
        <v>9.5399999999999999E-2</v>
      </c>
      <c r="AD205" s="879">
        <f>AB205*AC205*AD$7</f>
        <v>-29574</v>
      </c>
      <c r="AE205" s="885">
        <f>$F205</f>
        <v>-10000</v>
      </c>
      <c r="AF205" s="884">
        <f>$G205</f>
        <v>9.5399999999999999E-2</v>
      </c>
      <c r="AG205" s="879">
        <f>AE205*AF205*AG$7</f>
        <v>-29574</v>
      </c>
      <c r="AH205" s="885">
        <f>$F205</f>
        <v>-10000</v>
      </c>
      <c r="AI205" s="884">
        <f>$G205</f>
        <v>9.5399999999999999E-2</v>
      </c>
      <c r="AJ205" s="879">
        <f>AH205*AI205*AJ$7</f>
        <v>-28620</v>
      </c>
      <c r="AK205" s="885">
        <f>$F205</f>
        <v>-10000</v>
      </c>
      <c r="AL205" s="884">
        <f>$G205</f>
        <v>9.5399999999999999E-2</v>
      </c>
      <c r="AM205" s="879">
        <f>AK205*AL205*AM$7</f>
        <v>-29574</v>
      </c>
      <c r="AN205" s="885">
        <f>$F205</f>
        <v>-10000</v>
      </c>
      <c r="AO205" s="884">
        <f>$G205</f>
        <v>9.5399999999999999E-2</v>
      </c>
      <c r="AP205" s="879">
        <f>AN205*AO205*AP$7</f>
        <v>-28620</v>
      </c>
      <c r="AQ205" s="885">
        <f>$F205</f>
        <v>-10000</v>
      </c>
      <c r="AR205" s="884">
        <f>$G205</f>
        <v>9.5399999999999999E-2</v>
      </c>
      <c r="AS205" s="879">
        <f>AQ205*AR205*AS$7</f>
        <v>-29574</v>
      </c>
      <c r="AT205" s="879"/>
      <c r="AV205" s="823">
        <f>AS205+AP205+AM205+AJ205+AG205+AD205+AA205+X205+U205+R205+O205+L205</f>
        <v>-348210</v>
      </c>
      <c r="AW205" s="910"/>
      <c r="AY205" s="910"/>
      <c r="BB205" s="910"/>
    </row>
    <row r="206" spans="1:56" x14ac:dyDescent="0.2">
      <c r="A206" s="175">
        <v>26819</v>
      </c>
      <c r="B206" s="175" t="s">
        <v>289</v>
      </c>
      <c r="C206">
        <v>2002</v>
      </c>
      <c r="D206" s="181">
        <v>36647</v>
      </c>
      <c r="E206" s="181">
        <v>38472</v>
      </c>
      <c r="F206" s="182">
        <v>10000</v>
      </c>
      <c r="G206" s="170">
        <f>0.12-0.0246</f>
        <v>9.5399999999999999E-2</v>
      </c>
      <c r="H206" s="170">
        <v>2.46E-2</v>
      </c>
      <c r="I206" s="884">
        <f>SUM(G206:H206)</f>
        <v>0.12</v>
      </c>
      <c r="J206" s="885">
        <f>$F206</f>
        <v>10000</v>
      </c>
      <c r="K206" s="884">
        <f>$G206</f>
        <v>9.5399999999999999E-2</v>
      </c>
      <c r="L206" s="879">
        <f>J206*K206*L$7</f>
        <v>29574</v>
      </c>
      <c r="M206" s="885">
        <f>$F206</f>
        <v>10000</v>
      </c>
      <c r="N206" s="884">
        <f>$G206</f>
        <v>9.5399999999999999E-2</v>
      </c>
      <c r="O206" s="879">
        <f>M206*N206*O$7</f>
        <v>26712</v>
      </c>
      <c r="P206" s="885">
        <f>$F206</f>
        <v>10000</v>
      </c>
      <c r="Q206" s="884">
        <f>$G206</f>
        <v>9.5399999999999999E-2</v>
      </c>
      <c r="R206" s="879">
        <f>P206*Q206*R$7</f>
        <v>29574</v>
      </c>
      <c r="S206" s="885">
        <f>$F206</f>
        <v>10000</v>
      </c>
      <c r="T206" s="884">
        <f>$G206</f>
        <v>9.5399999999999999E-2</v>
      </c>
      <c r="U206" s="879">
        <f>S206*T206*U$7</f>
        <v>28620</v>
      </c>
      <c r="V206" s="885">
        <f>$F206</f>
        <v>10000</v>
      </c>
      <c r="W206" s="884">
        <f>$G206</f>
        <v>9.5399999999999999E-2</v>
      </c>
      <c r="X206" s="879">
        <f>V206*W206*X$7</f>
        <v>29574</v>
      </c>
      <c r="Y206" s="885">
        <f>$F206</f>
        <v>10000</v>
      </c>
      <c r="Z206" s="884">
        <f>$G206</f>
        <v>9.5399999999999999E-2</v>
      </c>
      <c r="AA206" s="879">
        <f>Y206*Z206*AA$7</f>
        <v>28620</v>
      </c>
      <c r="AB206" s="885">
        <f>$F206</f>
        <v>10000</v>
      </c>
      <c r="AC206" s="884">
        <f>$G206</f>
        <v>9.5399999999999999E-2</v>
      </c>
      <c r="AD206" s="879">
        <f>AB206*AC206*AD$7</f>
        <v>29574</v>
      </c>
      <c r="AE206" s="885">
        <f>$F206</f>
        <v>10000</v>
      </c>
      <c r="AF206" s="884">
        <f>$G206</f>
        <v>9.5399999999999999E-2</v>
      </c>
      <c r="AG206" s="879">
        <f>AE206*AF206*AG$7</f>
        <v>29574</v>
      </c>
      <c r="AH206" s="885">
        <f>$F206</f>
        <v>10000</v>
      </c>
      <c r="AI206" s="884">
        <f>$G206</f>
        <v>9.5399999999999999E-2</v>
      </c>
      <c r="AJ206" s="879">
        <f>AH206*AI206*AJ$7</f>
        <v>28620</v>
      </c>
      <c r="AK206" s="885">
        <f>$F206</f>
        <v>10000</v>
      </c>
      <c r="AL206" s="884">
        <f>$G206</f>
        <v>9.5399999999999999E-2</v>
      </c>
      <c r="AM206" s="879">
        <f>AK206*AL206*AM$7</f>
        <v>29574</v>
      </c>
      <c r="AN206" s="885">
        <f>$F206</f>
        <v>10000</v>
      </c>
      <c r="AO206" s="884">
        <f>$G206</f>
        <v>9.5399999999999999E-2</v>
      </c>
      <c r="AP206" s="879">
        <f>AN206*AO206*AP$7</f>
        <v>28620</v>
      </c>
      <c r="AQ206" s="885">
        <f>$F206</f>
        <v>10000</v>
      </c>
      <c r="AR206" s="884">
        <f>$G206</f>
        <v>9.5399999999999999E-2</v>
      </c>
      <c r="AS206" s="879">
        <f>AQ206*AR206*AS$7</f>
        <v>29574</v>
      </c>
      <c r="AT206" s="879"/>
      <c r="AV206" s="823">
        <f>AS206+AP206+AM206+AJ206+AG206+AD206+AA206+X206+U206+R206+O206+L206</f>
        <v>348210</v>
      </c>
      <c r="AW206" s="910"/>
      <c r="AX206" s="33">
        <f>SUM(AV205:AV206)</f>
        <v>0</v>
      </c>
      <c r="AY206" s="910"/>
      <c r="BB206" s="910"/>
    </row>
    <row r="207" spans="1:56" x14ac:dyDescent="0.2">
      <c r="A207" s="933"/>
      <c r="B207" s="925"/>
      <c r="D207" s="816"/>
      <c r="E207" s="926"/>
      <c r="F207" s="935"/>
      <c r="G207" s="883"/>
      <c r="H207" s="29"/>
      <c r="I207" s="884"/>
      <c r="J207" s="885"/>
      <c r="K207" s="884"/>
      <c r="L207" s="879"/>
      <c r="M207" s="885"/>
      <c r="N207" s="884"/>
      <c r="O207" s="879"/>
      <c r="P207" s="885"/>
      <c r="Q207" s="884"/>
      <c r="R207" s="879"/>
      <c r="S207" s="885"/>
      <c r="T207" s="884"/>
      <c r="U207" s="879"/>
      <c r="V207" s="885"/>
      <c r="W207" s="884"/>
      <c r="X207" s="879"/>
      <c r="Y207" s="885"/>
      <c r="Z207" s="884"/>
      <c r="AA207" s="879"/>
      <c r="AB207" s="885"/>
      <c r="AC207" s="884"/>
      <c r="AD207" s="879"/>
      <c r="AE207" s="885"/>
      <c r="AF207" s="884"/>
      <c r="AG207" s="879"/>
      <c r="AH207" s="885"/>
      <c r="AI207" s="884"/>
      <c r="AJ207" s="879"/>
      <c r="AK207" s="885"/>
      <c r="AL207" s="884"/>
      <c r="AM207" s="879"/>
      <c r="AN207" s="885"/>
      <c r="AO207" s="884"/>
      <c r="AP207" s="879"/>
      <c r="AQ207" s="885"/>
      <c r="AR207" s="884"/>
      <c r="AS207" s="879"/>
      <c r="AT207" s="879"/>
      <c r="AV207" s="33"/>
      <c r="AW207" s="886"/>
      <c r="AY207" s="886"/>
      <c r="BB207" s="886"/>
    </row>
    <row r="208" spans="1:56" x14ac:dyDescent="0.2">
      <c r="A208" s="852">
        <v>27340</v>
      </c>
      <c r="B208" s="852" t="s">
        <v>560</v>
      </c>
      <c r="C208">
        <v>2002</v>
      </c>
      <c r="D208" s="574">
        <v>36923</v>
      </c>
      <c r="E208" s="608">
        <v>37287</v>
      </c>
      <c r="F208" s="730">
        <v>20000</v>
      </c>
      <c r="G208" s="609">
        <v>0.3473</v>
      </c>
      <c r="H208" s="609">
        <v>3.1600000000000003E-2</v>
      </c>
      <c r="I208" s="884">
        <f>SUM(G208:H208)</f>
        <v>0.37890000000000001</v>
      </c>
      <c r="J208" s="885">
        <f>$F208</f>
        <v>20000</v>
      </c>
      <c r="K208" s="884">
        <f>$G208</f>
        <v>0.3473</v>
      </c>
      <c r="L208" s="879">
        <f>J208*K208*L$7</f>
        <v>215326</v>
      </c>
      <c r="M208" s="885">
        <v>0</v>
      </c>
      <c r="N208" s="884">
        <f>$G208</f>
        <v>0.3473</v>
      </c>
      <c r="O208" s="879">
        <f>M208*N208*O$7</f>
        <v>0</v>
      </c>
      <c r="P208" s="885">
        <v>0</v>
      </c>
      <c r="Q208" s="884">
        <f>$G208</f>
        <v>0.3473</v>
      </c>
      <c r="R208" s="879">
        <f>P208*Q208*R$7</f>
        <v>0</v>
      </c>
      <c r="S208" s="885">
        <v>0</v>
      </c>
      <c r="T208" s="884">
        <f>$G208</f>
        <v>0.3473</v>
      </c>
      <c r="U208" s="879">
        <f>S208*T208*U$7</f>
        <v>0</v>
      </c>
      <c r="V208" s="885">
        <v>0</v>
      </c>
      <c r="W208" s="884">
        <f>$G208</f>
        <v>0.3473</v>
      </c>
      <c r="X208" s="879">
        <f>V208*W208*X$7</f>
        <v>0</v>
      </c>
      <c r="Y208" s="885">
        <v>0</v>
      </c>
      <c r="Z208" s="884">
        <f>$G208</f>
        <v>0.3473</v>
      </c>
      <c r="AA208" s="879">
        <f>Y208*Z208*AA$7</f>
        <v>0</v>
      </c>
      <c r="AB208" s="885">
        <v>0</v>
      </c>
      <c r="AC208" s="884">
        <f>$G208</f>
        <v>0.3473</v>
      </c>
      <c r="AD208" s="879">
        <f>AB208*AC208*AD$7</f>
        <v>0</v>
      </c>
      <c r="AE208" s="885">
        <v>0</v>
      </c>
      <c r="AF208" s="884">
        <f>$G208</f>
        <v>0.3473</v>
      </c>
      <c r="AG208" s="879">
        <f>AE208*AF208*AG$7</f>
        <v>0</v>
      </c>
      <c r="AH208" s="885">
        <v>0</v>
      </c>
      <c r="AI208" s="884">
        <f>$G208</f>
        <v>0.3473</v>
      </c>
      <c r="AJ208" s="879">
        <f>AH208*AI208*AJ$7</f>
        <v>0</v>
      </c>
      <c r="AK208" s="885">
        <v>0</v>
      </c>
      <c r="AL208" s="884">
        <f>$G208</f>
        <v>0.3473</v>
      </c>
      <c r="AM208" s="879">
        <f>AK208*AL208*AM$7</f>
        <v>0</v>
      </c>
      <c r="AN208" s="885">
        <v>0</v>
      </c>
      <c r="AO208" s="884">
        <f>$G208</f>
        <v>0.3473</v>
      </c>
      <c r="AP208" s="879">
        <f>AN208*AO208*AP$7</f>
        <v>0</v>
      </c>
      <c r="AQ208" s="885">
        <v>0</v>
      </c>
      <c r="AR208" s="884">
        <f>$G208</f>
        <v>0.3473</v>
      </c>
      <c r="AS208" s="879">
        <f>AQ208*AR208*AS$7</f>
        <v>0</v>
      </c>
      <c r="AT208" s="879"/>
      <c r="AV208" s="823">
        <f>AS208+AP208+AM208+AJ208+AG208+AD208+AA208+X208+U208+R208+O208+L208</f>
        <v>215326</v>
      </c>
      <c r="AW208" s="910"/>
      <c r="AY208" s="910"/>
      <c r="BB208" s="910"/>
    </row>
    <row r="209" spans="1:56" x14ac:dyDescent="0.2">
      <c r="A209" s="519">
        <v>27340</v>
      </c>
      <c r="B209" s="519" t="s">
        <v>741</v>
      </c>
      <c r="C209">
        <v>2002</v>
      </c>
      <c r="D209" s="524">
        <v>37288</v>
      </c>
      <c r="E209" s="900">
        <v>37621</v>
      </c>
      <c r="F209" s="901">
        <v>10000</v>
      </c>
      <c r="G209" s="902">
        <v>0.1154</v>
      </c>
      <c r="H209" s="902">
        <v>2.46E-2</v>
      </c>
      <c r="I209" s="903">
        <f>SUM(G209:H209)</f>
        <v>0.14000000000000001</v>
      </c>
      <c r="J209" s="904">
        <v>0</v>
      </c>
      <c r="K209" s="903">
        <f>$G209</f>
        <v>0.1154</v>
      </c>
      <c r="L209" s="905">
        <f>J209*K209*L$7</f>
        <v>0</v>
      </c>
      <c r="M209" s="904">
        <f>$F209</f>
        <v>10000</v>
      </c>
      <c r="N209" s="903">
        <f>$G209</f>
        <v>0.1154</v>
      </c>
      <c r="O209" s="905">
        <f>M209*N209*O$7</f>
        <v>32312</v>
      </c>
      <c r="P209" s="904">
        <f>$F209</f>
        <v>10000</v>
      </c>
      <c r="Q209" s="903">
        <f>$G209</f>
        <v>0.1154</v>
      </c>
      <c r="R209" s="905">
        <f>P209*Q209*R$7</f>
        <v>35774</v>
      </c>
      <c r="S209" s="904">
        <f>$F209</f>
        <v>10000</v>
      </c>
      <c r="T209" s="903">
        <f>$G209</f>
        <v>0.1154</v>
      </c>
      <c r="U209" s="905">
        <f>S209*T209*U$7</f>
        <v>34620</v>
      </c>
      <c r="V209" s="904">
        <f>$F209</f>
        <v>10000</v>
      </c>
      <c r="W209" s="903">
        <f>$G209</f>
        <v>0.1154</v>
      </c>
      <c r="X209" s="905">
        <f>V209*W209*X$7</f>
        <v>35774</v>
      </c>
      <c r="Y209" s="904">
        <f>$F209</f>
        <v>10000</v>
      </c>
      <c r="Z209" s="903">
        <f>$G209</f>
        <v>0.1154</v>
      </c>
      <c r="AA209" s="905">
        <f>Y209*Z209*AA$7</f>
        <v>34620</v>
      </c>
      <c r="AB209" s="904">
        <f>$F209</f>
        <v>10000</v>
      </c>
      <c r="AC209" s="903">
        <f>$G209</f>
        <v>0.1154</v>
      </c>
      <c r="AD209" s="905">
        <f>AB209*AC209*AD$7</f>
        <v>35774</v>
      </c>
      <c r="AE209" s="904">
        <f>$F209</f>
        <v>10000</v>
      </c>
      <c r="AF209" s="903">
        <f>$G209</f>
        <v>0.1154</v>
      </c>
      <c r="AG209" s="905">
        <f>AE209*AF209*AG$7</f>
        <v>35774</v>
      </c>
      <c r="AH209" s="904">
        <f>$F209</f>
        <v>10000</v>
      </c>
      <c r="AI209" s="903">
        <f>$G209</f>
        <v>0.1154</v>
      </c>
      <c r="AJ209" s="905">
        <f>AH209*AI209*AJ$7</f>
        <v>34620</v>
      </c>
      <c r="AK209" s="904">
        <f>$F209</f>
        <v>10000</v>
      </c>
      <c r="AL209" s="903">
        <f>$G209</f>
        <v>0.1154</v>
      </c>
      <c r="AM209" s="905">
        <f>AK209*AL209*AM$7</f>
        <v>35774</v>
      </c>
      <c r="AN209" s="904">
        <f>$F209</f>
        <v>10000</v>
      </c>
      <c r="AO209" s="903">
        <f>$G209</f>
        <v>0.1154</v>
      </c>
      <c r="AP209" s="905">
        <f>AN209*AO209*AP$7</f>
        <v>34620</v>
      </c>
      <c r="AQ209" s="904">
        <f>$F209</f>
        <v>10000</v>
      </c>
      <c r="AR209" s="903">
        <f>$G209</f>
        <v>0.1154</v>
      </c>
      <c r="AS209" s="905">
        <f>AQ209*AR209*AS$7</f>
        <v>35774</v>
      </c>
      <c r="AT209" s="905"/>
      <c r="AU209" s="906"/>
      <c r="AV209" s="823">
        <f>AS209+AP209+AM209+AJ209+AG209+AD209+AA209+X209+U209+R209+O209+L209</f>
        <v>385436</v>
      </c>
      <c r="AW209" s="910"/>
      <c r="AX209" s="33"/>
      <c r="AY209" s="910"/>
      <c r="BB209" s="910"/>
    </row>
    <row r="210" spans="1:56" x14ac:dyDescent="0.2">
      <c r="A210" s="519">
        <v>27340</v>
      </c>
      <c r="B210" s="519" t="s">
        <v>741</v>
      </c>
      <c r="C210">
        <v>2002</v>
      </c>
      <c r="D210" s="524">
        <v>37288</v>
      </c>
      <c r="E210" s="900">
        <v>37621</v>
      </c>
      <c r="F210" s="901">
        <v>10000</v>
      </c>
      <c r="G210" s="902">
        <v>0.34789999999999999</v>
      </c>
      <c r="H210" s="902">
        <v>2.46E-2</v>
      </c>
      <c r="I210" s="903">
        <f>SUM(G210:H210)</f>
        <v>0.3725</v>
      </c>
      <c r="J210" s="904">
        <v>0</v>
      </c>
      <c r="K210" s="903">
        <f>$G210</f>
        <v>0.34789999999999999</v>
      </c>
      <c r="L210" s="905">
        <f>J210*K210*L$7</f>
        <v>0</v>
      </c>
      <c r="M210" s="904">
        <f>$F210</f>
        <v>10000</v>
      </c>
      <c r="N210" s="903">
        <f>$G210</f>
        <v>0.34789999999999999</v>
      </c>
      <c r="O210" s="905">
        <f>M210*N210*O$7</f>
        <v>97412</v>
      </c>
      <c r="P210" s="904">
        <f>$F210</f>
        <v>10000</v>
      </c>
      <c r="Q210" s="903">
        <f>$G210</f>
        <v>0.34789999999999999</v>
      </c>
      <c r="R210" s="905">
        <f>P210*Q210*R$7</f>
        <v>107849</v>
      </c>
      <c r="S210" s="904">
        <f>$F210</f>
        <v>10000</v>
      </c>
      <c r="T210" s="903">
        <f>$G210</f>
        <v>0.34789999999999999</v>
      </c>
      <c r="U210" s="905">
        <f>S210*T210*U$7</f>
        <v>104370</v>
      </c>
      <c r="V210" s="904">
        <f>$F210</f>
        <v>10000</v>
      </c>
      <c r="W210" s="903">
        <f>$G210</f>
        <v>0.34789999999999999</v>
      </c>
      <c r="X210" s="905">
        <f>V210*W210*X$7</f>
        <v>107849</v>
      </c>
      <c r="Y210" s="904">
        <f>$F210</f>
        <v>10000</v>
      </c>
      <c r="Z210" s="903">
        <f>$G210</f>
        <v>0.34789999999999999</v>
      </c>
      <c r="AA210" s="905">
        <f>Y210*Z210*AA$7</f>
        <v>104370</v>
      </c>
      <c r="AB210" s="904">
        <f>$F210</f>
        <v>10000</v>
      </c>
      <c r="AC210" s="903">
        <f>$G210</f>
        <v>0.34789999999999999</v>
      </c>
      <c r="AD210" s="905">
        <f>AB210*AC210*AD$7</f>
        <v>107849</v>
      </c>
      <c r="AE210" s="904">
        <f>$F210</f>
        <v>10000</v>
      </c>
      <c r="AF210" s="903">
        <f>$G210</f>
        <v>0.34789999999999999</v>
      </c>
      <c r="AG210" s="905">
        <f>AE210*AF210*AG$7</f>
        <v>107849</v>
      </c>
      <c r="AH210" s="904">
        <f>$F210</f>
        <v>10000</v>
      </c>
      <c r="AI210" s="903">
        <f>$G210</f>
        <v>0.34789999999999999</v>
      </c>
      <c r="AJ210" s="905">
        <f>AH210*AI210*AJ$7</f>
        <v>104370</v>
      </c>
      <c r="AK210" s="904">
        <f>$F210</f>
        <v>10000</v>
      </c>
      <c r="AL210" s="903">
        <f>$G210</f>
        <v>0.34789999999999999</v>
      </c>
      <c r="AM210" s="905">
        <f>AK210*AL210*AM$7</f>
        <v>107849</v>
      </c>
      <c r="AN210" s="904">
        <f>$F210</f>
        <v>10000</v>
      </c>
      <c r="AO210" s="903">
        <f>$G210</f>
        <v>0.34789999999999999</v>
      </c>
      <c r="AP210" s="905">
        <f>AN210*AO210*AP$7</f>
        <v>104370</v>
      </c>
      <c r="AQ210" s="904">
        <f>$F210</f>
        <v>10000</v>
      </c>
      <c r="AR210" s="903">
        <f>$G210</f>
        <v>0.34789999999999999</v>
      </c>
      <c r="AS210" s="905">
        <f>AQ210*AR210*AS$7</f>
        <v>107849</v>
      </c>
      <c r="AT210" s="905"/>
      <c r="AU210" s="906"/>
      <c r="AV210" s="823">
        <f>AS210+AP210+AM210+AJ210+AG210+AD210+AA210+X210+U210+R210+O210+L210</f>
        <v>1161986</v>
      </c>
      <c r="AW210" s="910"/>
      <c r="AX210" s="33">
        <f>SUM(AV208:AV210)</f>
        <v>1762748</v>
      </c>
      <c r="AY210" s="910"/>
      <c r="BB210" s="910"/>
      <c r="BD210" s="33">
        <f>AX210</f>
        <v>1762748</v>
      </c>
    </row>
    <row r="211" spans="1:56" s="11" customFormat="1" x14ac:dyDescent="0.2">
      <c r="A211" s="617"/>
      <c r="B211" s="617"/>
      <c r="D211" s="913"/>
      <c r="E211" s="913"/>
      <c r="F211" s="934"/>
      <c r="G211" s="911"/>
      <c r="H211" s="909"/>
      <c r="I211" s="909"/>
      <c r="J211" s="878"/>
      <c r="K211" s="909"/>
      <c r="L211" s="891"/>
      <c r="M211" s="878"/>
      <c r="N211" s="909"/>
      <c r="O211" s="891"/>
      <c r="P211" s="878"/>
      <c r="Q211" s="909"/>
      <c r="R211" s="891"/>
      <c r="S211" s="878"/>
      <c r="T211" s="909"/>
      <c r="U211" s="891"/>
      <c r="V211" s="878"/>
      <c r="W211" s="909"/>
      <c r="X211" s="891"/>
      <c r="Y211" s="878"/>
      <c r="Z211" s="909"/>
      <c r="AA211" s="891"/>
      <c r="AB211" s="878"/>
      <c r="AC211" s="909"/>
      <c r="AD211" s="891"/>
      <c r="AE211" s="878"/>
      <c r="AF211" s="909"/>
      <c r="AG211" s="891"/>
      <c r="AH211" s="878"/>
      <c r="AI211" s="909"/>
      <c r="AJ211" s="891"/>
      <c r="AK211" s="878"/>
      <c r="AL211" s="909"/>
      <c r="AM211" s="891"/>
      <c r="AN211" s="878"/>
      <c r="AO211" s="909"/>
      <c r="AP211" s="891"/>
      <c r="AQ211" s="878"/>
      <c r="AR211" s="909"/>
      <c r="AS211" s="891"/>
      <c r="AT211" s="891"/>
      <c r="AV211" s="823"/>
      <c r="AW211" s="910"/>
      <c r="AY211" s="910"/>
      <c r="BB211" s="910"/>
    </row>
    <row r="212" spans="1:56" x14ac:dyDescent="0.2">
      <c r="A212" s="175">
        <v>27352</v>
      </c>
      <c r="B212" s="175" t="s">
        <v>27</v>
      </c>
      <c r="C212">
        <v>2002</v>
      </c>
      <c r="D212" s="181">
        <v>37196</v>
      </c>
      <c r="E212" s="602">
        <v>37560</v>
      </c>
      <c r="F212" s="603">
        <v>21500</v>
      </c>
      <c r="G212" s="533">
        <v>0.27539999999999998</v>
      </c>
      <c r="H212" s="533">
        <v>2.46E-2</v>
      </c>
      <c r="I212" s="884">
        <f>SUM(G212:H212)</f>
        <v>0.3</v>
      </c>
      <c r="J212" s="885">
        <f>$F212</f>
        <v>21500</v>
      </c>
      <c r="K212" s="884">
        <f>$G212</f>
        <v>0.27539999999999998</v>
      </c>
      <c r="L212" s="879">
        <f>J212*K212*L$7</f>
        <v>183554.09999999998</v>
      </c>
      <c r="M212" s="885">
        <f>$F212</f>
        <v>21500</v>
      </c>
      <c r="N212" s="884">
        <f>$G212</f>
        <v>0.27539999999999998</v>
      </c>
      <c r="O212" s="879">
        <f>M212*N212*O$7</f>
        <v>165790.79999999999</v>
      </c>
      <c r="P212" s="885">
        <f>$F212</f>
        <v>21500</v>
      </c>
      <c r="Q212" s="884">
        <f>$G212</f>
        <v>0.27539999999999998</v>
      </c>
      <c r="R212" s="879">
        <f>P212*Q212*R$7</f>
        <v>183554.09999999998</v>
      </c>
      <c r="S212" s="885">
        <f>$F212</f>
        <v>21500</v>
      </c>
      <c r="T212" s="884">
        <f>$G212</f>
        <v>0.27539999999999998</v>
      </c>
      <c r="U212" s="879">
        <f>S212*T212*U$7</f>
        <v>177632.99999999997</v>
      </c>
      <c r="V212" s="885">
        <f>$F212</f>
        <v>21500</v>
      </c>
      <c r="W212" s="884">
        <f>$G212</f>
        <v>0.27539999999999998</v>
      </c>
      <c r="X212" s="879">
        <f>V212*W212*X$7</f>
        <v>183554.09999999998</v>
      </c>
      <c r="Y212" s="885">
        <f>$F212</f>
        <v>21500</v>
      </c>
      <c r="Z212" s="884">
        <f>$G212</f>
        <v>0.27539999999999998</v>
      </c>
      <c r="AA212" s="879">
        <f>Y212*Z212*AA$7</f>
        <v>177632.99999999997</v>
      </c>
      <c r="AB212" s="885">
        <f>$F212</f>
        <v>21500</v>
      </c>
      <c r="AC212" s="884">
        <f>$G212</f>
        <v>0.27539999999999998</v>
      </c>
      <c r="AD212" s="879">
        <f>AB212*AC212*AD$7</f>
        <v>183554.09999999998</v>
      </c>
      <c r="AE212" s="885">
        <f>$F212</f>
        <v>21500</v>
      </c>
      <c r="AF212" s="884">
        <f>$G212</f>
        <v>0.27539999999999998</v>
      </c>
      <c r="AG212" s="879">
        <f>AE212*AF212*AG$7</f>
        <v>183554.09999999998</v>
      </c>
      <c r="AH212" s="885">
        <f>$F212</f>
        <v>21500</v>
      </c>
      <c r="AI212" s="884">
        <f>$G212</f>
        <v>0.27539999999999998</v>
      </c>
      <c r="AJ212" s="879">
        <f>AH212*AI212*AJ$7</f>
        <v>177632.99999999997</v>
      </c>
      <c r="AK212" s="885">
        <f>$F212</f>
        <v>21500</v>
      </c>
      <c r="AL212" s="884">
        <f>$G212</f>
        <v>0.27539999999999998</v>
      </c>
      <c r="AM212" s="879">
        <f>AK212*AL212*AM$7</f>
        <v>183554.09999999998</v>
      </c>
      <c r="AN212" s="885">
        <v>0</v>
      </c>
      <c r="AO212" s="884">
        <f>$G212</f>
        <v>0.27539999999999998</v>
      </c>
      <c r="AP212" s="879">
        <f>AN212*AO212*AP$7</f>
        <v>0</v>
      </c>
      <c r="AQ212" s="885">
        <v>0</v>
      </c>
      <c r="AR212" s="884">
        <f>$G212</f>
        <v>0.27539999999999998</v>
      </c>
      <c r="AS212" s="879">
        <f>AQ212*AR212*AS$7</f>
        <v>0</v>
      </c>
      <c r="AT212" s="879"/>
      <c r="AV212" s="823">
        <f>AS212+AP212+AM212+AJ212+AG212+AD212+AA212+X212+U212+R212+O212+L212</f>
        <v>1800014.4</v>
      </c>
      <c r="AW212" s="910"/>
      <c r="AX212" s="33">
        <f>AV212</f>
        <v>1800014.4</v>
      </c>
      <c r="AY212" s="910"/>
      <c r="BB212" s="910"/>
      <c r="BD212" s="33">
        <f>AX212</f>
        <v>1800014.4</v>
      </c>
    </row>
    <row r="213" spans="1:56" x14ac:dyDescent="0.2">
      <c r="A213" s="933"/>
      <c r="B213" s="925"/>
      <c r="D213" s="816"/>
      <c r="E213" s="926"/>
      <c r="F213" s="935"/>
      <c r="G213" s="883"/>
      <c r="H213" s="29"/>
      <c r="I213" s="884"/>
      <c r="J213" s="885"/>
      <c r="K213" s="884"/>
      <c r="L213" s="879"/>
      <c r="M213" s="885"/>
      <c r="N213" s="884"/>
      <c r="O213" s="879"/>
      <c r="P213" s="885"/>
      <c r="Q213" s="884"/>
      <c r="R213" s="879"/>
      <c r="S213" s="885"/>
      <c r="T213" s="884"/>
      <c r="U213" s="879"/>
      <c r="V213" s="885"/>
      <c r="W213" s="884"/>
      <c r="X213" s="879"/>
      <c r="Y213" s="885"/>
      <c r="Z213" s="884"/>
      <c r="AA213" s="879"/>
      <c r="AB213" s="885"/>
      <c r="AC213" s="884"/>
      <c r="AD213" s="879"/>
      <c r="AE213" s="885"/>
      <c r="AF213" s="884"/>
      <c r="AG213" s="879"/>
      <c r="AH213" s="885"/>
      <c r="AI213" s="884"/>
      <c r="AJ213" s="879"/>
      <c r="AK213" s="885"/>
      <c r="AL213" s="884"/>
      <c r="AM213" s="879"/>
      <c r="AN213" s="885"/>
      <c r="AO213" s="884"/>
      <c r="AP213" s="879"/>
      <c r="AQ213" s="885"/>
      <c r="AR213" s="884"/>
      <c r="AS213" s="879"/>
      <c r="AT213" s="879"/>
      <c r="AV213" s="33"/>
      <c r="AW213" s="886"/>
      <c r="AY213" s="886"/>
      <c r="BB213" s="886"/>
    </row>
    <row r="214" spans="1:56" x14ac:dyDescent="0.2">
      <c r="A214" s="175">
        <v>27581</v>
      </c>
      <c r="B214" s="175" t="s">
        <v>290</v>
      </c>
      <c r="C214">
        <v>2002</v>
      </c>
      <c r="D214" s="181">
        <v>37347</v>
      </c>
      <c r="E214" s="602">
        <v>37925</v>
      </c>
      <c r="F214" s="730">
        <v>14000</v>
      </c>
      <c r="G214" s="533">
        <v>0.3473</v>
      </c>
      <c r="H214" s="533">
        <v>2.46E-2</v>
      </c>
      <c r="I214" s="884">
        <f>SUM(G214:H214)</f>
        <v>0.37190000000000001</v>
      </c>
      <c r="J214" s="885">
        <v>0</v>
      </c>
      <c r="K214" s="884">
        <f>$G214</f>
        <v>0.3473</v>
      </c>
      <c r="L214" s="879">
        <f>J214*K214*L$7</f>
        <v>0</v>
      </c>
      <c r="M214" s="885">
        <v>0</v>
      </c>
      <c r="N214" s="884">
        <f>$G214</f>
        <v>0.3473</v>
      </c>
      <c r="O214" s="879">
        <f>M214*N214*O$7</f>
        <v>0</v>
      </c>
      <c r="P214" s="885">
        <v>0</v>
      </c>
      <c r="Q214" s="884">
        <f>$G214</f>
        <v>0.3473</v>
      </c>
      <c r="R214" s="879">
        <f>P214*Q214*R$7</f>
        <v>0</v>
      </c>
      <c r="S214" s="885">
        <f>$F214</f>
        <v>14000</v>
      </c>
      <c r="T214" s="884">
        <f>$G214</f>
        <v>0.3473</v>
      </c>
      <c r="U214" s="879">
        <f>S214*T214*U$7</f>
        <v>145866</v>
      </c>
      <c r="V214" s="885">
        <f>$F214</f>
        <v>14000</v>
      </c>
      <c r="W214" s="884">
        <f>$G214</f>
        <v>0.3473</v>
      </c>
      <c r="X214" s="879">
        <f>V214*W214*X$7</f>
        <v>150728.19999999998</v>
      </c>
      <c r="Y214" s="885">
        <f>$F214</f>
        <v>14000</v>
      </c>
      <c r="Z214" s="884">
        <f>$G214</f>
        <v>0.3473</v>
      </c>
      <c r="AA214" s="879">
        <f>Y214*Z214*AA$7</f>
        <v>145866</v>
      </c>
      <c r="AB214" s="885">
        <f>$F214</f>
        <v>14000</v>
      </c>
      <c r="AC214" s="884">
        <f>$G214</f>
        <v>0.3473</v>
      </c>
      <c r="AD214" s="879">
        <f>AB214*AC214*AD$7</f>
        <v>150728.19999999998</v>
      </c>
      <c r="AE214" s="885">
        <f>$F214</f>
        <v>14000</v>
      </c>
      <c r="AF214" s="884">
        <f>$G214</f>
        <v>0.3473</v>
      </c>
      <c r="AG214" s="879">
        <f>AE214*AF214*AG$7</f>
        <v>150728.19999999998</v>
      </c>
      <c r="AH214" s="885">
        <f>$F214</f>
        <v>14000</v>
      </c>
      <c r="AI214" s="884">
        <f>$G214</f>
        <v>0.3473</v>
      </c>
      <c r="AJ214" s="879">
        <f>AH214*AI214*AJ$7</f>
        <v>145866</v>
      </c>
      <c r="AK214" s="885">
        <f>$F214</f>
        <v>14000</v>
      </c>
      <c r="AL214" s="884">
        <f>$G214</f>
        <v>0.3473</v>
      </c>
      <c r="AM214" s="879">
        <f>AK214*AL214*AM$7</f>
        <v>150728.19999999998</v>
      </c>
      <c r="AN214" s="885">
        <v>0</v>
      </c>
      <c r="AO214" s="884">
        <f>$G214</f>
        <v>0.3473</v>
      </c>
      <c r="AP214" s="879">
        <f>AN214*AO214*AP$7</f>
        <v>0</v>
      </c>
      <c r="AQ214" s="885">
        <v>0</v>
      </c>
      <c r="AR214" s="884">
        <f>$G214</f>
        <v>0.3473</v>
      </c>
      <c r="AS214" s="879">
        <f>AQ214*AR214*AS$7</f>
        <v>0</v>
      </c>
      <c r="AT214" s="879"/>
      <c r="AV214" s="823">
        <f>AS214+AP214+AM214+AJ214+AG214+AD214+AA214+X214+U214+R214+O214+L214</f>
        <v>1040510.7999999998</v>
      </c>
      <c r="AW214" s="910"/>
      <c r="AX214" s="33">
        <f>AV214</f>
        <v>1040510.7999999998</v>
      </c>
      <c r="AY214" s="910"/>
      <c r="BB214" s="910"/>
      <c r="BD214" s="33">
        <f>AX214</f>
        <v>1040510.7999999998</v>
      </c>
    </row>
    <row r="215" spans="1:56" x14ac:dyDescent="0.2">
      <c r="A215" s="933"/>
      <c r="B215" s="925"/>
      <c r="D215" s="816"/>
      <c r="E215" s="926"/>
      <c r="F215" s="935"/>
      <c r="G215" s="883"/>
      <c r="H215" s="29"/>
      <c r="I215" s="884"/>
      <c r="J215" s="885"/>
      <c r="K215" s="884"/>
      <c r="L215" s="879"/>
      <c r="M215" s="885"/>
      <c r="N215" s="884"/>
      <c r="O215" s="879"/>
      <c r="P215" s="885"/>
      <c r="Q215" s="884"/>
      <c r="R215" s="879"/>
      <c r="S215" s="885"/>
      <c r="T215" s="884"/>
      <c r="U215" s="879"/>
      <c r="V215" s="885"/>
      <c r="W215" s="884"/>
      <c r="X215" s="879"/>
      <c r="Y215" s="885"/>
      <c r="Z215" s="884"/>
      <c r="AA215" s="879"/>
      <c r="AB215" s="885"/>
      <c r="AC215" s="884"/>
      <c r="AD215" s="879"/>
      <c r="AE215" s="885"/>
      <c r="AF215" s="884"/>
      <c r="AG215" s="879"/>
      <c r="AH215" s="885"/>
      <c r="AI215" s="884"/>
      <c r="AJ215" s="879"/>
      <c r="AK215" s="885"/>
      <c r="AL215" s="884"/>
      <c r="AM215" s="879"/>
      <c r="AN215" s="885"/>
      <c r="AO215" s="884"/>
      <c r="AP215" s="879"/>
      <c r="AQ215" s="885"/>
      <c r="AR215" s="884"/>
      <c r="AS215" s="879"/>
      <c r="AT215" s="879"/>
      <c r="AV215" s="33"/>
      <c r="AW215" s="886"/>
      <c r="AY215" s="886"/>
      <c r="BB215" s="886"/>
    </row>
    <row r="216" spans="1:56" s="11" customFormat="1" x14ac:dyDescent="0.2">
      <c r="A216" s="617">
        <v>27649</v>
      </c>
      <c r="B216" s="617" t="s">
        <v>605</v>
      </c>
      <c r="C216" s="11">
        <v>2002</v>
      </c>
      <c r="D216" s="529" t="s">
        <v>616</v>
      </c>
      <c r="E216" s="913">
        <v>39233</v>
      </c>
      <c r="F216" s="934">
        <v>7500</v>
      </c>
      <c r="G216" s="911">
        <f>I216-H216</f>
        <v>0.20039999999999999</v>
      </c>
      <c r="H216" s="533">
        <v>2.46E-2</v>
      </c>
      <c r="I216" s="911">
        <v>0.22500000000000001</v>
      </c>
      <c r="J216" s="885">
        <v>0</v>
      </c>
      <c r="K216" s="909">
        <v>0</v>
      </c>
      <c r="L216" s="891">
        <v>0</v>
      </c>
      <c r="M216" s="885">
        <v>0</v>
      </c>
      <c r="N216" s="909">
        <v>0</v>
      </c>
      <c r="O216" s="891">
        <v>0</v>
      </c>
      <c r="P216" s="885">
        <v>0</v>
      </c>
      <c r="Q216" s="909">
        <v>0</v>
      </c>
      <c r="R216" s="891">
        <v>0</v>
      </c>
      <c r="S216" s="885">
        <v>0</v>
      </c>
      <c r="T216" s="909">
        <v>0</v>
      </c>
      <c r="U216" s="891">
        <v>0</v>
      </c>
      <c r="V216" s="885">
        <v>0</v>
      </c>
      <c r="W216" s="909">
        <v>0</v>
      </c>
      <c r="X216" s="891">
        <v>0</v>
      </c>
      <c r="Y216" s="885">
        <f>$F216</f>
        <v>7500</v>
      </c>
      <c r="Z216" s="818">
        <f>$G216</f>
        <v>0.20039999999999999</v>
      </c>
      <c r="AA216" s="891">
        <f t="shared" ref="AA216:AA225" si="273">Y216*Z216*AA$7</f>
        <v>45090</v>
      </c>
      <c r="AB216" s="885">
        <f t="shared" ref="AB216:AB225" si="274">$F216</f>
        <v>7500</v>
      </c>
      <c r="AC216" s="818">
        <f t="shared" ref="AC216:AC225" si="275">$G216</f>
        <v>0.20039999999999999</v>
      </c>
      <c r="AD216" s="891">
        <f t="shared" ref="AD216:AD225" si="276">AB216*AC216*AD$7</f>
        <v>46593</v>
      </c>
      <c r="AE216" s="885">
        <f t="shared" ref="AE216:AE225" si="277">$F216</f>
        <v>7500</v>
      </c>
      <c r="AF216" s="818">
        <f t="shared" ref="AF216:AF225" si="278">$G216</f>
        <v>0.20039999999999999</v>
      </c>
      <c r="AG216" s="891">
        <f t="shared" ref="AG216:AG225" si="279">AE216*AF216*AG$7</f>
        <v>46593</v>
      </c>
      <c r="AH216" s="885">
        <f t="shared" ref="AH216:AH225" si="280">$F216</f>
        <v>7500</v>
      </c>
      <c r="AI216" s="818">
        <f t="shared" ref="AI216:AI225" si="281">$G216</f>
        <v>0.20039999999999999</v>
      </c>
      <c r="AJ216" s="891">
        <f t="shared" ref="AJ216:AJ225" si="282">AH216*AI216*AJ$7</f>
        <v>45090</v>
      </c>
      <c r="AK216" s="885">
        <f t="shared" ref="AK216:AK225" si="283">$F216</f>
        <v>7500</v>
      </c>
      <c r="AL216" s="818">
        <f t="shared" ref="AL216:AL225" si="284">$G216</f>
        <v>0.20039999999999999</v>
      </c>
      <c r="AM216" s="891">
        <f t="shared" ref="AM216:AM225" si="285">AK216*AL216*AM$7</f>
        <v>46593</v>
      </c>
      <c r="AN216" s="885">
        <f t="shared" ref="AN216:AN225" si="286">$F216</f>
        <v>7500</v>
      </c>
      <c r="AO216" s="818">
        <f t="shared" ref="AO216:AO225" si="287">$G216</f>
        <v>0.20039999999999999</v>
      </c>
      <c r="AP216" s="891">
        <f t="shared" ref="AP216:AP225" si="288">AN216*AO216*AP$7</f>
        <v>45090</v>
      </c>
      <c r="AQ216" s="885">
        <f t="shared" ref="AQ216:AQ225" si="289">$F216</f>
        <v>7500</v>
      </c>
      <c r="AR216" s="818">
        <f t="shared" ref="AR216:AR225" si="290">$G216</f>
        <v>0.20039999999999999</v>
      </c>
      <c r="AS216" s="891">
        <f t="shared" ref="AS216:AS225" si="291">AQ216*AR216*AS$7</f>
        <v>46593</v>
      </c>
      <c r="AT216" s="891"/>
      <c r="AV216" s="823">
        <f t="shared" ref="AV216:AV225" si="292">AS216+AP216+AM216+AJ216+AG216+AD216+AA216+X216+U216+R216+O216+L216</f>
        <v>321642</v>
      </c>
      <c r="AW216" s="910"/>
      <c r="AY216" s="910"/>
      <c r="BB216" s="910"/>
    </row>
    <row r="217" spans="1:56" s="11" customFormat="1" x14ac:dyDescent="0.2">
      <c r="A217" s="617" t="s">
        <v>743</v>
      </c>
      <c r="B217" s="617"/>
      <c r="D217" s="529"/>
      <c r="E217" s="913"/>
      <c r="F217" s="934">
        <v>13300</v>
      </c>
      <c r="G217" s="911">
        <v>0.14000000000000001</v>
      </c>
      <c r="H217" s="533"/>
      <c r="I217" s="911"/>
      <c r="J217" s="885"/>
      <c r="K217" s="909"/>
      <c r="L217" s="891"/>
      <c r="M217" s="885"/>
      <c r="N217" s="909"/>
      <c r="O217" s="891"/>
      <c r="P217" s="885"/>
      <c r="Q217" s="909"/>
      <c r="R217" s="891"/>
      <c r="S217" s="885"/>
      <c r="T217" s="909"/>
      <c r="U217" s="891"/>
      <c r="V217" s="885"/>
      <c r="W217" s="909"/>
      <c r="X217" s="891"/>
      <c r="Y217" s="885">
        <f>$F217</f>
        <v>13300</v>
      </c>
      <c r="Z217" s="818">
        <f>$G217</f>
        <v>0.14000000000000001</v>
      </c>
      <c r="AA217" s="891">
        <f t="shared" si="273"/>
        <v>55860.000000000007</v>
      </c>
      <c r="AB217" s="885">
        <f t="shared" si="274"/>
        <v>13300</v>
      </c>
      <c r="AC217" s="818">
        <f t="shared" si="275"/>
        <v>0.14000000000000001</v>
      </c>
      <c r="AD217" s="891">
        <f t="shared" si="276"/>
        <v>57722.000000000007</v>
      </c>
      <c r="AE217" s="885">
        <f t="shared" si="277"/>
        <v>13300</v>
      </c>
      <c r="AF217" s="818">
        <f t="shared" si="278"/>
        <v>0.14000000000000001</v>
      </c>
      <c r="AG217" s="891">
        <f t="shared" si="279"/>
        <v>57722.000000000007</v>
      </c>
      <c r="AH217" s="885">
        <f t="shared" si="280"/>
        <v>13300</v>
      </c>
      <c r="AI217" s="818">
        <f t="shared" si="281"/>
        <v>0.14000000000000001</v>
      </c>
      <c r="AJ217" s="891">
        <f t="shared" si="282"/>
        <v>55860.000000000007</v>
      </c>
      <c r="AK217" s="885">
        <f t="shared" si="283"/>
        <v>13300</v>
      </c>
      <c r="AL217" s="818">
        <f t="shared" si="284"/>
        <v>0.14000000000000001</v>
      </c>
      <c r="AM217" s="891">
        <f t="shared" si="285"/>
        <v>57722.000000000007</v>
      </c>
      <c r="AN217" s="885">
        <f t="shared" si="286"/>
        <v>13300</v>
      </c>
      <c r="AO217" s="818">
        <f t="shared" si="287"/>
        <v>0.14000000000000001</v>
      </c>
      <c r="AP217" s="891">
        <f t="shared" si="288"/>
        <v>55860.000000000007</v>
      </c>
      <c r="AQ217" s="885">
        <f t="shared" si="289"/>
        <v>13300</v>
      </c>
      <c r="AR217" s="818">
        <f t="shared" si="290"/>
        <v>0.14000000000000001</v>
      </c>
      <c r="AS217" s="891">
        <f t="shared" si="291"/>
        <v>57722.000000000007</v>
      </c>
      <c r="AT217" s="891"/>
      <c r="AV217" s="823">
        <f t="shared" si="292"/>
        <v>398468.00000000006</v>
      </c>
      <c r="AW217" s="910"/>
      <c r="AY217" s="910"/>
      <c r="BB217" s="910"/>
    </row>
    <row r="218" spans="1:56" s="11" customFormat="1" x14ac:dyDescent="0.2">
      <c r="A218" s="617">
        <v>27641</v>
      </c>
      <c r="B218" s="617" t="s">
        <v>605</v>
      </c>
      <c r="C218" s="11">
        <v>2002</v>
      </c>
      <c r="D218" s="529" t="s">
        <v>616</v>
      </c>
      <c r="E218" s="913">
        <v>48395</v>
      </c>
      <c r="F218" s="934">
        <v>20000</v>
      </c>
      <c r="G218" s="911">
        <f t="shared" ref="G218:G225" si="293">I218-H218</f>
        <v>0.35539999999999999</v>
      </c>
      <c r="H218" s="533">
        <v>2.46E-2</v>
      </c>
      <c r="I218" s="911">
        <v>0.38</v>
      </c>
      <c r="J218" s="885">
        <v>0</v>
      </c>
      <c r="K218" s="909">
        <v>0</v>
      </c>
      <c r="L218" s="891">
        <v>0</v>
      </c>
      <c r="M218" s="885">
        <v>0</v>
      </c>
      <c r="N218" s="909">
        <v>0</v>
      </c>
      <c r="O218" s="891">
        <v>0</v>
      </c>
      <c r="P218" s="885">
        <v>0</v>
      </c>
      <c r="Q218" s="909">
        <v>0</v>
      </c>
      <c r="R218" s="891">
        <v>0</v>
      </c>
      <c r="S218" s="885">
        <v>0</v>
      </c>
      <c r="T218" s="909">
        <v>0</v>
      </c>
      <c r="U218" s="891">
        <v>0</v>
      </c>
      <c r="V218" s="885">
        <v>0</v>
      </c>
      <c r="W218" s="909">
        <v>0</v>
      </c>
      <c r="X218" s="891">
        <v>0</v>
      </c>
      <c r="Y218" s="885">
        <f>$F218</f>
        <v>20000</v>
      </c>
      <c r="Z218" s="818">
        <f>$G218</f>
        <v>0.35539999999999999</v>
      </c>
      <c r="AA218" s="891">
        <f t="shared" si="273"/>
        <v>213240</v>
      </c>
      <c r="AB218" s="885">
        <f t="shared" si="274"/>
        <v>20000</v>
      </c>
      <c r="AC218" s="818">
        <f t="shared" si="275"/>
        <v>0.35539999999999999</v>
      </c>
      <c r="AD218" s="891">
        <f t="shared" si="276"/>
        <v>220348</v>
      </c>
      <c r="AE218" s="885">
        <f t="shared" si="277"/>
        <v>20000</v>
      </c>
      <c r="AF218" s="818">
        <f t="shared" si="278"/>
        <v>0.35539999999999999</v>
      </c>
      <c r="AG218" s="891">
        <f t="shared" si="279"/>
        <v>220348</v>
      </c>
      <c r="AH218" s="885">
        <f t="shared" si="280"/>
        <v>20000</v>
      </c>
      <c r="AI218" s="818">
        <f t="shared" si="281"/>
        <v>0.35539999999999999</v>
      </c>
      <c r="AJ218" s="891">
        <f t="shared" si="282"/>
        <v>213240</v>
      </c>
      <c r="AK218" s="885">
        <f t="shared" si="283"/>
        <v>20000</v>
      </c>
      <c r="AL218" s="818">
        <f t="shared" si="284"/>
        <v>0.35539999999999999</v>
      </c>
      <c r="AM218" s="891">
        <f t="shared" si="285"/>
        <v>220348</v>
      </c>
      <c r="AN218" s="885">
        <f t="shared" si="286"/>
        <v>20000</v>
      </c>
      <c r="AO218" s="818">
        <f t="shared" si="287"/>
        <v>0.35539999999999999</v>
      </c>
      <c r="AP218" s="891">
        <f t="shared" si="288"/>
        <v>213240</v>
      </c>
      <c r="AQ218" s="885">
        <f t="shared" si="289"/>
        <v>20000</v>
      </c>
      <c r="AR218" s="818">
        <f t="shared" si="290"/>
        <v>0.35539999999999999</v>
      </c>
      <c r="AS218" s="891">
        <f t="shared" si="291"/>
        <v>220348</v>
      </c>
      <c r="AT218" s="891"/>
      <c r="AV218" s="823">
        <f t="shared" si="292"/>
        <v>1521112</v>
      </c>
      <c r="AW218" s="910"/>
      <c r="AY218" s="910"/>
      <c r="BB218" s="910"/>
    </row>
    <row r="219" spans="1:56" s="11" customFormat="1" x14ac:dyDescent="0.2">
      <c r="A219" s="617">
        <v>27608</v>
      </c>
      <c r="B219" s="617" t="s">
        <v>606</v>
      </c>
      <c r="C219" s="11">
        <v>2002</v>
      </c>
      <c r="D219" s="529" t="s">
        <v>616</v>
      </c>
      <c r="E219" s="913">
        <v>42886</v>
      </c>
      <c r="F219" s="934">
        <v>10000</v>
      </c>
      <c r="G219" s="911">
        <f t="shared" si="293"/>
        <v>0.3604</v>
      </c>
      <c r="H219" s="533">
        <v>2.46E-2</v>
      </c>
      <c r="I219" s="911">
        <v>0.38500000000000001</v>
      </c>
      <c r="J219" s="885">
        <v>0</v>
      </c>
      <c r="K219" s="909">
        <v>0</v>
      </c>
      <c r="L219" s="891">
        <v>0</v>
      </c>
      <c r="M219" s="885">
        <v>0</v>
      </c>
      <c r="N219" s="909">
        <v>0</v>
      </c>
      <c r="O219" s="891">
        <v>0</v>
      </c>
      <c r="P219" s="885">
        <v>0</v>
      </c>
      <c r="Q219" s="909">
        <v>0</v>
      </c>
      <c r="R219" s="891">
        <v>0</v>
      </c>
      <c r="S219" s="885">
        <v>0</v>
      </c>
      <c r="T219" s="909">
        <v>0</v>
      </c>
      <c r="U219" s="891">
        <v>0</v>
      </c>
      <c r="V219" s="885">
        <v>0</v>
      </c>
      <c r="W219" s="909">
        <v>0</v>
      </c>
      <c r="X219" s="891">
        <v>0</v>
      </c>
      <c r="Y219" s="885">
        <f>$F219</f>
        <v>10000</v>
      </c>
      <c r="Z219" s="818">
        <f>$G219</f>
        <v>0.3604</v>
      </c>
      <c r="AA219" s="891">
        <f t="shared" si="273"/>
        <v>108120</v>
      </c>
      <c r="AB219" s="885">
        <f t="shared" si="274"/>
        <v>10000</v>
      </c>
      <c r="AC219" s="818">
        <f t="shared" si="275"/>
        <v>0.3604</v>
      </c>
      <c r="AD219" s="891">
        <f t="shared" si="276"/>
        <v>111724</v>
      </c>
      <c r="AE219" s="885">
        <f t="shared" si="277"/>
        <v>10000</v>
      </c>
      <c r="AF219" s="818">
        <f t="shared" si="278"/>
        <v>0.3604</v>
      </c>
      <c r="AG219" s="891">
        <f t="shared" si="279"/>
        <v>111724</v>
      </c>
      <c r="AH219" s="885">
        <f t="shared" si="280"/>
        <v>10000</v>
      </c>
      <c r="AI219" s="818">
        <f t="shared" si="281"/>
        <v>0.3604</v>
      </c>
      <c r="AJ219" s="891">
        <f t="shared" si="282"/>
        <v>108120</v>
      </c>
      <c r="AK219" s="885">
        <f t="shared" si="283"/>
        <v>10000</v>
      </c>
      <c r="AL219" s="818">
        <f t="shared" si="284"/>
        <v>0.3604</v>
      </c>
      <c r="AM219" s="891">
        <f t="shared" si="285"/>
        <v>111724</v>
      </c>
      <c r="AN219" s="885">
        <f t="shared" si="286"/>
        <v>10000</v>
      </c>
      <c r="AO219" s="818">
        <f t="shared" si="287"/>
        <v>0.3604</v>
      </c>
      <c r="AP219" s="891">
        <f t="shared" si="288"/>
        <v>108120</v>
      </c>
      <c r="AQ219" s="885">
        <f t="shared" si="289"/>
        <v>10000</v>
      </c>
      <c r="AR219" s="818">
        <f t="shared" si="290"/>
        <v>0.3604</v>
      </c>
      <c r="AS219" s="891">
        <f t="shared" si="291"/>
        <v>111724</v>
      </c>
      <c r="AT219" s="891"/>
      <c r="AV219" s="823">
        <f t="shared" si="292"/>
        <v>771256</v>
      </c>
      <c r="AW219" s="910"/>
      <c r="AY219" s="910"/>
      <c r="BB219" s="910"/>
    </row>
    <row r="220" spans="1:56" s="11" customFormat="1" x14ac:dyDescent="0.2">
      <c r="A220" s="617">
        <v>27607</v>
      </c>
      <c r="B220" s="617" t="s">
        <v>607</v>
      </c>
      <c r="C220" s="11">
        <v>2002</v>
      </c>
      <c r="D220" s="529" t="s">
        <v>616</v>
      </c>
      <c r="E220" s="913">
        <v>38077</v>
      </c>
      <c r="F220" s="934">
        <v>1700</v>
      </c>
      <c r="G220" s="911">
        <f t="shared" si="293"/>
        <v>1.7254</v>
      </c>
      <c r="H220" s="533">
        <v>2.46E-2</v>
      </c>
      <c r="I220" s="911">
        <v>1.75</v>
      </c>
      <c r="J220" s="885">
        <v>0</v>
      </c>
      <c r="K220" s="909">
        <v>0</v>
      </c>
      <c r="L220" s="891">
        <v>0</v>
      </c>
      <c r="M220" s="885">
        <v>0</v>
      </c>
      <c r="N220" s="909">
        <v>0</v>
      </c>
      <c r="O220" s="891">
        <v>0</v>
      </c>
      <c r="P220" s="885">
        <v>0</v>
      </c>
      <c r="Q220" s="909">
        <v>0</v>
      </c>
      <c r="R220" s="891">
        <v>0</v>
      </c>
      <c r="S220" s="885">
        <v>0</v>
      </c>
      <c r="T220" s="909">
        <v>0</v>
      </c>
      <c r="U220" s="891">
        <v>0</v>
      </c>
      <c r="V220" s="885">
        <v>0</v>
      </c>
      <c r="W220" s="909">
        <v>0</v>
      </c>
      <c r="X220" s="891">
        <v>0</v>
      </c>
      <c r="Y220" s="885">
        <f>$F220</f>
        <v>1700</v>
      </c>
      <c r="Z220" s="818">
        <f>$G220</f>
        <v>1.7254</v>
      </c>
      <c r="AA220" s="891">
        <f t="shared" si="273"/>
        <v>87995.400000000009</v>
      </c>
      <c r="AB220" s="885">
        <f t="shared" si="274"/>
        <v>1700</v>
      </c>
      <c r="AC220" s="818">
        <f t="shared" si="275"/>
        <v>1.7254</v>
      </c>
      <c r="AD220" s="891">
        <f t="shared" si="276"/>
        <v>90928.580000000016</v>
      </c>
      <c r="AE220" s="885">
        <f t="shared" si="277"/>
        <v>1700</v>
      </c>
      <c r="AF220" s="818">
        <f t="shared" si="278"/>
        <v>1.7254</v>
      </c>
      <c r="AG220" s="891">
        <f t="shared" si="279"/>
        <v>90928.580000000016</v>
      </c>
      <c r="AH220" s="885">
        <f t="shared" si="280"/>
        <v>1700</v>
      </c>
      <c r="AI220" s="818">
        <f t="shared" si="281"/>
        <v>1.7254</v>
      </c>
      <c r="AJ220" s="891">
        <f t="shared" si="282"/>
        <v>87995.400000000009</v>
      </c>
      <c r="AK220" s="885">
        <f t="shared" si="283"/>
        <v>1700</v>
      </c>
      <c r="AL220" s="818">
        <f t="shared" si="284"/>
        <v>1.7254</v>
      </c>
      <c r="AM220" s="891">
        <f t="shared" si="285"/>
        <v>90928.580000000016</v>
      </c>
      <c r="AN220" s="885">
        <f t="shared" si="286"/>
        <v>1700</v>
      </c>
      <c r="AO220" s="818">
        <f t="shared" si="287"/>
        <v>1.7254</v>
      </c>
      <c r="AP220" s="891">
        <f t="shared" si="288"/>
        <v>87995.400000000009</v>
      </c>
      <c r="AQ220" s="885">
        <f t="shared" si="289"/>
        <v>1700</v>
      </c>
      <c r="AR220" s="818">
        <f t="shared" si="290"/>
        <v>1.7254</v>
      </c>
      <c r="AS220" s="891">
        <f t="shared" si="291"/>
        <v>90928.580000000016</v>
      </c>
      <c r="AT220" s="891"/>
      <c r="AV220" s="823">
        <f t="shared" si="292"/>
        <v>627700.52000000014</v>
      </c>
      <c r="AW220" s="910"/>
      <c r="AY220" s="910"/>
      <c r="BB220" s="910"/>
    </row>
    <row r="221" spans="1:56" s="11" customFormat="1" x14ac:dyDescent="0.2">
      <c r="A221" s="617">
        <v>27642</v>
      </c>
      <c r="B221" s="617" t="s">
        <v>608</v>
      </c>
      <c r="C221" s="11">
        <v>2002</v>
      </c>
      <c r="D221" s="529" t="s">
        <v>616</v>
      </c>
      <c r="E221" s="913">
        <v>42886</v>
      </c>
      <c r="F221" s="934">
        <v>40000</v>
      </c>
      <c r="G221" s="911">
        <f t="shared" si="293"/>
        <v>0.35539999999999999</v>
      </c>
      <c r="H221" s="533">
        <v>2.46E-2</v>
      </c>
      <c r="I221" s="911">
        <v>0.38</v>
      </c>
      <c r="J221" s="885">
        <v>0</v>
      </c>
      <c r="K221" s="909">
        <v>0</v>
      </c>
      <c r="L221" s="891">
        <v>0</v>
      </c>
      <c r="M221" s="885">
        <v>0</v>
      </c>
      <c r="N221" s="909">
        <v>0</v>
      </c>
      <c r="O221" s="891">
        <v>0</v>
      </c>
      <c r="P221" s="885">
        <v>0</v>
      </c>
      <c r="Q221" s="909">
        <v>0</v>
      </c>
      <c r="R221" s="891">
        <v>0</v>
      </c>
      <c r="S221" s="885">
        <v>0</v>
      </c>
      <c r="T221" s="909">
        <v>0</v>
      </c>
      <c r="U221" s="891">
        <v>0</v>
      </c>
      <c r="V221" s="885">
        <v>0</v>
      </c>
      <c r="W221" s="909">
        <v>0</v>
      </c>
      <c r="X221" s="891">
        <v>0</v>
      </c>
      <c r="Y221" s="885">
        <v>0</v>
      </c>
      <c r="Z221" s="909">
        <v>0</v>
      </c>
      <c r="AA221" s="891">
        <f t="shared" si="273"/>
        <v>0</v>
      </c>
      <c r="AB221" s="885">
        <f t="shared" si="274"/>
        <v>40000</v>
      </c>
      <c r="AC221" s="818">
        <f t="shared" si="275"/>
        <v>0.35539999999999999</v>
      </c>
      <c r="AD221" s="891">
        <f t="shared" si="276"/>
        <v>440696</v>
      </c>
      <c r="AE221" s="885">
        <f t="shared" si="277"/>
        <v>40000</v>
      </c>
      <c r="AF221" s="818">
        <f t="shared" si="278"/>
        <v>0.35539999999999999</v>
      </c>
      <c r="AG221" s="891">
        <f t="shared" si="279"/>
        <v>440696</v>
      </c>
      <c r="AH221" s="885">
        <f t="shared" si="280"/>
        <v>40000</v>
      </c>
      <c r="AI221" s="818">
        <f t="shared" si="281"/>
        <v>0.35539999999999999</v>
      </c>
      <c r="AJ221" s="891">
        <f t="shared" si="282"/>
        <v>426480</v>
      </c>
      <c r="AK221" s="885">
        <f t="shared" si="283"/>
        <v>40000</v>
      </c>
      <c r="AL221" s="818">
        <f t="shared" si="284"/>
        <v>0.35539999999999999</v>
      </c>
      <c r="AM221" s="891">
        <f t="shared" si="285"/>
        <v>440696</v>
      </c>
      <c r="AN221" s="885">
        <f t="shared" si="286"/>
        <v>40000</v>
      </c>
      <c r="AO221" s="818">
        <f t="shared" si="287"/>
        <v>0.35539999999999999</v>
      </c>
      <c r="AP221" s="891">
        <f t="shared" si="288"/>
        <v>426480</v>
      </c>
      <c r="AQ221" s="885">
        <f t="shared" si="289"/>
        <v>40000</v>
      </c>
      <c r="AR221" s="818">
        <f t="shared" si="290"/>
        <v>0.35539999999999999</v>
      </c>
      <c r="AS221" s="891">
        <f t="shared" si="291"/>
        <v>440696</v>
      </c>
      <c r="AT221" s="891"/>
      <c r="AV221" s="823">
        <f t="shared" si="292"/>
        <v>2615744</v>
      </c>
      <c r="AW221" s="910"/>
      <c r="AY221" s="910"/>
      <c r="BB221" s="910"/>
    </row>
    <row r="222" spans="1:56" s="11" customFormat="1" x14ac:dyDescent="0.2">
      <c r="A222" s="617">
        <v>27622</v>
      </c>
      <c r="B222" s="617" t="s">
        <v>609</v>
      </c>
      <c r="C222" s="11">
        <v>2002</v>
      </c>
      <c r="D222" s="529" t="s">
        <v>616</v>
      </c>
      <c r="E222" s="913">
        <v>41882</v>
      </c>
      <c r="F222" s="934">
        <v>4500</v>
      </c>
      <c r="G222" s="911">
        <f t="shared" si="293"/>
        <v>0.39539999999999997</v>
      </c>
      <c r="H222" s="533">
        <v>2.46E-2</v>
      </c>
      <c r="I222" s="911">
        <v>0.42</v>
      </c>
      <c r="J222" s="885">
        <v>0</v>
      </c>
      <c r="K222" s="909">
        <v>0</v>
      </c>
      <c r="L222" s="891">
        <v>0</v>
      </c>
      <c r="M222" s="885">
        <v>0</v>
      </c>
      <c r="N222" s="909">
        <v>0</v>
      </c>
      <c r="O222" s="891">
        <v>0</v>
      </c>
      <c r="P222" s="885">
        <v>0</v>
      </c>
      <c r="Q222" s="909">
        <v>0</v>
      </c>
      <c r="R222" s="891">
        <v>0</v>
      </c>
      <c r="S222" s="885">
        <v>0</v>
      </c>
      <c r="T222" s="909">
        <v>0</v>
      </c>
      <c r="U222" s="891">
        <v>0</v>
      </c>
      <c r="V222" s="885">
        <v>0</v>
      </c>
      <c r="W222" s="909">
        <v>0</v>
      </c>
      <c r="X222" s="891">
        <v>0</v>
      </c>
      <c r="Y222" s="885">
        <f>$F222</f>
        <v>4500</v>
      </c>
      <c r="Z222" s="818">
        <f>$G222</f>
        <v>0.39539999999999997</v>
      </c>
      <c r="AA222" s="891">
        <f t="shared" si="273"/>
        <v>53379</v>
      </c>
      <c r="AB222" s="885">
        <f t="shared" si="274"/>
        <v>4500</v>
      </c>
      <c r="AC222" s="818">
        <f t="shared" si="275"/>
        <v>0.39539999999999997</v>
      </c>
      <c r="AD222" s="891">
        <f t="shared" si="276"/>
        <v>55158.299999999996</v>
      </c>
      <c r="AE222" s="885">
        <f t="shared" si="277"/>
        <v>4500</v>
      </c>
      <c r="AF222" s="818">
        <f t="shared" si="278"/>
        <v>0.39539999999999997</v>
      </c>
      <c r="AG222" s="891">
        <f t="shared" si="279"/>
        <v>55158.299999999996</v>
      </c>
      <c r="AH222" s="885">
        <f t="shared" si="280"/>
        <v>4500</v>
      </c>
      <c r="AI222" s="818">
        <f t="shared" si="281"/>
        <v>0.39539999999999997</v>
      </c>
      <c r="AJ222" s="891">
        <f t="shared" si="282"/>
        <v>53379</v>
      </c>
      <c r="AK222" s="885">
        <f t="shared" si="283"/>
        <v>4500</v>
      </c>
      <c r="AL222" s="818">
        <f t="shared" si="284"/>
        <v>0.39539999999999997</v>
      </c>
      <c r="AM222" s="891">
        <f t="shared" si="285"/>
        <v>55158.299999999996</v>
      </c>
      <c r="AN222" s="885">
        <f t="shared" si="286"/>
        <v>4500</v>
      </c>
      <c r="AO222" s="818">
        <f t="shared" si="287"/>
        <v>0.39539999999999997</v>
      </c>
      <c r="AP222" s="891">
        <f t="shared" si="288"/>
        <v>53379</v>
      </c>
      <c r="AQ222" s="885">
        <f t="shared" si="289"/>
        <v>4500</v>
      </c>
      <c r="AR222" s="818">
        <f t="shared" si="290"/>
        <v>0.39539999999999997</v>
      </c>
      <c r="AS222" s="891">
        <f t="shared" si="291"/>
        <v>55158.299999999996</v>
      </c>
      <c r="AT222" s="891"/>
      <c r="AV222" s="823">
        <f t="shared" si="292"/>
        <v>380770.19999999995</v>
      </c>
      <c r="AW222" s="910"/>
      <c r="AY222" s="910"/>
      <c r="BB222" s="910"/>
    </row>
    <row r="223" spans="1:56" s="11" customFormat="1" x14ac:dyDescent="0.2">
      <c r="A223" s="617">
        <v>27609</v>
      </c>
      <c r="B223" s="617" t="s">
        <v>306</v>
      </c>
      <c r="C223" s="11">
        <v>2002</v>
      </c>
      <c r="D223" s="529" t="s">
        <v>616</v>
      </c>
      <c r="E223" s="913">
        <v>41060</v>
      </c>
      <c r="F223" s="934">
        <v>15000</v>
      </c>
      <c r="G223" s="911">
        <f t="shared" si="293"/>
        <v>0.35539999999999999</v>
      </c>
      <c r="H223" s="533">
        <v>2.46E-2</v>
      </c>
      <c r="I223" s="911">
        <v>0.38</v>
      </c>
      <c r="J223" s="885">
        <v>0</v>
      </c>
      <c r="K223" s="909">
        <v>0</v>
      </c>
      <c r="L223" s="891">
        <v>0</v>
      </c>
      <c r="M223" s="885">
        <v>0</v>
      </c>
      <c r="N223" s="909">
        <v>0</v>
      </c>
      <c r="O223" s="891">
        <v>0</v>
      </c>
      <c r="P223" s="885">
        <v>0</v>
      </c>
      <c r="Q223" s="909">
        <v>0</v>
      </c>
      <c r="R223" s="891">
        <v>0</v>
      </c>
      <c r="S223" s="885">
        <v>0</v>
      </c>
      <c r="T223" s="909">
        <v>0</v>
      </c>
      <c r="U223" s="891">
        <v>0</v>
      </c>
      <c r="V223" s="885">
        <v>0</v>
      </c>
      <c r="W223" s="909">
        <v>0</v>
      </c>
      <c r="X223" s="891">
        <v>0</v>
      </c>
      <c r="Y223" s="885">
        <f>$F223</f>
        <v>15000</v>
      </c>
      <c r="Z223" s="818">
        <f>$G223</f>
        <v>0.35539999999999999</v>
      </c>
      <c r="AA223" s="891">
        <f t="shared" si="273"/>
        <v>159930</v>
      </c>
      <c r="AB223" s="885">
        <f t="shared" si="274"/>
        <v>15000</v>
      </c>
      <c r="AC223" s="818">
        <f t="shared" si="275"/>
        <v>0.35539999999999999</v>
      </c>
      <c r="AD223" s="891">
        <f t="shared" si="276"/>
        <v>165261</v>
      </c>
      <c r="AE223" s="885">
        <f t="shared" si="277"/>
        <v>15000</v>
      </c>
      <c r="AF223" s="818">
        <f t="shared" si="278"/>
        <v>0.35539999999999999</v>
      </c>
      <c r="AG223" s="891">
        <f t="shared" si="279"/>
        <v>165261</v>
      </c>
      <c r="AH223" s="885">
        <f t="shared" si="280"/>
        <v>15000</v>
      </c>
      <c r="AI223" s="818">
        <f t="shared" si="281"/>
        <v>0.35539999999999999</v>
      </c>
      <c r="AJ223" s="891">
        <f t="shared" si="282"/>
        <v>159930</v>
      </c>
      <c r="AK223" s="885">
        <f t="shared" si="283"/>
        <v>15000</v>
      </c>
      <c r="AL223" s="818">
        <f t="shared" si="284"/>
        <v>0.35539999999999999</v>
      </c>
      <c r="AM223" s="891">
        <f t="shared" si="285"/>
        <v>165261</v>
      </c>
      <c r="AN223" s="885">
        <f t="shared" si="286"/>
        <v>15000</v>
      </c>
      <c r="AO223" s="818">
        <f t="shared" si="287"/>
        <v>0.35539999999999999</v>
      </c>
      <c r="AP223" s="891">
        <f t="shared" si="288"/>
        <v>159930</v>
      </c>
      <c r="AQ223" s="885">
        <f t="shared" si="289"/>
        <v>15000</v>
      </c>
      <c r="AR223" s="818">
        <f t="shared" si="290"/>
        <v>0.35539999999999999</v>
      </c>
      <c r="AS223" s="891">
        <f t="shared" si="291"/>
        <v>165261</v>
      </c>
      <c r="AT223" s="891"/>
      <c r="AV223" s="823">
        <f t="shared" si="292"/>
        <v>1140834</v>
      </c>
      <c r="AW223" s="910"/>
      <c r="AY223" s="910"/>
      <c r="BB223" s="910"/>
    </row>
    <row r="224" spans="1:56" s="11" customFormat="1" x14ac:dyDescent="0.2">
      <c r="A224" s="617">
        <v>27604</v>
      </c>
      <c r="B224" s="617" t="s">
        <v>610</v>
      </c>
      <c r="C224" s="11">
        <v>2002</v>
      </c>
      <c r="D224" s="529" t="s">
        <v>616</v>
      </c>
      <c r="E224" s="913">
        <v>37772</v>
      </c>
      <c r="F224" s="934">
        <v>5300</v>
      </c>
      <c r="G224" s="911">
        <f t="shared" si="293"/>
        <v>2.1754000000000002</v>
      </c>
      <c r="H224" s="533">
        <v>2.46E-2</v>
      </c>
      <c r="I224" s="911">
        <v>2.2000000000000002</v>
      </c>
      <c r="J224" s="885">
        <v>0</v>
      </c>
      <c r="K224" s="909">
        <v>0</v>
      </c>
      <c r="L224" s="891">
        <v>0</v>
      </c>
      <c r="M224" s="885">
        <v>0</v>
      </c>
      <c r="N224" s="909">
        <v>0</v>
      </c>
      <c r="O224" s="891">
        <v>0</v>
      </c>
      <c r="P224" s="885">
        <v>0</v>
      </c>
      <c r="Q224" s="909">
        <v>0</v>
      </c>
      <c r="R224" s="891">
        <v>0</v>
      </c>
      <c r="S224" s="885">
        <v>0</v>
      </c>
      <c r="T224" s="909">
        <v>0</v>
      </c>
      <c r="U224" s="891">
        <v>0</v>
      </c>
      <c r="V224" s="885">
        <v>0</v>
      </c>
      <c r="W224" s="909">
        <v>0</v>
      </c>
      <c r="X224" s="891">
        <v>0</v>
      </c>
      <c r="Y224" s="885">
        <f>$F224</f>
        <v>5300</v>
      </c>
      <c r="Z224" s="818">
        <f>$G224</f>
        <v>2.1754000000000002</v>
      </c>
      <c r="AA224" s="891">
        <f t="shared" si="273"/>
        <v>345888.60000000003</v>
      </c>
      <c r="AB224" s="885">
        <f t="shared" si="274"/>
        <v>5300</v>
      </c>
      <c r="AC224" s="818">
        <f t="shared" si="275"/>
        <v>2.1754000000000002</v>
      </c>
      <c r="AD224" s="891">
        <f t="shared" si="276"/>
        <v>357418.22000000003</v>
      </c>
      <c r="AE224" s="885">
        <f t="shared" si="277"/>
        <v>5300</v>
      </c>
      <c r="AF224" s="818">
        <f t="shared" si="278"/>
        <v>2.1754000000000002</v>
      </c>
      <c r="AG224" s="891">
        <f t="shared" si="279"/>
        <v>357418.22000000003</v>
      </c>
      <c r="AH224" s="885">
        <f t="shared" si="280"/>
        <v>5300</v>
      </c>
      <c r="AI224" s="818">
        <f t="shared" si="281"/>
        <v>2.1754000000000002</v>
      </c>
      <c r="AJ224" s="891">
        <f t="shared" si="282"/>
        <v>345888.60000000003</v>
      </c>
      <c r="AK224" s="885">
        <f t="shared" si="283"/>
        <v>5300</v>
      </c>
      <c r="AL224" s="818">
        <f t="shared" si="284"/>
        <v>2.1754000000000002</v>
      </c>
      <c r="AM224" s="891">
        <f t="shared" si="285"/>
        <v>357418.22000000003</v>
      </c>
      <c r="AN224" s="885">
        <f t="shared" si="286"/>
        <v>5300</v>
      </c>
      <c r="AO224" s="818">
        <f t="shared" si="287"/>
        <v>2.1754000000000002</v>
      </c>
      <c r="AP224" s="891">
        <f t="shared" si="288"/>
        <v>345888.60000000003</v>
      </c>
      <c r="AQ224" s="885">
        <f t="shared" si="289"/>
        <v>5300</v>
      </c>
      <c r="AR224" s="818">
        <f t="shared" si="290"/>
        <v>2.1754000000000002</v>
      </c>
      <c r="AS224" s="891">
        <f t="shared" si="291"/>
        <v>357418.22000000003</v>
      </c>
      <c r="AT224" s="891"/>
      <c r="AV224" s="823">
        <f t="shared" si="292"/>
        <v>2467338.6800000002</v>
      </c>
      <c r="AW224" s="910"/>
      <c r="AY224" s="910"/>
      <c r="BB224" s="910"/>
    </row>
    <row r="225" spans="1:57" s="11" customFormat="1" x14ac:dyDescent="0.2">
      <c r="A225" s="617">
        <v>27605</v>
      </c>
      <c r="B225" s="617" t="s">
        <v>610</v>
      </c>
      <c r="C225" s="11">
        <v>2002</v>
      </c>
      <c r="D225" s="529" t="s">
        <v>616</v>
      </c>
      <c r="E225" s="913">
        <v>42886</v>
      </c>
      <c r="F225" s="934">
        <v>2700</v>
      </c>
      <c r="G225" s="911">
        <f t="shared" si="293"/>
        <v>0.35539999999999999</v>
      </c>
      <c r="H225" s="533">
        <v>2.46E-2</v>
      </c>
      <c r="I225" s="911">
        <v>0.38</v>
      </c>
      <c r="J225" s="885">
        <v>0</v>
      </c>
      <c r="K225" s="909">
        <v>0</v>
      </c>
      <c r="L225" s="891">
        <v>0</v>
      </c>
      <c r="M225" s="885">
        <v>0</v>
      </c>
      <c r="N225" s="909">
        <v>0</v>
      </c>
      <c r="O225" s="891">
        <v>0</v>
      </c>
      <c r="P225" s="885">
        <v>0</v>
      </c>
      <c r="Q225" s="909">
        <v>0</v>
      </c>
      <c r="R225" s="891">
        <v>0</v>
      </c>
      <c r="S225" s="885">
        <v>0</v>
      </c>
      <c r="T225" s="909">
        <v>0</v>
      </c>
      <c r="U225" s="891">
        <v>0</v>
      </c>
      <c r="V225" s="885">
        <v>0</v>
      </c>
      <c r="W225" s="909">
        <v>0</v>
      </c>
      <c r="X225" s="891">
        <v>0</v>
      </c>
      <c r="Y225" s="885">
        <f>$F225</f>
        <v>2700</v>
      </c>
      <c r="Z225" s="818">
        <f>$G225</f>
        <v>0.35539999999999999</v>
      </c>
      <c r="AA225" s="891">
        <f t="shared" si="273"/>
        <v>28787.399999999998</v>
      </c>
      <c r="AB225" s="885">
        <f t="shared" si="274"/>
        <v>2700</v>
      </c>
      <c r="AC225" s="818">
        <f t="shared" si="275"/>
        <v>0.35539999999999999</v>
      </c>
      <c r="AD225" s="891">
        <f t="shared" si="276"/>
        <v>29746.979999999996</v>
      </c>
      <c r="AE225" s="885">
        <f t="shared" si="277"/>
        <v>2700</v>
      </c>
      <c r="AF225" s="818">
        <f t="shared" si="278"/>
        <v>0.35539999999999999</v>
      </c>
      <c r="AG225" s="891">
        <f t="shared" si="279"/>
        <v>29746.979999999996</v>
      </c>
      <c r="AH225" s="885">
        <f t="shared" si="280"/>
        <v>2700</v>
      </c>
      <c r="AI225" s="818">
        <f t="shared" si="281"/>
        <v>0.35539999999999999</v>
      </c>
      <c r="AJ225" s="891">
        <f t="shared" si="282"/>
        <v>28787.399999999998</v>
      </c>
      <c r="AK225" s="885">
        <f t="shared" si="283"/>
        <v>2700</v>
      </c>
      <c r="AL225" s="818">
        <f t="shared" si="284"/>
        <v>0.35539999999999999</v>
      </c>
      <c r="AM225" s="891">
        <f t="shared" si="285"/>
        <v>29746.979999999996</v>
      </c>
      <c r="AN225" s="885">
        <f t="shared" si="286"/>
        <v>2700</v>
      </c>
      <c r="AO225" s="818">
        <f t="shared" si="287"/>
        <v>0.35539999999999999</v>
      </c>
      <c r="AP225" s="891">
        <f t="shared" si="288"/>
        <v>28787.399999999998</v>
      </c>
      <c r="AQ225" s="885">
        <f t="shared" si="289"/>
        <v>2700</v>
      </c>
      <c r="AR225" s="818">
        <f t="shared" si="290"/>
        <v>0.35539999999999999</v>
      </c>
      <c r="AS225" s="891">
        <f t="shared" si="291"/>
        <v>29746.979999999996</v>
      </c>
      <c r="AT225" s="891"/>
      <c r="AV225" s="823">
        <f t="shared" si="292"/>
        <v>205350.11999999997</v>
      </c>
      <c r="AW225" s="910"/>
      <c r="AX225" s="33">
        <f>SUM(AV216:AV225)</f>
        <v>10450215.52</v>
      </c>
      <c r="AY225" s="910"/>
      <c r="BB225" s="910"/>
      <c r="BE225" s="33">
        <f>AX225</f>
        <v>10450215.52</v>
      </c>
    </row>
    <row r="226" spans="1:57" x14ac:dyDescent="0.2">
      <c r="A226" s="933"/>
      <c r="B226" s="925"/>
      <c r="D226" s="816"/>
      <c r="E226" s="926"/>
      <c r="F226" s="935">
        <f>SUM(F216:F225)</f>
        <v>120000</v>
      </c>
      <c r="G226" s="883"/>
      <c r="H226" s="29"/>
      <c r="I226" s="884"/>
      <c r="J226" s="885"/>
      <c r="K226" s="884"/>
      <c r="L226" s="879"/>
      <c r="M226" s="885"/>
      <c r="N226" s="884"/>
      <c r="O226" s="879"/>
      <c r="P226" s="885"/>
      <c r="Q226" s="884"/>
      <c r="R226" s="879"/>
      <c r="S226" s="885"/>
      <c r="T226" s="884"/>
      <c r="U226" s="879"/>
      <c r="V226" s="885"/>
      <c r="W226" s="884"/>
      <c r="X226" s="879"/>
      <c r="Y226" s="885"/>
      <c r="Z226" s="884"/>
      <c r="AA226" s="879"/>
      <c r="AB226" s="885"/>
      <c r="AC226" s="884"/>
      <c r="AD226" s="879"/>
      <c r="AE226" s="885"/>
      <c r="AF226" s="884"/>
      <c r="AG226" s="879"/>
      <c r="AH226" s="885"/>
      <c r="AI226" s="884"/>
      <c r="AJ226" s="879"/>
      <c r="AK226" s="885"/>
      <c r="AL226" s="884"/>
      <c r="AM226" s="879"/>
      <c r="AN226" s="885"/>
      <c r="AO226" s="884"/>
      <c r="AP226" s="879"/>
      <c r="AQ226" s="885"/>
      <c r="AR226" s="884"/>
      <c r="AS226" s="879"/>
      <c r="AT226" s="879"/>
      <c r="AV226" s="33"/>
      <c r="AW226" s="886"/>
      <c r="AY226" s="886"/>
      <c r="BB226" s="886"/>
    </row>
    <row r="227" spans="1:57" x14ac:dyDescent="0.2">
      <c r="A227" s="933"/>
      <c r="B227" s="925"/>
      <c r="D227" s="816"/>
      <c r="E227" s="926"/>
      <c r="F227" s="935"/>
      <c r="G227" s="883"/>
      <c r="H227" s="29"/>
      <c r="I227" s="884"/>
      <c r="J227" s="885"/>
      <c r="K227" s="884"/>
      <c r="L227" s="879"/>
      <c r="M227" s="885"/>
      <c r="N227" s="884"/>
      <c r="O227" s="879"/>
      <c r="P227" s="885"/>
      <c r="Q227" s="884"/>
      <c r="R227" s="879"/>
      <c r="S227" s="885"/>
      <c r="T227" s="884"/>
      <c r="U227" s="879"/>
      <c r="V227" s="885"/>
      <c r="W227" s="884"/>
      <c r="X227" s="879"/>
      <c r="Y227" s="885"/>
      <c r="Z227" s="884"/>
      <c r="AA227" s="879"/>
      <c r="AB227" s="885"/>
      <c r="AC227" s="884"/>
      <c r="AD227" s="879"/>
      <c r="AE227" s="885"/>
      <c r="AF227" s="884"/>
      <c r="AG227" s="879"/>
      <c r="AH227" s="885"/>
      <c r="AI227" s="884"/>
      <c r="AJ227" s="879"/>
      <c r="AK227" s="885"/>
      <c r="AL227" s="884"/>
      <c r="AM227" s="879"/>
      <c r="AN227" s="885"/>
      <c r="AO227" s="884"/>
      <c r="AP227" s="879"/>
      <c r="AQ227" s="885"/>
      <c r="AR227" s="884"/>
      <c r="AS227" s="879"/>
      <c r="AT227" s="879"/>
      <c r="AV227" s="33"/>
      <c r="AW227" s="886"/>
      <c r="AY227" s="886"/>
      <c r="BB227" s="886"/>
    </row>
    <row r="228" spans="1:57" x14ac:dyDescent="0.2">
      <c r="A228" s="933"/>
      <c r="B228" s="925"/>
      <c r="D228" s="816"/>
      <c r="E228" s="926"/>
      <c r="F228" s="935"/>
      <c r="G228" s="883"/>
      <c r="H228" s="29"/>
      <c r="I228" s="884"/>
      <c r="J228" s="885"/>
      <c r="K228" s="884"/>
      <c r="L228" s="879"/>
      <c r="M228" s="885"/>
      <c r="N228" s="884"/>
      <c r="O228" s="879"/>
      <c r="P228" s="885"/>
      <c r="Q228" s="884"/>
      <c r="R228" s="879"/>
      <c r="S228" s="885"/>
      <c r="T228" s="884"/>
      <c r="U228" s="879"/>
      <c r="V228" s="885"/>
      <c r="W228" s="884"/>
      <c r="X228" s="879"/>
      <c r="Y228" s="885"/>
      <c r="Z228" s="884"/>
      <c r="AA228" s="879"/>
      <c r="AB228" s="885"/>
      <c r="AC228" s="884"/>
      <c r="AD228" s="879"/>
      <c r="AE228" s="885"/>
      <c r="AF228" s="884"/>
      <c r="AG228" s="879"/>
      <c r="AH228" s="885"/>
      <c r="AI228" s="884"/>
      <c r="AJ228" s="879"/>
      <c r="AK228" s="885"/>
      <c r="AL228" s="884"/>
      <c r="AM228" s="879"/>
      <c r="AN228" s="885"/>
      <c r="AO228" s="884"/>
      <c r="AP228" s="879"/>
      <c r="AQ228" s="885"/>
      <c r="AR228" s="884"/>
      <c r="AS228" s="879"/>
      <c r="AT228" s="879"/>
      <c r="AV228" s="33"/>
      <c r="AW228" s="886"/>
      <c r="AY228" s="886"/>
      <c r="BB228" s="886"/>
    </row>
    <row r="229" spans="1:57" x14ac:dyDescent="0.2">
      <c r="A229" s="895" t="s">
        <v>730</v>
      </c>
      <c r="B229" s="928"/>
      <c r="D229" s="938"/>
      <c r="E229" s="939"/>
      <c r="F229" s="940"/>
      <c r="G229" s="171"/>
      <c r="H229" s="171"/>
      <c r="I229" s="884"/>
      <c r="J229" s="885"/>
      <c r="K229" s="884"/>
      <c r="L229" s="879"/>
      <c r="M229" s="885"/>
      <c r="N229" s="884"/>
      <c r="O229" s="879"/>
      <c r="P229" s="885"/>
      <c r="Q229" s="884"/>
      <c r="R229" s="879"/>
      <c r="S229" s="885"/>
      <c r="T229" s="884"/>
      <c r="U229" s="879"/>
      <c r="V229" s="885"/>
      <c r="W229" s="884"/>
      <c r="X229" s="879"/>
      <c r="Y229" s="885"/>
      <c r="Z229" s="884"/>
      <c r="AA229" s="879"/>
      <c r="AB229" s="885"/>
      <c r="AC229" s="884"/>
      <c r="AD229" s="879"/>
      <c r="AE229" s="885"/>
      <c r="AF229" s="884"/>
      <c r="AG229" s="879"/>
      <c r="AH229" s="885"/>
      <c r="AI229" s="884"/>
      <c r="AJ229" s="879"/>
      <c r="AK229" s="885"/>
      <c r="AL229" s="884"/>
      <c r="AM229" s="879"/>
      <c r="AN229" s="885"/>
      <c r="AO229" s="884"/>
      <c r="AP229" s="879"/>
      <c r="AQ229" s="885"/>
      <c r="AR229" s="884"/>
      <c r="AS229" s="879"/>
      <c r="AT229" s="879"/>
      <c r="AV229" s="33"/>
      <c r="AW229" s="886"/>
      <c r="AY229" s="886"/>
      <c r="BB229" s="886"/>
    </row>
    <row r="230" spans="1:57" x14ac:dyDescent="0.2">
      <c r="A230" s="933">
        <v>25924</v>
      </c>
      <c r="B230" s="925" t="s">
        <v>731</v>
      </c>
      <c r="C230">
        <v>2001</v>
      </c>
      <c r="D230" s="5"/>
      <c r="E230" s="926">
        <v>39141</v>
      </c>
      <c r="F230" s="941">
        <v>-20000</v>
      </c>
      <c r="G230" s="883">
        <f>0.2606+0.0443+0.0052+0.0007</f>
        <v>0.31079999999999997</v>
      </c>
      <c r="H230" s="29">
        <v>2.69E-2</v>
      </c>
      <c r="I230" s="884">
        <f>SUM(G230:H230)</f>
        <v>0.33769999999999994</v>
      </c>
      <c r="J230" s="885">
        <f>$F230</f>
        <v>-20000</v>
      </c>
      <c r="K230" s="884">
        <f>$G230</f>
        <v>0.31079999999999997</v>
      </c>
      <c r="L230" s="879">
        <f>J230*K230*L$7</f>
        <v>-192695.99999999997</v>
      </c>
      <c r="M230" s="885">
        <f>$F230</f>
        <v>-20000</v>
      </c>
      <c r="N230" s="884">
        <f>$G230</f>
        <v>0.31079999999999997</v>
      </c>
      <c r="O230" s="879">
        <f>M230*N230*O$7</f>
        <v>-174047.99999999997</v>
      </c>
      <c r="P230" s="885">
        <f>$F230</f>
        <v>-20000</v>
      </c>
      <c r="Q230" s="884">
        <f>$G230</f>
        <v>0.31079999999999997</v>
      </c>
      <c r="R230" s="879">
        <f>P230*Q230*R$7</f>
        <v>-192695.99999999997</v>
      </c>
      <c r="S230" s="885">
        <f>$F230</f>
        <v>-20000</v>
      </c>
      <c r="T230" s="884">
        <f>$G230</f>
        <v>0.31079999999999997</v>
      </c>
      <c r="U230" s="879">
        <f>S230*T230*U$7</f>
        <v>-186479.99999999997</v>
      </c>
      <c r="V230" s="885">
        <f>$F230</f>
        <v>-20000</v>
      </c>
      <c r="W230" s="884">
        <f>$G230</f>
        <v>0.31079999999999997</v>
      </c>
      <c r="X230" s="879">
        <f>V230*W230*X$7</f>
        <v>-192695.99999999997</v>
      </c>
      <c r="Y230" s="885">
        <f>$F230</f>
        <v>-20000</v>
      </c>
      <c r="Z230" s="884">
        <f>$G230</f>
        <v>0.31079999999999997</v>
      </c>
      <c r="AA230" s="879">
        <f>Y230*Z230*AA$7</f>
        <v>-186479.99999999997</v>
      </c>
      <c r="AB230" s="885">
        <f>$F230</f>
        <v>-20000</v>
      </c>
      <c r="AC230" s="884">
        <f>$G230</f>
        <v>0.31079999999999997</v>
      </c>
      <c r="AD230" s="879">
        <f>AB230*AC230*AD$7</f>
        <v>-192695.99999999997</v>
      </c>
      <c r="AE230" s="885">
        <f>$F230</f>
        <v>-20000</v>
      </c>
      <c r="AF230" s="884">
        <f>$G230</f>
        <v>0.31079999999999997</v>
      </c>
      <c r="AG230" s="879">
        <f>AE230*AF230*AG$7</f>
        <v>-192695.99999999997</v>
      </c>
      <c r="AH230" s="885">
        <f>$F230</f>
        <v>-20000</v>
      </c>
      <c r="AI230" s="884">
        <f>$G230</f>
        <v>0.31079999999999997</v>
      </c>
      <c r="AJ230" s="879">
        <f>AH230*AI230*AJ$7</f>
        <v>-186479.99999999997</v>
      </c>
      <c r="AK230" s="885">
        <f>$F230</f>
        <v>-20000</v>
      </c>
      <c r="AL230" s="884">
        <f>$G230</f>
        <v>0.31079999999999997</v>
      </c>
      <c r="AM230" s="879">
        <f>AK230*AL230*AM$7</f>
        <v>-192695.99999999997</v>
      </c>
      <c r="AN230" s="885">
        <f>$F230</f>
        <v>-20000</v>
      </c>
      <c r="AO230" s="884">
        <f>$G230-0.0443+0.0053</f>
        <v>0.27179999999999999</v>
      </c>
      <c r="AP230" s="879">
        <f>AN230*AO230*AP$7</f>
        <v>-163080</v>
      </c>
      <c r="AQ230" s="885">
        <f>$F230</f>
        <v>-20000</v>
      </c>
      <c r="AR230" s="884">
        <f>$G230-0.0443+0.0053</f>
        <v>0.27179999999999999</v>
      </c>
      <c r="AS230" s="879">
        <f>AQ230*AR230*AS$7</f>
        <v>-168516</v>
      </c>
      <c r="AT230" s="879"/>
      <c r="AV230" s="823">
        <f>AS230+AP230+AM230+AJ230+AG230+AD230+AA230+X230+U230+R230+O230+L230</f>
        <v>-2221260</v>
      </c>
      <c r="AW230" s="910"/>
      <c r="AY230" s="910"/>
      <c r="BB230" s="910"/>
    </row>
    <row r="231" spans="1:57" s="11" customFormat="1" x14ac:dyDescent="0.2">
      <c r="A231" s="175">
        <v>20746</v>
      </c>
      <c r="B231" s="175" t="s">
        <v>576</v>
      </c>
      <c r="C231" s="11">
        <v>2002</v>
      </c>
      <c r="D231" s="579" t="s">
        <v>5</v>
      </c>
      <c r="E231" s="181">
        <v>38835</v>
      </c>
      <c r="F231" s="733">
        <v>20000</v>
      </c>
      <c r="G231" s="170">
        <f>0.3109-0.0443</f>
        <v>0.2666</v>
      </c>
      <c r="H231" s="565">
        <v>1.84E-2</v>
      </c>
      <c r="I231" s="909">
        <f>SUM(G231:H231)</f>
        <v>0.28500000000000003</v>
      </c>
      <c r="J231" s="885">
        <f>$F231</f>
        <v>20000</v>
      </c>
      <c r="K231" s="909">
        <f>$G231</f>
        <v>0.2666</v>
      </c>
      <c r="L231" s="891">
        <f>J231*K231*L$7</f>
        <v>165292</v>
      </c>
      <c r="M231" s="885">
        <f>$F231</f>
        <v>20000</v>
      </c>
      <c r="N231" s="909">
        <f>$G231</f>
        <v>0.2666</v>
      </c>
      <c r="O231" s="891">
        <f>M231*N231*O$7</f>
        <v>149296</v>
      </c>
      <c r="P231" s="885">
        <f>$F231</f>
        <v>20000</v>
      </c>
      <c r="Q231" s="909">
        <f>$G231</f>
        <v>0.2666</v>
      </c>
      <c r="R231" s="891">
        <f>P231*Q231*R$7</f>
        <v>165292</v>
      </c>
      <c r="S231" s="885">
        <f>$F231</f>
        <v>20000</v>
      </c>
      <c r="T231" s="909">
        <f>$G231</f>
        <v>0.2666</v>
      </c>
      <c r="U231" s="891">
        <f>S231*T231*U$7</f>
        <v>159960</v>
      </c>
      <c r="V231" s="885">
        <f>$F231</f>
        <v>20000</v>
      </c>
      <c r="W231" s="909">
        <f>$G231</f>
        <v>0.2666</v>
      </c>
      <c r="X231" s="891">
        <f>V231*W231*X$7</f>
        <v>165292</v>
      </c>
      <c r="Y231" s="885">
        <f>$F231</f>
        <v>20000</v>
      </c>
      <c r="Z231" s="909">
        <f>$G231</f>
        <v>0.2666</v>
      </c>
      <c r="AA231" s="891">
        <f>Y231*Z231*AA$7</f>
        <v>159960</v>
      </c>
      <c r="AB231" s="885">
        <f>$F231</f>
        <v>20000</v>
      </c>
      <c r="AC231" s="909">
        <f>$G231</f>
        <v>0.2666</v>
      </c>
      <c r="AD231" s="891">
        <f>AB231*AC231*AD$7</f>
        <v>165292</v>
      </c>
      <c r="AE231" s="885">
        <f>$F231</f>
        <v>20000</v>
      </c>
      <c r="AF231" s="909">
        <f>$G231</f>
        <v>0.2666</v>
      </c>
      <c r="AG231" s="891">
        <f>AE231*AF231*AG$7</f>
        <v>165292</v>
      </c>
      <c r="AH231" s="885">
        <f>$F231</f>
        <v>20000</v>
      </c>
      <c r="AI231" s="909">
        <f>$G231</f>
        <v>0.2666</v>
      </c>
      <c r="AJ231" s="891">
        <f>AH231*AI231*AJ$7</f>
        <v>159960</v>
      </c>
      <c r="AK231" s="885">
        <f>$F231</f>
        <v>20000</v>
      </c>
      <c r="AL231" s="909">
        <f>$G231</f>
        <v>0.2666</v>
      </c>
      <c r="AM231" s="891">
        <f>AK231*AL231*AM$7</f>
        <v>165292</v>
      </c>
      <c r="AN231" s="885">
        <f>$F231</f>
        <v>20000</v>
      </c>
      <c r="AO231" s="909">
        <f>$G231</f>
        <v>0.2666</v>
      </c>
      <c r="AP231" s="891">
        <f>AN231*AO231*AP$7</f>
        <v>159960</v>
      </c>
      <c r="AQ231" s="885">
        <f>$F231</f>
        <v>20000</v>
      </c>
      <c r="AR231" s="909">
        <f>$G231</f>
        <v>0.2666</v>
      </c>
      <c r="AS231" s="891">
        <f>AQ231*AR231*AS$7</f>
        <v>165292</v>
      </c>
      <c r="AT231" s="891"/>
      <c r="AV231" s="823">
        <f>AS231+AP231+AM231+AJ231+AG231+AD231+AA231+X231+U231+R231+O231+L231</f>
        <v>1946180</v>
      </c>
      <c r="AW231" s="910"/>
      <c r="AY231" s="910"/>
      <c r="BB231" s="910"/>
    </row>
    <row r="232" spans="1:57" s="11" customFormat="1" x14ac:dyDescent="0.2">
      <c r="A232" s="617">
        <v>25924</v>
      </c>
      <c r="B232" s="617" t="s">
        <v>651</v>
      </c>
      <c r="C232" s="11">
        <v>2002</v>
      </c>
      <c r="D232" s="529"/>
      <c r="E232" s="913">
        <v>38837</v>
      </c>
      <c r="F232" s="934">
        <v>20000</v>
      </c>
      <c r="G232" s="911">
        <f>0.2659-0.2606</f>
        <v>5.3000000000000269E-3</v>
      </c>
      <c r="H232" s="1117" t="s">
        <v>647</v>
      </c>
      <c r="I232" s="1117"/>
      <c r="J232" s="885">
        <v>0</v>
      </c>
      <c r="K232" s="909">
        <v>0</v>
      </c>
      <c r="L232" s="891">
        <v>3286</v>
      </c>
      <c r="M232" s="885">
        <v>0</v>
      </c>
      <c r="N232" s="909">
        <v>0</v>
      </c>
      <c r="O232" s="891">
        <v>2968</v>
      </c>
      <c r="P232" s="885">
        <v>0</v>
      </c>
      <c r="Q232" s="909">
        <v>0</v>
      </c>
      <c r="R232" s="891">
        <v>3286</v>
      </c>
      <c r="S232" s="885">
        <v>0</v>
      </c>
      <c r="T232" s="909">
        <v>0</v>
      </c>
      <c r="U232" s="891">
        <v>3180</v>
      </c>
      <c r="V232" s="885">
        <v>0</v>
      </c>
      <c r="W232" s="909">
        <v>0</v>
      </c>
      <c r="X232" s="891">
        <v>3286</v>
      </c>
      <c r="Y232" s="885">
        <v>0</v>
      </c>
      <c r="Z232" s="909">
        <v>0</v>
      </c>
      <c r="AA232" s="891">
        <v>3180</v>
      </c>
      <c r="AB232" s="885">
        <v>0</v>
      </c>
      <c r="AC232" s="909">
        <v>0</v>
      </c>
      <c r="AD232" s="891">
        <v>3286</v>
      </c>
      <c r="AE232" s="885">
        <v>0</v>
      </c>
      <c r="AF232" s="909">
        <v>0</v>
      </c>
      <c r="AG232" s="891">
        <v>3286</v>
      </c>
      <c r="AH232" s="885">
        <v>0</v>
      </c>
      <c r="AI232" s="909">
        <v>0</v>
      </c>
      <c r="AJ232" s="891">
        <v>3180</v>
      </c>
      <c r="AK232" s="885">
        <v>0</v>
      </c>
      <c r="AL232" s="909">
        <v>0</v>
      </c>
      <c r="AM232" s="891">
        <v>3286</v>
      </c>
      <c r="AN232" s="885">
        <v>0</v>
      </c>
      <c r="AO232" s="909">
        <v>0</v>
      </c>
      <c r="AP232" s="891">
        <v>6420</v>
      </c>
      <c r="AQ232" s="885">
        <v>0</v>
      </c>
      <c r="AR232" s="909">
        <v>0</v>
      </c>
      <c r="AS232" s="891">
        <v>6634</v>
      </c>
      <c r="AT232" s="891"/>
      <c r="AV232" s="823">
        <f>AS232+AP232+AM232+AJ232+AG232+AD232+AA232+X232+U232+R232+O232+L232</f>
        <v>45278</v>
      </c>
      <c r="AW232" s="910"/>
      <c r="AX232" s="823">
        <f>SUM(AV230:AV232)</f>
        <v>-229802</v>
      </c>
      <c r="AY232" s="910"/>
      <c r="AZ232" s="823">
        <f>(20000*304*0.0053)+(20000*61*0.0054)+(20000*365*0.0001)</f>
        <v>39542</v>
      </c>
      <c r="BA232" s="823">
        <f>20000*304*-0.0443</f>
        <v>-269344</v>
      </c>
      <c r="BB232" s="910"/>
      <c r="BC232" s="823">
        <v>0</v>
      </c>
      <c r="BD232" s="823"/>
      <c r="BE232" s="823"/>
    </row>
    <row r="233" spans="1:57" x14ac:dyDescent="0.2">
      <c r="A233" s="933"/>
      <c r="B233" s="925"/>
      <c r="D233" s="5"/>
      <c r="E233" s="926"/>
      <c r="F233" s="941"/>
      <c r="G233" s="883"/>
      <c r="H233" s="29"/>
      <c r="I233" s="884"/>
      <c r="J233" s="885"/>
      <c r="K233" s="884"/>
      <c r="L233" s="879"/>
      <c r="M233" s="885"/>
      <c r="N233" s="884"/>
      <c r="O233" s="879"/>
      <c r="P233" s="885"/>
      <c r="Q233" s="884"/>
      <c r="R233" s="879"/>
      <c r="S233" s="885"/>
      <c r="T233" s="884"/>
      <c r="U233" s="879"/>
      <c r="V233" s="885"/>
      <c r="W233" s="884"/>
      <c r="X233" s="879"/>
      <c r="Y233" s="885"/>
      <c r="Z233" s="884"/>
      <c r="AA233" s="879"/>
      <c r="AB233" s="885"/>
      <c r="AC233" s="884"/>
      <c r="AD233" s="879"/>
      <c r="AE233" s="885"/>
      <c r="AF233" s="884"/>
      <c r="AG233" s="879"/>
      <c r="AH233" s="885"/>
      <c r="AI233" s="884"/>
      <c r="AJ233" s="879"/>
      <c r="AK233" s="885"/>
      <c r="AL233" s="884"/>
      <c r="AM233" s="879"/>
      <c r="AN233" s="885"/>
      <c r="AO233" s="884"/>
      <c r="AP233" s="879"/>
      <c r="AQ233" s="885"/>
      <c r="AR233" s="884"/>
      <c r="AS233" s="879"/>
      <c r="AT233" s="879"/>
      <c r="AV233" s="33"/>
      <c r="AW233" s="886"/>
      <c r="AY233" s="886"/>
      <c r="BB233" s="886"/>
      <c r="BD233" s="823"/>
      <c r="BE233" s="823"/>
    </row>
    <row r="234" spans="1:57" x14ac:dyDescent="0.2">
      <c r="A234" s="933">
        <v>20747</v>
      </c>
      <c r="B234" s="925" t="s">
        <v>293</v>
      </c>
      <c r="C234">
        <v>2001</v>
      </c>
      <c r="D234" s="5"/>
      <c r="E234" s="926">
        <v>37315</v>
      </c>
      <c r="F234" s="941">
        <v>-10000</v>
      </c>
      <c r="G234" s="883">
        <f>0.2606+0.0369+0.003+0.0051+0.0007</f>
        <v>0.30629999999999996</v>
      </c>
      <c r="H234" s="29">
        <v>2.69E-2</v>
      </c>
      <c r="I234" s="884">
        <f>SUM(G234:H234)</f>
        <v>0.33319999999999994</v>
      </c>
      <c r="J234" s="885">
        <f>$F234</f>
        <v>-10000</v>
      </c>
      <c r="K234" s="884">
        <f>$G234</f>
        <v>0.30629999999999996</v>
      </c>
      <c r="L234" s="879">
        <f>J234*K234*L$7</f>
        <v>-94952.999999999985</v>
      </c>
      <c r="M234" s="885">
        <f>$F234</f>
        <v>-10000</v>
      </c>
      <c r="N234" s="884">
        <f>$G234</f>
        <v>0.30629999999999996</v>
      </c>
      <c r="O234" s="879">
        <f>M234*N234*O$7</f>
        <v>-85763.999999999985</v>
      </c>
      <c r="P234" s="885">
        <v>0</v>
      </c>
      <c r="Q234" s="884">
        <f>$G234</f>
        <v>0.30629999999999996</v>
      </c>
      <c r="R234" s="879">
        <f>P234*Q234*R$7</f>
        <v>0</v>
      </c>
      <c r="S234" s="885">
        <v>0</v>
      </c>
      <c r="T234" s="884">
        <f>$G234</f>
        <v>0.30629999999999996</v>
      </c>
      <c r="U234" s="879">
        <f>S234*T234*U$7</f>
        <v>0</v>
      </c>
      <c r="V234" s="885">
        <v>0</v>
      </c>
      <c r="W234" s="884">
        <f>$G234</f>
        <v>0.30629999999999996</v>
      </c>
      <c r="X234" s="879">
        <f>V234*W234*X$7</f>
        <v>0</v>
      </c>
      <c r="Y234" s="885">
        <v>0</v>
      </c>
      <c r="Z234" s="884">
        <f>$G234</f>
        <v>0.30629999999999996</v>
      </c>
      <c r="AA234" s="879">
        <f>Y234*Z234*AA$7</f>
        <v>0</v>
      </c>
      <c r="AB234" s="885">
        <v>0</v>
      </c>
      <c r="AC234" s="884">
        <f>$G234</f>
        <v>0.30629999999999996</v>
      </c>
      <c r="AD234" s="879">
        <f>AB234*AC234*AD$7</f>
        <v>0</v>
      </c>
      <c r="AE234" s="885">
        <v>0</v>
      </c>
      <c r="AF234" s="884">
        <f>$G234</f>
        <v>0.30629999999999996</v>
      </c>
      <c r="AG234" s="879">
        <f>AE234*AF234*AG$7</f>
        <v>0</v>
      </c>
      <c r="AH234" s="885">
        <v>0</v>
      </c>
      <c r="AI234" s="884">
        <f>$G234</f>
        <v>0.30629999999999996</v>
      </c>
      <c r="AJ234" s="879">
        <f>AH234*AI234*AJ$7</f>
        <v>0</v>
      </c>
      <c r="AK234" s="885">
        <v>0</v>
      </c>
      <c r="AL234" s="884">
        <f>$G234</f>
        <v>0.30629999999999996</v>
      </c>
      <c r="AM234" s="879">
        <f>AK234*AL234*AM$7</f>
        <v>0</v>
      </c>
      <c r="AN234" s="885">
        <v>0</v>
      </c>
      <c r="AO234" s="884">
        <f>$G234-0.0369+0.0053</f>
        <v>0.2747</v>
      </c>
      <c r="AP234" s="879">
        <f>AN234*AO234*AP$7</f>
        <v>0</v>
      </c>
      <c r="AQ234" s="885">
        <v>0</v>
      </c>
      <c r="AR234" s="884">
        <f>$G234-0.0369+0.0053</f>
        <v>0.2747</v>
      </c>
      <c r="AS234" s="879">
        <f>AQ234*AR234*AS$7</f>
        <v>0</v>
      </c>
      <c r="AT234" s="879"/>
      <c r="AV234" s="823">
        <f>AS234+AP234+AM234+AJ234+AG234+AD234+AA234+X234+U234+R234+O234+L234</f>
        <v>-180716.99999999997</v>
      </c>
      <c r="AW234" s="910"/>
      <c r="AY234" s="910"/>
      <c r="BB234" s="910"/>
      <c r="BD234" s="823"/>
      <c r="BE234" s="823"/>
    </row>
    <row r="235" spans="1:57" x14ac:dyDescent="0.2">
      <c r="A235" s="933">
        <v>20747</v>
      </c>
      <c r="B235" s="925" t="s">
        <v>293</v>
      </c>
      <c r="C235">
        <v>2001</v>
      </c>
      <c r="D235" s="5"/>
      <c r="E235" s="926">
        <v>37315</v>
      </c>
      <c r="F235" s="941">
        <v>-10000</v>
      </c>
      <c r="G235" s="883">
        <f>0.2606+0.0369+0.003+0.0051+0.0007</f>
        <v>0.30629999999999996</v>
      </c>
      <c r="H235" s="29">
        <v>2.69E-2</v>
      </c>
      <c r="I235" s="884">
        <f>SUM(G235:H235)</f>
        <v>0.33319999999999994</v>
      </c>
      <c r="J235" s="885">
        <v>0</v>
      </c>
      <c r="K235" s="884">
        <f>$G235</f>
        <v>0.30629999999999996</v>
      </c>
      <c r="L235" s="879">
        <f>J235*K235*L$7</f>
        <v>0</v>
      </c>
      <c r="M235" s="885">
        <v>0</v>
      </c>
      <c r="N235" s="884">
        <f>$G235</f>
        <v>0.30629999999999996</v>
      </c>
      <c r="O235" s="879">
        <f>M235*N235*O$7</f>
        <v>0</v>
      </c>
      <c r="P235" s="885">
        <f>$F235</f>
        <v>-10000</v>
      </c>
      <c r="Q235" s="884">
        <f>$G235</f>
        <v>0.30629999999999996</v>
      </c>
      <c r="R235" s="879">
        <f>P235*Q235*R$7</f>
        <v>-94952.999999999985</v>
      </c>
      <c r="S235" s="885">
        <f>$F235</f>
        <v>-10000</v>
      </c>
      <c r="T235" s="884">
        <f>$G235</f>
        <v>0.30629999999999996</v>
      </c>
      <c r="U235" s="879">
        <f>S235*T235*U$7</f>
        <v>-91889.999999999985</v>
      </c>
      <c r="V235" s="885">
        <f>$F235</f>
        <v>-10000</v>
      </c>
      <c r="W235" s="884">
        <f>$G235</f>
        <v>0.30629999999999996</v>
      </c>
      <c r="X235" s="879">
        <f>V235*W235*X$7</f>
        <v>-94952.999999999985</v>
      </c>
      <c r="Y235" s="885">
        <f>$F235</f>
        <v>-10000</v>
      </c>
      <c r="Z235" s="884">
        <f>$G235</f>
        <v>0.30629999999999996</v>
      </c>
      <c r="AA235" s="879">
        <f>Y235*Z235*AA$7</f>
        <v>-91889.999999999985</v>
      </c>
      <c r="AB235" s="885">
        <f>$F235</f>
        <v>-10000</v>
      </c>
      <c r="AC235" s="884">
        <f>$G235</f>
        <v>0.30629999999999996</v>
      </c>
      <c r="AD235" s="879">
        <f>AB235*AC235*AD$7</f>
        <v>-94952.999999999985</v>
      </c>
      <c r="AE235" s="885">
        <f>$F235</f>
        <v>-10000</v>
      </c>
      <c r="AF235" s="884">
        <f>$G235</f>
        <v>0.30629999999999996</v>
      </c>
      <c r="AG235" s="879">
        <f>AE235*AF235*AG$7</f>
        <v>-94952.999999999985</v>
      </c>
      <c r="AH235" s="885">
        <f>$F235</f>
        <v>-10000</v>
      </c>
      <c r="AI235" s="884">
        <f>$G235</f>
        <v>0.30629999999999996</v>
      </c>
      <c r="AJ235" s="879">
        <f>AH235*AI235*AJ$7</f>
        <v>-91889.999999999985</v>
      </c>
      <c r="AK235" s="885">
        <f>$F235</f>
        <v>-10000</v>
      </c>
      <c r="AL235" s="884">
        <f>$G235</f>
        <v>0.30629999999999996</v>
      </c>
      <c r="AM235" s="879">
        <f>AK235*AL235*AM$7</f>
        <v>-94952.999999999985</v>
      </c>
      <c r="AN235" s="885">
        <f>$F235</f>
        <v>-10000</v>
      </c>
      <c r="AO235" s="884">
        <f>$G235-0.0369+0.0053</f>
        <v>0.2747</v>
      </c>
      <c r="AP235" s="879">
        <f>AN235*AO235*AP$7</f>
        <v>-82410</v>
      </c>
      <c r="AQ235" s="885">
        <f>$F235</f>
        <v>-10000</v>
      </c>
      <c r="AR235" s="884">
        <f>$G235-0.0369+0.0053</f>
        <v>0.2747</v>
      </c>
      <c r="AS235" s="879">
        <f>AQ235*AR235*AS$7</f>
        <v>-85157</v>
      </c>
      <c r="AT235" s="879"/>
      <c r="AV235" s="823">
        <f>AS235+AP235+AM235+AJ235+AG235+AD235+AA235+X235+U235+R235+O235+L235</f>
        <v>-918002</v>
      </c>
      <c r="AW235" s="910"/>
      <c r="AX235" s="33"/>
      <c r="AY235" s="910"/>
      <c r="BB235" s="910"/>
      <c r="BD235" s="823"/>
      <c r="BE235" s="823"/>
    </row>
    <row r="236" spans="1:57" s="11" customFormat="1" x14ac:dyDescent="0.2">
      <c r="A236" s="175">
        <v>20747</v>
      </c>
      <c r="B236" s="175" t="s">
        <v>578</v>
      </c>
      <c r="C236" s="11">
        <v>2002</v>
      </c>
      <c r="D236" s="579" t="s">
        <v>579</v>
      </c>
      <c r="E236" s="181">
        <v>37315</v>
      </c>
      <c r="F236" s="733">
        <v>10000</v>
      </c>
      <c r="G236" s="170">
        <v>0.26829999999999998</v>
      </c>
      <c r="H236" s="565">
        <v>2.5399999999999999E-2</v>
      </c>
      <c r="I236" s="909">
        <f>SUM(G236:H236)</f>
        <v>0.29369999999999996</v>
      </c>
      <c r="J236" s="885">
        <f>$F236</f>
        <v>10000</v>
      </c>
      <c r="K236" s="909">
        <f>$G236</f>
        <v>0.26829999999999998</v>
      </c>
      <c r="L236" s="891">
        <f>J236*K236*L$7</f>
        <v>83173</v>
      </c>
      <c r="M236" s="885">
        <f>$F236</f>
        <v>10000</v>
      </c>
      <c r="N236" s="909">
        <f>$G236</f>
        <v>0.26829999999999998</v>
      </c>
      <c r="O236" s="891">
        <f>M236*N236*O$7</f>
        <v>75124</v>
      </c>
      <c r="P236" s="885">
        <v>0</v>
      </c>
      <c r="Q236" s="909">
        <f>$G236</f>
        <v>0.26829999999999998</v>
      </c>
      <c r="R236" s="891">
        <f>P236*Q236*R$7</f>
        <v>0</v>
      </c>
      <c r="S236" s="885">
        <v>0</v>
      </c>
      <c r="T236" s="909">
        <f>$G236</f>
        <v>0.26829999999999998</v>
      </c>
      <c r="U236" s="891">
        <f>S236*T236*U$7</f>
        <v>0</v>
      </c>
      <c r="V236" s="885">
        <v>0</v>
      </c>
      <c r="W236" s="909">
        <f>$G236</f>
        <v>0.26829999999999998</v>
      </c>
      <c r="X236" s="891">
        <f>V236*W236*X$7</f>
        <v>0</v>
      </c>
      <c r="Y236" s="885">
        <v>0</v>
      </c>
      <c r="Z236" s="909">
        <f>$G236</f>
        <v>0.26829999999999998</v>
      </c>
      <c r="AA236" s="891">
        <f>Y236*Z236*AA$7</f>
        <v>0</v>
      </c>
      <c r="AB236" s="885">
        <v>0</v>
      </c>
      <c r="AC236" s="909">
        <f>$G236</f>
        <v>0.26829999999999998</v>
      </c>
      <c r="AD236" s="891">
        <f>AB236*AC236*AD$7</f>
        <v>0</v>
      </c>
      <c r="AE236" s="885">
        <v>0</v>
      </c>
      <c r="AF236" s="909">
        <f>$G236</f>
        <v>0.26829999999999998</v>
      </c>
      <c r="AG236" s="891">
        <f>AE236*AF236*AG$7</f>
        <v>0</v>
      </c>
      <c r="AH236" s="885">
        <v>0</v>
      </c>
      <c r="AI236" s="909">
        <f>$G236</f>
        <v>0.26829999999999998</v>
      </c>
      <c r="AJ236" s="891">
        <f>AH236*AI236*AJ$7</f>
        <v>0</v>
      </c>
      <c r="AK236" s="885">
        <v>0</v>
      </c>
      <c r="AL236" s="909">
        <f>$G236</f>
        <v>0.26829999999999998</v>
      </c>
      <c r="AM236" s="891">
        <f>AK236*AL236*AM$7</f>
        <v>0</v>
      </c>
      <c r="AN236" s="885">
        <v>0</v>
      </c>
      <c r="AO236" s="909">
        <f>$G236</f>
        <v>0.26829999999999998</v>
      </c>
      <c r="AP236" s="891">
        <f>AN236*AO236*AP$7</f>
        <v>0</v>
      </c>
      <c r="AQ236" s="885">
        <v>0</v>
      </c>
      <c r="AR236" s="909">
        <f>$G236</f>
        <v>0.26829999999999998</v>
      </c>
      <c r="AS236" s="891">
        <f>AQ236*AR236*AS$7</f>
        <v>0</v>
      </c>
      <c r="AT236" s="891"/>
      <c r="AV236" s="823">
        <f>AS236+AP236+AM236+AJ236+AG236+AD236+AA236+X236+U236+R236+O236+L236</f>
        <v>158297</v>
      </c>
      <c r="AW236" s="910"/>
      <c r="AY236" s="910"/>
      <c r="BB236" s="910"/>
      <c r="BD236" s="823"/>
      <c r="BE236" s="823"/>
    </row>
    <row r="237" spans="1:57" s="11" customFormat="1" x14ac:dyDescent="0.2">
      <c r="A237" s="617">
        <v>20747</v>
      </c>
      <c r="B237" s="617" t="s">
        <v>649</v>
      </c>
      <c r="C237" s="11">
        <v>2002</v>
      </c>
      <c r="D237" s="529"/>
      <c r="E237" s="913">
        <v>37315</v>
      </c>
      <c r="F237" s="934">
        <v>10000</v>
      </c>
      <c r="G237" s="911">
        <f>0.2659-0.2606</f>
        <v>5.3000000000000269E-3</v>
      </c>
      <c r="H237" s="1117" t="s">
        <v>647</v>
      </c>
      <c r="I237" s="1117"/>
      <c r="J237" s="885">
        <v>0</v>
      </c>
      <c r="K237" s="909">
        <v>0</v>
      </c>
      <c r="L237" s="891">
        <v>1643</v>
      </c>
      <c r="M237" s="885">
        <v>0</v>
      </c>
      <c r="N237" s="909">
        <v>0</v>
      </c>
      <c r="O237" s="891">
        <v>1484</v>
      </c>
      <c r="P237" s="885">
        <v>0</v>
      </c>
      <c r="Q237" s="909">
        <v>0</v>
      </c>
      <c r="R237" s="891">
        <v>0</v>
      </c>
      <c r="S237" s="885">
        <v>0</v>
      </c>
      <c r="T237" s="909">
        <v>0</v>
      </c>
      <c r="U237" s="891">
        <v>0</v>
      </c>
      <c r="V237" s="885">
        <v>0</v>
      </c>
      <c r="W237" s="909">
        <v>0</v>
      </c>
      <c r="X237" s="891">
        <v>0</v>
      </c>
      <c r="Y237" s="885">
        <v>0</v>
      </c>
      <c r="Z237" s="909">
        <v>0</v>
      </c>
      <c r="AA237" s="891">
        <v>0</v>
      </c>
      <c r="AB237" s="885">
        <v>0</v>
      </c>
      <c r="AC237" s="909">
        <v>0</v>
      </c>
      <c r="AD237" s="891">
        <v>0</v>
      </c>
      <c r="AE237" s="885">
        <v>0</v>
      </c>
      <c r="AF237" s="909">
        <v>0</v>
      </c>
      <c r="AG237" s="891">
        <v>0</v>
      </c>
      <c r="AH237" s="885">
        <v>0</v>
      </c>
      <c r="AI237" s="909">
        <v>0</v>
      </c>
      <c r="AJ237" s="891">
        <v>0</v>
      </c>
      <c r="AK237" s="885">
        <v>0</v>
      </c>
      <c r="AL237" s="909">
        <v>0</v>
      </c>
      <c r="AM237" s="891">
        <v>0</v>
      </c>
      <c r="AN237" s="885">
        <v>0</v>
      </c>
      <c r="AO237" s="909">
        <v>0</v>
      </c>
      <c r="AP237" s="891">
        <v>0</v>
      </c>
      <c r="AQ237" s="885">
        <v>0</v>
      </c>
      <c r="AR237" s="909">
        <v>0</v>
      </c>
      <c r="AS237" s="891">
        <v>0</v>
      </c>
      <c r="AT237" s="891"/>
      <c r="AV237" s="823">
        <f>AS237+AP237+AM237+AJ237+AG237+AD237+AA237+X237+U237+R237+O237+L237</f>
        <v>3127</v>
      </c>
      <c r="AW237" s="910"/>
      <c r="AX237" s="823">
        <f>SUM(AV234:AV237)</f>
        <v>-937295</v>
      </c>
      <c r="AY237" s="910"/>
      <c r="AZ237" s="823">
        <f>(10000*304*0.0053)+(10000*61*0.0054)-(10000*365*0.0001)</f>
        <v>19041</v>
      </c>
      <c r="BA237" s="823">
        <f>10000*304*-0.0369</f>
        <v>-112176</v>
      </c>
      <c r="BB237" s="910"/>
      <c r="BC237" s="823">
        <f>10000*365*-0.001</f>
        <v>-3650</v>
      </c>
      <c r="BD237" s="33">
        <f>AX237-AZ237-BA237-BC237</f>
        <v>-840510</v>
      </c>
      <c r="BE237" s="823"/>
    </row>
    <row r="238" spans="1:57" x14ac:dyDescent="0.2">
      <c r="A238" s="933"/>
      <c r="B238" s="925"/>
      <c r="D238" s="5"/>
      <c r="E238" s="926"/>
      <c r="F238" s="941"/>
      <c r="G238" s="883"/>
      <c r="H238" s="29"/>
      <c r="I238" s="884"/>
      <c r="J238" s="885"/>
      <c r="K238" s="884"/>
      <c r="L238" s="879"/>
      <c r="M238" s="885"/>
      <c r="N238" s="884"/>
      <c r="O238" s="879"/>
      <c r="P238" s="885"/>
      <c r="Q238" s="884"/>
      <c r="R238" s="879"/>
      <c r="S238" s="885"/>
      <c r="T238" s="884"/>
      <c r="U238" s="879"/>
      <c r="V238" s="885"/>
      <c r="W238" s="884"/>
      <c r="X238" s="879"/>
      <c r="Y238" s="885"/>
      <c r="Z238" s="884"/>
      <c r="AA238" s="879"/>
      <c r="AB238" s="885"/>
      <c r="AC238" s="884"/>
      <c r="AD238" s="879"/>
      <c r="AE238" s="885"/>
      <c r="AF238" s="884"/>
      <c r="AG238" s="879"/>
      <c r="AH238" s="885"/>
      <c r="AI238" s="884"/>
      <c r="AJ238" s="879"/>
      <c r="AK238" s="885"/>
      <c r="AL238" s="884"/>
      <c r="AM238" s="879"/>
      <c r="AN238" s="885"/>
      <c r="AO238" s="884"/>
      <c r="AP238" s="879"/>
      <c r="AQ238" s="885"/>
      <c r="AR238" s="884"/>
      <c r="AS238" s="879"/>
      <c r="AT238" s="879"/>
      <c r="AV238" s="33"/>
      <c r="AW238" s="886"/>
      <c r="AY238" s="886"/>
      <c r="BB238" s="886"/>
      <c r="BD238" s="823"/>
      <c r="BE238" s="823"/>
    </row>
    <row r="239" spans="1:57" x14ac:dyDescent="0.2">
      <c r="A239" s="933">
        <v>20748</v>
      </c>
      <c r="B239" s="925" t="s">
        <v>293</v>
      </c>
      <c r="C239">
        <v>2001</v>
      </c>
      <c r="D239" s="5"/>
      <c r="E239" s="926">
        <v>37315</v>
      </c>
      <c r="F239" s="941">
        <v>-10000</v>
      </c>
      <c r="G239" s="883">
        <f>0.2606+0.002+0.0369+0.0051+0.0007</f>
        <v>0.30529999999999996</v>
      </c>
      <c r="H239" s="29">
        <v>2.69E-2</v>
      </c>
      <c r="I239" s="884">
        <f>SUM(G239:H239)</f>
        <v>0.33219999999999994</v>
      </c>
      <c r="J239" s="885">
        <f>$F239</f>
        <v>-10000</v>
      </c>
      <c r="K239" s="884">
        <f>$G239</f>
        <v>0.30529999999999996</v>
      </c>
      <c r="L239" s="879">
        <f>J239*K239*L$7</f>
        <v>-94642.999999999985</v>
      </c>
      <c r="M239" s="885">
        <f>$F239</f>
        <v>-10000</v>
      </c>
      <c r="N239" s="884">
        <f>$G239</f>
        <v>0.30529999999999996</v>
      </c>
      <c r="O239" s="879">
        <f>M239*N239*O$7</f>
        <v>-85483.999999999985</v>
      </c>
      <c r="P239" s="885">
        <f>$F239</f>
        <v>-10000</v>
      </c>
      <c r="Q239" s="884">
        <f>$G239</f>
        <v>0.30529999999999996</v>
      </c>
      <c r="R239" s="879">
        <f>P239*Q239*R$7</f>
        <v>-94642.999999999985</v>
      </c>
      <c r="S239" s="885">
        <f>$F239</f>
        <v>-10000</v>
      </c>
      <c r="T239" s="884">
        <f>$G239</f>
        <v>0.30529999999999996</v>
      </c>
      <c r="U239" s="879">
        <f>S239*T239*U$7</f>
        <v>-91589.999999999985</v>
      </c>
      <c r="V239" s="885">
        <f>$F239</f>
        <v>-10000</v>
      </c>
      <c r="W239" s="884">
        <f>$G239</f>
        <v>0.30529999999999996</v>
      </c>
      <c r="X239" s="879">
        <f>V239*W239*X$7</f>
        <v>-94642.999999999985</v>
      </c>
      <c r="Y239" s="885">
        <f>$F239</f>
        <v>-10000</v>
      </c>
      <c r="Z239" s="884">
        <f>$G239</f>
        <v>0.30529999999999996</v>
      </c>
      <c r="AA239" s="879">
        <f>Y239*Z239*AA$7</f>
        <v>-91589.999999999985</v>
      </c>
      <c r="AB239" s="885">
        <f>$F239</f>
        <v>-10000</v>
      </c>
      <c r="AC239" s="884">
        <f>$G239</f>
        <v>0.30529999999999996</v>
      </c>
      <c r="AD239" s="879">
        <f>AB239*AC239*AD$7</f>
        <v>-94642.999999999985</v>
      </c>
      <c r="AE239" s="885">
        <f>$F239</f>
        <v>-10000</v>
      </c>
      <c r="AF239" s="884">
        <f>$G239</f>
        <v>0.30529999999999996</v>
      </c>
      <c r="AG239" s="879">
        <f>AE239*AF239*AG$7</f>
        <v>-94642.999999999985</v>
      </c>
      <c r="AH239" s="885">
        <f>$F239</f>
        <v>-10000</v>
      </c>
      <c r="AI239" s="884">
        <f>$G239</f>
        <v>0.30529999999999996</v>
      </c>
      <c r="AJ239" s="879">
        <f>AH239*AI239*AJ$7</f>
        <v>-91589.999999999985</v>
      </c>
      <c r="AK239" s="885">
        <f>$F239</f>
        <v>-10000</v>
      </c>
      <c r="AL239" s="884">
        <f>$G239</f>
        <v>0.30529999999999996</v>
      </c>
      <c r="AM239" s="879">
        <f>AK239*AL239*AM$7</f>
        <v>-94642.999999999985</v>
      </c>
      <c r="AN239" s="885">
        <f>$F239</f>
        <v>-10000</v>
      </c>
      <c r="AO239" s="884">
        <f>$G239-0.0369+0.0053</f>
        <v>0.2737</v>
      </c>
      <c r="AP239" s="879">
        <f>AN239*AO239*AP$7</f>
        <v>-82110</v>
      </c>
      <c r="AQ239" s="885">
        <f>$F239</f>
        <v>-10000</v>
      </c>
      <c r="AR239" s="884">
        <f>$G239-0.0369+0.0053</f>
        <v>0.2737</v>
      </c>
      <c r="AS239" s="879">
        <f>AQ239*AR239*AS$7</f>
        <v>-84847</v>
      </c>
      <c r="AT239" s="879"/>
      <c r="AV239" s="823">
        <f>AS239+AP239+AM239+AJ239+AG239+AD239+AA239+X239+U239+R239+O239+L239</f>
        <v>-1095069</v>
      </c>
      <c r="AW239" s="910"/>
      <c r="AY239" s="910"/>
      <c r="BB239" s="910"/>
      <c r="BD239" s="823"/>
      <c r="BE239" s="823"/>
    </row>
    <row r="240" spans="1:57" s="11" customFormat="1" x14ac:dyDescent="0.2">
      <c r="A240" s="175">
        <v>20748</v>
      </c>
      <c r="B240" s="175" t="s">
        <v>578</v>
      </c>
      <c r="C240" s="11">
        <v>2002</v>
      </c>
      <c r="D240" s="579" t="s">
        <v>579</v>
      </c>
      <c r="E240" s="181">
        <v>37315</v>
      </c>
      <c r="F240" s="733">
        <v>10000</v>
      </c>
      <c r="G240" s="170">
        <f>0.305-0.0369</f>
        <v>0.2681</v>
      </c>
      <c r="H240" s="565">
        <v>2.5399999999999999E-2</v>
      </c>
      <c r="I240" s="909">
        <f>SUM(G240:H240)</f>
        <v>0.29349999999999998</v>
      </c>
      <c r="J240" s="885">
        <f>$F240</f>
        <v>10000</v>
      </c>
      <c r="K240" s="909">
        <f>$G240</f>
        <v>0.2681</v>
      </c>
      <c r="L240" s="891">
        <f>J240*K240*L$7</f>
        <v>83111</v>
      </c>
      <c r="M240" s="885">
        <f>$F240</f>
        <v>10000</v>
      </c>
      <c r="N240" s="909">
        <f>$G240</f>
        <v>0.2681</v>
      </c>
      <c r="O240" s="891">
        <f>M240*N240*O$7</f>
        <v>75068</v>
      </c>
      <c r="P240" s="885">
        <v>0</v>
      </c>
      <c r="Q240" s="909">
        <f>$G240</f>
        <v>0.2681</v>
      </c>
      <c r="R240" s="891">
        <f>P240*Q240*R$7</f>
        <v>0</v>
      </c>
      <c r="S240" s="885">
        <v>0</v>
      </c>
      <c r="T240" s="909">
        <f>$G240</f>
        <v>0.2681</v>
      </c>
      <c r="U240" s="891">
        <f>S240*T240*U$7</f>
        <v>0</v>
      </c>
      <c r="V240" s="885">
        <v>0</v>
      </c>
      <c r="W240" s="909">
        <f>$G240</f>
        <v>0.2681</v>
      </c>
      <c r="X240" s="891">
        <f>V240*W240*X$7</f>
        <v>0</v>
      </c>
      <c r="Y240" s="885">
        <v>0</v>
      </c>
      <c r="Z240" s="909">
        <f>$G240</f>
        <v>0.2681</v>
      </c>
      <c r="AA240" s="891">
        <f>Y240*Z240*AA$7</f>
        <v>0</v>
      </c>
      <c r="AB240" s="885">
        <v>0</v>
      </c>
      <c r="AC240" s="909">
        <f>$G240</f>
        <v>0.2681</v>
      </c>
      <c r="AD240" s="891">
        <f>AB240*AC240*AD$7</f>
        <v>0</v>
      </c>
      <c r="AE240" s="885">
        <v>0</v>
      </c>
      <c r="AF240" s="909">
        <f>$G240</f>
        <v>0.2681</v>
      </c>
      <c r="AG240" s="891">
        <f>AE240*AF240*AG$7</f>
        <v>0</v>
      </c>
      <c r="AH240" s="885">
        <v>0</v>
      </c>
      <c r="AI240" s="909">
        <f>$G240</f>
        <v>0.2681</v>
      </c>
      <c r="AJ240" s="891">
        <f>AH240*AI240*AJ$7</f>
        <v>0</v>
      </c>
      <c r="AK240" s="885">
        <v>0</v>
      </c>
      <c r="AL240" s="909">
        <f>$G240</f>
        <v>0.2681</v>
      </c>
      <c r="AM240" s="891">
        <f>AK240*AL240*AM$7</f>
        <v>0</v>
      </c>
      <c r="AN240" s="885">
        <v>0</v>
      </c>
      <c r="AO240" s="909">
        <f>$G240</f>
        <v>0.2681</v>
      </c>
      <c r="AP240" s="891">
        <f>AN240*AO240*AP$7</f>
        <v>0</v>
      </c>
      <c r="AQ240" s="885">
        <v>0</v>
      </c>
      <c r="AR240" s="909">
        <f>$G240</f>
        <v>0.2681</v>
      </c>
      <c r="AS240" s="891">
        <f>AQ240*AR240*AS$7</f>
        <v>0</v>
      </c>
      <c r="AT240" s="891"/>
      <c r="AV240" s="823">
        <f>AS240+AP240+AM240+AJ240+AG240+AD240+AA240+X240+U240+R240+O240+L240</f>
        <v>158179</v>
      </c>
      <c r="AW240" s="910"/>
      <c r="AY240" s="910"/>
      <c r="BB240" s="910"/>
      <c r="BD240" s="823"/>
      <c r="BE240" s="823"/>
    </row>
    <row r="241" spans="1:57" s="11" customFormat="1" x14ac:dyDescent="0.2">
      <c r="A241" s="617">
        <v>20748</v>
      </c>
      <c r="B241" s="617" t="s">
        <v>649</v>
      </c>
      <c r="C241" s="11">
        <v>2002</v>
      </c>
      <c r="D241" s="529"/>
      <c r="E241" s="913">
        <v>37315</v>
      </c>
      <c r="F241" s="934">
        <v>10000</v>
      </c>
      <c r="G241" s="911">
        <f>0.2659-0.2606</f>
        <v>5.3000000000000269E-3</v>
      </c>
      <c r="H241" s="1117" t="s">
        <v>647</v>
      </c>
      <c r="I241" s="1117"/>
      <c r="J241" s="885">
        <v>0</v>
      </c>
      <c r="K241" s="909">
        <v>0</v>
      </c>
      <c r="L241" s="891">
        <v>1643</v>
      </c>
      <c r="M241" s="885">
        <v>0</v>
      </c>
      <c r="N241" s="909">
        <v>0</v>
      </c>
      <c r="O241" s="891">
        <v>1484</v>
      </c>
      <c r="P241" s="885">
        <v>0</v>
      </c>
      <c r="Q241" s="909">
        <v>0</v>
      </c>
      <c r="R241" s="891">
        <v>1643</v>
      </c>
      <c r="S241" s="885">
        <v>0</v>
      </c>
      <c r="T241" s="909">
        <v>0</v>
      </c>
      <c r="U241" s="891">
        <v>1590</v>
      </c>
      <c r="V241" s="885">
        <v>0</v>
      </c>
      <c r="W241" s="909">
        <v>0</v>
      </c>
      <c r="X241" s="891">
        <v>1643</v>
      </c>
      <c r="Y241" s="885">
        <v>0</v>
      </c>
      <c r="Z241" s="909">
        <v>0</v>
      </c>
      <c r="AA241" s="891">
        <v>1590</v>
      </c>
      <c r="AB241" s="885">
        <v>0</v>
      </c>
      <c r="AC241" s="909">
        <v>0</v>
      </c>
      <c r="AD241" s="891">
        <v>1643</v>
      </c>
      <c r="AE241" s="885">
        <v>0</v>
      </c>
      <c r="AF241" s="909">
        <v>0</v>
      </c>
      <c r="AG241" s="891">
        <v>1643</v>
      </c>
      <c r="AH241" s="885">
        <v>0</v>
      </c>
      <c r="AI241" s="909">
        <v>0</v>
      </c>
      <c r="AJ241" s="891">
        <v>1590</v>
      </c>
      <c r="AK241" s="885">
        <v>0</v>
      </c>
      <c r="AL241" s="909">
        <v>0</v>
      </c>
      <c r="AM241" s="891">
        <v>1643</v>
      </c>
      <c r="AN241" s="885">
        <v>0</v>
      </c>
      <c r="AO241" s="909">
        <v>0</v>
      </c>
      <c r="AP241" s="891">
        <v>3210</v>
      </c>
      <c r="AQ241" s="885">
        <v>0</v>
      </c>
      <c r="AR241" s="909">
        <v>0</v>
      </c>
      <c r="AS241" s="891">
        <v>3317</v>
      </c>
      <c r="AT241" s="891"/>
      <c r="AV241" s="823">
        <f>AS241+AP241+AM241+AJ241+AG241+AD241+AA241+X241+U241+R241+O241+L241</f>
        <v>22639</v>
      </c>
      <c r="AW241" s="910"/>
      <c r="AX241" s="823">
        <f>SUM(AV239:AV241)</f>
        <v>-914251</v>
      </c>
      <c r="AY241" s="910"/>
      <c r="AZ241" s="823">
        <f>(10000*304*0.0053)+(10000*61*0.0054)-(10000*365*0.0003)</f>
        <v>18311</v>
      </c>
      <c r="BA241" s="823">
        <f>10000*304*-0.0369</f>
        <v>-112176</v>
      </c>
      <c r="BB241" s="910"/>
      <c r="BC241" s="823">
        <f>10000*365*-0.001</f>
        <v>-3650</v>
      </c>
      <c r="BD241" s="33">
        <f>AX241-AZ241-BA241-BC241</f>
        <v>-816736</v>
      </c>
      <c r="BE241" s="823"/>
    </row>
    <row r="242" spans="1:57" x14ac:dyDescent="0.2">
      <c r="A242" s="933"/>
      <c r="B242" s="925"/>
      <c r="D242" s="5"/>
      <c r="E242" s="926"/>
      <c r="F242" s="941"/>
      <c r="G242" s="883"/>
      <c r="H242" s="29"/>
      <c r="I242" s="884"/>
      <c r="J242" s="885"/>
      <c r="K242" s="884"/>
      <c r="L242" s="879"/>
      <c r="M242" s="885"/>
      <c r="N242" s="884"/>
      <c r="O242" s="879"/>
      <c r="P242" s="885"/>
      <c r="Q242" s="884"/>
      <c r="R242" s="879"/>
      <c r="S242" s="885"/>
      <c r="T242" s="884"/>
      <c r="U242" s="879"/>
      <c r="V242" s="885"/>
      <c r="W242" s="884"/>
      <c r="X242" s="879"/>
      <c r="Y242" s="885"/>
      <c r="Z242" s="884"/>
      <c r="AA242" s="879"/>
      <c r="AB242" s="885"/>
      <c r="AC242" s="884"/>
      <c r="AD242" s="879"/>
      <c r="AE242" s="885"/>
      <c r="AF242" s="884"/>
      <c r="AG242" s="879"/>
      <c r="AH242" s="885"/>
      <c r="AI242" s="884"/>
      <c r="AJ242" s="879"/>
      <c r="AK242" s="885"/>
      <c r="AL242" s="884"/>
      <c r="AM242" s="879"/>
      <c r="AN242" s="885"/>
      <c r="AO242" s="884"/>
      <c r="AP242" s="879"/>
      <c r="AQ242" s="885"/>
      <c r="AR242" s="884"/>
      <c r="AS242" s="879"/>
      <c r="AT242" s="879"/>
      <c r="AV242" s="33"/>
      <c r="AW242" s="886"/>
      <c r="AY242" s="886"/>
      <c r="BB242" s="886"/>
      <c r="BD242" s="823"/>
      <c r="BE242" s="823"/>
    </row>
    <row r="243" spans="1:57" x14ac:dyDescent="0.2">
      <c r="A243" s="933">
        <v>20822</v>
      </c>
      <c r="B243" s="925" t="s">
        <v>732</v>
      </c>
      <c r="C243">
        <v>2001</v>
      </c>
      <c r="D243" s="5"/>
      <c r="E243" s="926">
        <v>39141</v>
      </c>
      <c r="F243" s="941">
        <v>-25000</v>
      </c>
      <c r="G243" s="883">
        <f>0.168+0.0369+0.002+0.0026</f>
        <v>0.20950000000000002</v>
      </c>
      <c r="H243" s="29">
        <v>2.69E-2</v>
      </c>
      <c r="I243" s="884">
        <f>SUM(G243:H243)</f>
        <v>0.23640000000000003</v>
      </c>
      <c r="J243" s="885">
        <f>$F243</f>
        <v>-25000</v>
      </c>
      <c r="K243" s="884">
        <f>$G243</f>
        <v>0.20950000000000002</v>
      </c>
      <c r="L243" s="879">
        <f>J243*K243*L$7</f>
        <v>-162362.50000000003</v>
      </c>
      <c r="M243" s="885">
        <f>$F243</f>
        <v>-25000</v>
      </c>
      <c r="N243" s="884">
        <f>$G243</f>
        <v>0.20950000000000002</v>
      </c>
      <c r="O243" s="879">
        <f>M243*N243*O$7</f>
        <v>-146650.00000000003</v>
      </c>
      <c r="P243" s="885">
        <f>$F243</f>
        <v>-25000</v>
      </c>
      <c r="Q243" s="884">
        <f>$G243</f>
        <v>0.20950000000000002</v>
      </c>
      <c r="R243" s="879">
        <f>P243*Q243*R$7</f>
        <v>-162362.50000000003</v>
      </c>
      <c r="S243" s="885">
        <f>$F243</f>
        <v>-25000</v>
      </c>
      <c r="T243" s="884">
        <f>$G243</f>
        <v>0.20950000000000002</v>
      </c>
      <c r="U243" s="879">
        <f>S243*T243*U$7</f>
        <v>-157125.00000000003</v>
      </c>
      <c r="V243" s="885">
        <f>$F243</f>
        <v>-25000</v>
      </c>
      <c r="W243" s="884">
        <f>$G243</f>
        <v>0.20950000000000002</v>
      </c>
      <c r="X243" s="879">
        <f>V243*W243*X$7</f>
        <v>-162362.50000000003</v>
      </c>
      <c r="Y243" s="885">
        <f>$F243</f>
        <v>-25000</v>
      </c>
      <c r="Z243" s="884">
        <f>$G243</f>
        <v>0.20950000000000002</v>
      </c>
      <c r="AA243" s="879">
        <f>Y243*Z243*AA$7</f>
        <v>-157125.00000000003</v>
      </c>
      <c r="AB243" s="885">
        <f>$F243</f>
        <v>-25000</v>
      </c>
      <c r="AC243" s="884">
        <f>$G243</f>
        <v>0.20950000000000002</v>
      </c>
      <c r="AD243" s="879">
        <f>AB243*AC243*AD$7</f>
        <v>-162362.50000000003</v>
      </c>
      <c r="AE243" s="885">
        <f>$F243</f>
        <v>-25000</v>
      </c>
      <c r="AF243" s="884">
        <f>$G243</f>
        <v>0.20950000000000002</v>
      </c>
      <c r="AG243" s="879">
        <f>AE243*AF243*AG$7</f>
        <v>-162362.50000000003</v>
      </c>
      <c r="AH243" s="885">
        <f>$F243</f>
        <v>-25000</v>
      </c>
      <c r="AI243" s="884">
        <f>$G243</f>
        <v>0.20950000000000002</v>
      </c>
      <c r="AJ243" s="879">
        <f>AH243*AI243*AJ$7</f>
        <v>-157125.00000000003</v>
      </c>
      <c r="AK243" s="885">
        <f>$F243</f>
        <v>-25000</v>
      </c>
      <c r="AL243" s="884">
        <f>$G243</f>
        <v>0.20950000000000002</v>
      </c>
      <c r="AM243" s="879">
        <f>AK243*AL243*AM$7</f>
        <v>-162362.50000000003</v>
      </c>
      <c r="AN243" s="885">
        <f>$F243</f>
        <v>-25000</v>
      </c>
      <c r="AO243" s="884">
        <f>$G243-0.0369+0.0035</f>
        <v>0.17610000000000003</v>
      </c>
      <c r="AP243" s="879">
        <f>AN243*AO243*AP$7</f>
        <v>-132075.00000000003</v>
      </c>
      <c r="AQ243" s="885">
        <f>$F243</f>
        <v>-25000</v>
      </c>
      <c r="AR243" s="884">
        <f>$G243-0.0369+0.0035</f>
        <v>0.17610000000000003</v>
      </c>
      <c r="AS243" s="879">
        <f>AQ243*AR243*AS$7</f>
        <v>-136477.50000000003</v>
      </c>
      <c r="AT243" s="879"/>
      <c r="AV243" s="823">
        <f>AS243+AP243+AM243+AJ243+AG243+AD243+AA243+X243+U243+R243+O243+L243</f>
        <v>-1860752.5000000002</v>
      </c>
      <c r="AW243" s="910"/>
      <c r="AY243" s="910"/>
      <c r="BB243" s="910"/>
      <c r="BD243" s="823"/>
      <c r="BE243" s="823"/>
    </row>
    <row r="244" spans="1:57" s="11" customFormat="1" x14ac:dyDescent="0.2">
      <c r="A244" s="175">
        <v>20822</v>
      </c>
      <c r="B244" s="175" t="s">
        <v>582</v>
      </c>
      <c r="C244" s="11">
        <v>2002</v>
      </c>
      <c r="D244" s="579" t="s">
        <v>579</v>
      </c>
      <c r="E244" s="181">
        <v>39141</v>
      </c>
      <c r="F244" s="733">
        <v>25000</v>
      </c>
      <c r="G244" s="170">
        <f>0.2096-0.0369</f>
        <v>0.17270000000000002</v>
      </c>
      <c r="H244" s="565">
        <v>2.5399999999999999E-2</v>
      </c>
      <c r="I244" s="909">
        <f>SUM(G244:H244)</f>
        <v>0.19810000000000003</v>
      </c>
      <c r="J244" s="885">
        <f>$F244</f>
        <v>25000</v>
      </c>
      <c r="K244" s="909">
        <f>$G244</f>
        <v>0.17270000000000002</v>
      </c>
      <c r="L244" s="891">
        <f>J244*K244*L$7</f>
        <v>133842.50000000003</v>
      </c>
      <c r="M244" s="885">
        <f>$F244</f>
        <v>25000</v>
      </c>
      <c r="N244" s="909">
        <f>$G244</f>
        <v>0.17270000000000002</v>
      </c>
      <c r="O244" s="891">
        <f>M244*N244*O$7</f>
        <v>120890.00000000003</v>
      </c>
      <c r="P244" s="885">
        <f>$F244</f>
        <v>25000</v>
      </c>
      <c r="Q244" s="909">
        <f>$G244</f>
        <v>0.17270000000000002</v>
      </c>
      <c r="R244" s="891">
        <f>P244*Q244*R$7</f>
        <v>133842.50000000003</v>
      </c>
      <c r="S244" s="885">
        <f>$F244</f>
        <v>25000</v>
      </c>
      <c r="T244" s="909">
        <f>$G244</f>
        <v>0.17270000000000002</v>
      </c>
      <c r="U244" s="891">
        <f>S244*T244*U$7</f>
        <v>129525.00000000003</v>
      </c>
      <c r="V244" s="885">
        <f>$F244</f>
        <v>25000</v>
      </c>
      <c r="W244" s="909">
        <f>$G244</f>
        <v>0.17270000000000002</v>
      </c>
      <c r="X244" s="891">
        <f>V244*W244*X$7</f>
        <v>133842.50000000003</v>
      </c>
      <c r="Y244" s="885">
        <f>$F244</f>
        <v>25000</v>
      </c>
      <c r="Z244" s="909">
        <f>$G244</f>
        <v>0.17270000000000002</v>
      </c>
      <c r="AA244" s="891">
        <f>Y244*Z244*AA$7</f>
        <v>129525.00000000003</v>
      </c>
      <c r="AB244" s="885">
        <f>$F244</f>
        <v>25000</v>
      </c>
      <c r="AC244" s="909">
        <f>$G244</f>
        <v>0.17270000000000002</v>
      </c>
      <c r="AD244" s="891">
        <f>AB244*AC244*AD$7</f>
        <v>133842.50000000003</v>
      </c>
      <c r="AE244" s="885">
        <f>$F244</f>
        <v>25000</v>
      </c>
      <c r="AF244" s="909">
        <f>$G244</f>
        <v>0.17270000000000002</v>
      </c>
      <c r="AG244" s="891">
        <f>AE244*AF244*AG$7</f>
        <v>133842.50000000003</v>
      </c>
      <c r="AH244" s="885">
        <f>$F244</f>
        <v>25000</v>
      </c>
      <c r="AI244" s="909">
        <f>$G244</f>
        <v>0.17270000000000002</v>
      </c>
      <c r="AJ244" s="891">
        <f>AH244*AI244*AJ$7</f>
        <v>129525.00000000003</v>
      </c>
      <c r="AK244" s="885">
        <f>$F244</f>
        <v>25000</v>
      </c>
      <c r="AL244" s="909">
        <f>$G244</f>
        <v>0.17270000000000002</v>
      </c>
      <c r="AM244" s="891">
        <f>AK244*AL244*AM$7</f>
        <v>133842.50000000003</v>
      </c>
      <c r="AN244" s="885">
        <f>$F244</f>
        <v>25000</v>
      </c>
      <c r="AO244" s="909">
        <f>$G244</f>
        <v>0.17270000000000002</v>
      </c>
      <c r="AP244" s="891">
        <f>AN244*AO244*AP$7</f>
        <v>129525.00000000003</v>
      </c>
      <c r="AQ244" s="885">
        <f>$F244</f>
        <v>25000</v>
      </c>
      <c r="AR244" s="909">
        <f>$G244</f>
        <v>0.17270000000000002</v>
      </c>
      <c r="AS244" s="891">
        <f>AQ244*AR244*AS$7</f>
        <v>133842.50000000003</v>
      </c>
      <c r="AT244" s="891"/>
      <c r="AV244" s="823">
        <f>AS244+AP244+AM244+AJ244+AG244+AD244+AA244+X244+U244+R244+O244+L244</f>
        <v>1575887.5000000002</v>
      </c>
      <c r="AW244" s="910"/>
      <c r="AY244" s="910"/>
      <c r="BB244" s="910"/>
      <c r="BD244" s="823"/>
      <c r="BE244" s="823"/>
    </row>
    <row r="245" spans="1:57" s="11" customFormat="1" x14ac:dyDescent="0.2">
      <c r="A245" s="617">
        <v>20822</v>
      </c>
      <c r="B245" s="617" t="s">
        <v>652</v>
      </c>
      <c r="C245" s="11">
        <v>2002</v>
      </c>
      <c r="D245" s="529"/>
      <c r="E245" s="913">
        <v>39141</v>
      </c>
      <c r="F245" s="934">
        <v>25000</v>
      </c>
      <c r="G245" s="911">
        <f>0.1715-0.1681</f>
        <v>3.4000000000000141E-3</v>
      </c>
      <c r="H245" s="1117" t="s">
        <v>647</v>
      </c>
      <c r="I245" s="1117"/>
      <c r="J245" s="885">
        <v>0</v>
      </c>
      <c r="K245" s="909">
        <v>0</v>
      </c>
      <c r="L245" s="891">
        <v>2635</v>
      </c>
      <c r="M245" s="885">
        <v>0</v>
      </c>
      <c r="N245" s="909">
        <v>0</v>
      </c>
      <c r="O245" s="891">
        <v>2380</v>
      </c>
      <c r="P245" s="885">
        <v>0</v>
      </c>
      <c r="Q245" s="909">
        <v>0</v>
      </c>
      <c r="R245" s="891">
        <v>2635</v>
      </c>
      <c r="S245" s="885">
        <v>0</v>
      </c>
      <c r="T245" s="909">
        <v>0</v>
      </c>
      <c r="U245" s="891">
        <v>2550</v>
      </c>
      <c r="V245" s="885">
        <v>0</v>
      </c>
      <c r="W245" s="909">
        <v>0</v>
      </c>
      <c r="X245" s="891">
        <v>2635</v>
      </c>
      <c r="Y245" s="885">
        <v>0</v>
      </c>
      <c r="Z245" s="909">
        <v>0</v>
      </c>
      <c r="AA245" s="891">
        <v>2550</v>
      </c>
      <c r="AB245" s="885">
        <v>0</v>
      </c>
      <c r="AC245" s="909">
        <v>0</v>
      </c>
      <c r="AD245" s="891">
        <v>2635</v>
      </c>
      <c r="AE245" s="885">
        <v>0</v>
      </c>
      <c r="AF245" s="909">
        <v>0</v>
      </c>
      <c r="AG245" s="891">
        <v>2635</v>
      </c>
      <c r="AH245" s="885">
        <v>0</v>
      </c>
      <c r="AI245" s="909">
        <v>0</v>
      </c>
      <c r="AJ245" s="891">
        <v>2550</v>
      </c>
      <c r="AK245" s="885">
        <v>0</v>
      </c>
      <c r="AL245" s="909">
        <v>0</v>
      </c>
      <c r="AM245" s="891">
        <v>2635</v>
      </c>
      <c r="AN245" s="885">
        <v>0</v>
      </c>
      <c r="AO245" s="909">
        <v>0</v>
      </c>
      <c r="AP245" s="891">
        <v>8025</v>
      </c>
      <c r="AQ245" s="885">
        <v>0</v>
      </c>
      <c r="AR245" s="909">
        <v>0</v>
      </c>
      <c r="AS245" s="891">
        <v>8292</v>
      </c>
      <c r="AT245" s="891"/>
      <c r="AV245" s="823">
        <f>AS245+AP245+AM245+AJ245+AG245+AD245+AA245+X245+U245+R245+O245+L245</f>
        <v>42157</v>
      </c>
      <c r="AW245" s="910"/>
      <c r="AX245" s="823">
        <f>SUM(AV243:AV245)</f>
        <v>-242708</v>
      </c>
      <c r="AY245" s="910"/>
      <c r="AZ245" s="823">
        <f>(25000*304*0.0034)+(25000*61*0.0066)+(25000*365*0.0012)</f>
        <v>46855</v>
      </c>
      <c r="BA245" s="823">
        <f>25000*304*-0.0369</f>
        <v>-280440</v>
      </c>
      <c r="BB245" s="910"/>
      <c r="BC245" s="823">
        <f>25000*365*-0.001</f>
        <v>-9125</v>
      </c>
      <c r="BD245" s="823"/>
      <c r="BE245" s="823"/>
    </row>
    <row r="246" spans="1:57" x14ac:dyDescent="0.2">
      <c r="A246" s="933"/>
      <c r="B246" s="925"/>
      <c r="D246" s="5"/>
      <c r="E246" s="926"/>
      <c r="F246" s="941"/>
      <c r="G246" s="883"/>
      <c r="H246" s="29"/>
      <c r="I246" s="884"/>
      <c r="J246" s="885"/>
      <c r="K246" s="884"/>
      <c r="L246" s="879"/>
      <c r="M246" s="885"/>
      <c r="N246" s="884"/>
      <c r="O246" s="879"/>
      <c r="P246" s="885"/>
      <c r="Q246" s="884"/>
      <c r="R246" s="879"/>
      <c r="S246" s="885"/>
      <c r="T246" s="884"/>
      <c r="U246" s="879"/>
      <c r="V246" s="885"/>
      <c r="W246" s="884"/>
      <c r="X246" s="879"/>
      <c r="Y246" s="885"/>
      <c r="Z246" s="884"/>
      <c r="AA246" s="879"/>
      <c r="AB246" s="885"/>
      <c r="AC246" s="884"/>
      <c r="AD246" s="879"/>
      <c r="AE246" s="885"/>
      <c r="AF246" s="884"/>
      <c r="AG246" s="879"/>
      <c r="AH246" s="885"/>
      <c r="AI246" s="884"/>
      <c r="AJ246" s="879"/>
      <c r="AK246" s="885"/>
      <c r="AL246" s="884"/>
      <c r="AM246" s="879"/>
      <c r="AN246" s="885"/>
      <c r="AO246" s="884"/>
      <c r="AP246" s="879"/>
      <c r="AQ246" s="885"/>
      <c r="AR246" s="884"/>
      <c r="AS246" s="879"/>
      <c r="AT246" s="879"/>
      <c r="AV246" s="33"/>
      <c r="AW246" s="886"/>
      <c r="AY246" s="886"/>
      <c r="BB246" s="886"/>
      <c r="BD246" s="823"/>
      <c r="BE246" s="823"/>
    </row>
    <row r="247" spans="1:57" x14ac:dyDescent="0.2">
      <c r="A247" s="933">
        <v>26678</v>
      </c>
      <c r="B247" s="925" t="s">
        <v>733</v>
      </c>
      <c r="C247">
        <v>2001</v>
      </c>
      <c r="D247" s="5"/>
      <c r="E247" s="926">
        <v>39172</v>
      </c>
      <c r="F247" s="941">
        <v>-25000</v>
      </c>
      <c r="G247" s="883">
        <f>0.2605+0.003+0.0443+0.0051+0.0007</f>
        <v>0.31359999999999999</v>
      </c>
      <c r="H247" s="29">
        <v>2.69E-2</v>
      </c>
      <c r="I247" s="884">
        <f>SUM(G247:H247)</f>
        <v>0.34049999999999997</v>
      </c>
      <c r="J247" s="885">
        <f>$F247</f>
        <v>-25000</v>
      </c>
      <c r="K247" s="884">
        <f>$G247</f>
        <v>0.31359999999999999</v>
      </c>
      <c r="L247" s="879">
        <f>J247*K247*L$7</f>
        <v>-243040</v>
      </c>
      <c r="M247" s="885">
        <f>$F247</f>
        <v>-25000</v>
      </c>
      <c r="N247" s="884">
        <f>$G247</f>
        <v>0.31359999999999999</v>
      </c>
      <c r="O247" s="879">
        <f>M247*N247*O$7</f>
        <v>-219520</v>
      </c>
      <c r="P247" s="885">
        <f>$F247</f>
        <v>-25000</v>
      </c>
      <c r="Q247" s="884">
        <f>$G247</f>
        <v>0.31359999999999999</v>
      </c>
      <c r="R247" s="879">
        <f>P247*Q247*R$7</f>
        <v>-243040</v>
      </c>
      <c r="S247" s="885">
        <f>$F247</f>
        <v>-25000</v>
      </c>
      <c r="T247" s="884">
        <f>$G247</f>
        <v>0.31359999999999999</v>
      </c>
      <c r="U247" s="879">
        <f>S247*T247*U$7</f>
        <v>-235200</v>
      </c>
      <c r="V247" s="885">
        <f>$F247</f>
        <v>-25000</v>
      </c>
      <c r="W247" s="884">
        <f>$G247</f>
        <v>0.31359999999999999</v>
      </c>
      <c r="X247" s="879">
        <f>V247*W247*X$7</f>
        <v>-243040</v>
      </c>
      <c r="Y247" s="885">
        <f>$F247</f>
        <v>-25000</v>
      </c>
      <c r="Z247" s="884">
        <f>$G247</f>
        <v>0.31359999999999999</v>
      </c>
      <c r="AA247" s="879">
        <f>Y247*Z247*AA$7</f>
        <v>-235200</v>
      </c>
      <c r="AB247" s="885">
        <f>$F247</f>
        <v>-25000</v>
      </c>
      <c r="AC247" s="884">
        <f>$G247</f>
        <v>0.31359999999999999</v>
      </c>
      <c r="AD247" s="879">
        <f>AB247*AC247*AD$7</f>
        <v>-243040</v>
      </c>
      <c r="AE247" s="885">
        <f>$F247</f>
        <v>-25000</v>
      </c>
      <c r="AF247" s="884">
        <f>$G247</f>
        <v>0.31359999999999999</v>
      </c>
      <c r="AG247" s="879">
        <f>AE247*AF247*AG$7</f>
        <v>-243040</v>
      </c>
      <c r="AH247" s="885">
        <f>$F247</f>
        <v>-25000</v>
      </c>
      <c r="AI247" s="884">
        <f>$G247</f>
        <v>0.31359999999999999</v>
      </c>
      <c r="AJ247" s="879">
        <f>AH247*AI247*AJ$7</f>
        <v>-235200</v>
      </c>
      <c r="AK247" s="885">
        <f>$F247</f>
        <v>-25000</v>
      </c>
      <c r="AL247" s="884">
        <f>$G247</f>
        <v>0.31359999999999999</v>
      </c>
      <c r="AM247" s="879">
        <f>AK247*AL247*AM$7</f>
        <v>-243040</v>
      </c>
      <c r="AN247" s="885">
        <f>$F247</f>
        <v>-25000</v>
      </c>
      <c r="AO247" s="884">
        <f>$G247-0.0443+0.0053</f>
        <v>0.27460000000000001</v>
      </c>
      <c r="AP247" s="879">
        <f>AN247*AO247*AP$7</f>
        <v>-205950</v>
      </c>
      <c r="AQ247" s="885">
        <f>$F247</f>
        <v>-25000</v>
      </c>
      <c r="AR247" s="884">
        <f>$G247-0.0443+0.0053</f>
        <v>0.27460000000000001</v>
      </c>
      <c r="AS247" s="879">
        <f>AQ247*AR247*AS$7</f>
        <v>-212815</v>
      </c>
      <c r="AT247" s="879"/>
      <c r="AV247" s="823">
        <f>AS247+AP247+AM247+AJ247+AG247+AD247+AA247+X247+U247+R247+O247+L247</f>
        <v>-2802125</v>
      </c>
      <c r="AW247" s="910"/>
      <c r="AY247" s="910"/>
      <c r="BB247" s="910"/>
      <c r="BD247" s="823"/>
      <c r="BE247" s="823"/>
    </row>
    <row r="248" spans="1:57" s="11" customFormat="1" x14ac:dyDescent="0.2">
      <c r="A248" s="175">
        <v>26678</v>
      </c>
      <c r="B248" s="510" t="s">
        <v>544</v>
      </c>
      <c r="C248" s="11">
        <v>2002</v>
      </c>
      <c r="D248" s="579" t="s">
        <v>579</v>
      </c>
      <c r="E248" s="181">
        <v>39172</v>
      </c>
      <c r="F248" s="733">
        <v>25000</v>
      </c>
      <c r="G248" s="170">
        <v>0.2671</v>
      </c>
      <c r="H248" s="565">
        <v>2.5399999999999999E-2</v>
      </c>
      <c r="I248" s="909">
        <f>SUM(G248:H248)</f>
        <v>0.29249999999999998</v>
      </c>
      <c r="J248" s="885">
        <f>$F248</f>
        <v>25000</v>
      </c>
      <c r="K248" s="909">
        <f>$G248</f>
        <v>0.2671</v>
      </c>
      <c r="L248" s="891">
        <f>J248*K248*L$7</f>
        <v>207002.5</v>
      </c>
      <c r="M248" s="885">
        <f>$F248</f>
        <v>25000</v>
      </c>
      <c r="N248" s="909">
        <f>$G248</f>
        <v>0.2671</v>
      </c>
      <c r="O248" s="891">
        <f>M248*N248*O$7</f>
        <v>186970</v>
      </c>
      <c r="P248" s="885">
        <f>$F248</f>
        <v>25000</v>
      </c>
      <c r="Q248" s="909">
        <f>$G248</f>
        <v>0.2671</v>
      </c>
      <c r="R248" s="891">
        <f>P248*Q248*R$7</f>
        <v>207002.5</v>
      </c>
      <c r="S248" s="885">
        <f>$F248</f>
        <v>25000</v>
      </c>
      <c r="T248" s="909">
        <f>$G248</f>
        <v>0.2671</v>
      </c>
      <c r="U248" s="891">
        <f>S248*T248*U$7</f>
        <v>200325</v>
      </c>
      <c r="V248" s="885">
        <f>$F248</f>
        <v>25000</v>
      </c>
      <c r="W248" s="909">
        <f>$G248</f>
        <v>0.2671</v>
      </c>
      <c r="X248" s="891">
        <f>V248*W248*X$7</f>
        <v>207002.5</v>
      </c>
      <c r="Y248" s="885">
        <f>$F248</f>
        <v>25000</v>
      </c>
      <c r="Z248" s="909">
        <f>$G248</f>
        <v>0.2671</v>
      </c>
      <c r="AA248" s="891">
        <f>Y248*Z248*AA$7</f>
        <v>200325</v>
      </c>
      <c r="AB248" s="885">
        <f>$F248</f>
        <v>25000</v>
      </c>
      <c r="AC248" s="909">
        <f>$G248</f>
        <v>0.2671</v>
      </c>
      <c r="AD248" s="891">
        <f>AB248*AC248*AD$7</f>
        <v>207002.5</v>
      </c>
      <c r="AE248" s="885">
        <f>$F248</f>
        <v>25000</v>
      </c>
      <c r="AF248" s="909">
        <f>$G248</f>
        <v>0.2671</v>
      </c>
      <c r="AG248" s="891">
        <f>AE248*AF248*AG$7</f>
        <v>207002.5</v>
      </c>
      <c r="AH248" s="885">
        <f>$F248</f>
        <v>25000</v>
      </c>
      <c r="AI248" s="909">
        <f>$G248</f>
        <v>0.2671</v>
      </c>
      <c r="AJ248" s="891">
        <f>AH248*AI248*AJ$7</f>
        <v>200325</v>
      </c>
      <c r="AK248" s="885">
        <f>$F248</f>
        <v>25000</v>
      </c>
      <c r="AL248" s="909">
        <f>$G248</f>
        <v>0.2671</v>
      </c>
      <c r="AM248" s="891">
        <f>AK248*AL248*AM$7</f>
        <v>207002.5</v>
      </c>
      <c r="AN248" s="885">
        <f>$F248</f>
        <v>25000</v>
      </c>
      <c r="AO248" s="909">
        <f>$G248</f>
        <v>0.2671</v>
      </c>
      <c r="AP248" s="891">
        <f>AN248*AO248*AP$7</f>
        <v>200325</v>
      </c>
      <c r="AQ248" s="885">
        <f>$F248</f>
        <v>25000</v>
      </c>
      <c r="AR248" s="909">
        <f>$G248</f>
        <v>0.2671</v>
      </c>
      <c r="AS248" s="891">
        <f>AQ248*AR248*AS$7</f>
        <v>207002.5</v>
      </c>
      <c r="AT248" s="891"/>
      <c r="AV248" s="823">
        <f>AS248+AP248+AM248+AJ248+AG248+AD248+AA248+X248+U248+R248+O248+L248</f>
        <v>2437287.5</v>
      </c>
      <c r="AW248" s="910"/>
      <c r="AY248" s="910"/>
      <c r="BB248" s="910"/>
      <c r="BD248" s="823"/>
      <c r="BE248" s="823"/>
    </row>
    <row r="249" spans="1:57" s="11" customFormat="1" x14ac:dyDescent="0.2">
      <c r="A249" s="617">
        <v>26678</v>
      </c>
      <c r="B249" s="617" t="s">
        <v>650</v>
      </c>
      <c r="C249" s="11">
        <v>2002</v>
      </c>
      <c r="D249" s="529"/>
      <c r="E249" s="913">
        <v>39172</v>
      </c>
      <c r="F249" s="934">
        <v>25000</v>
      </c>
      <c r="G249" s="911">
        <f>0.2659-0.2606</f>
        <v>5.3000000000000269E-3</v>
      </c>
      <c r="H249" s="1117" t="s">
        <v>647</v>
      </c>
      <c r="I249" s="1117"/>
      <c r="J249" s="885">
        <v>0</v>
      </c>
      <c r="K249" s="909">
        <v>0</v>
      </c>
      <c r="L249" s="891">
        <v>4108</v>
      </c>
      <c r="M249" s="885">
        <v>0</v>
      </c>
      <c r="N249" s="909">
        <v>0</v>
      </c>
      <c r="O249" s="891">
        <v>3710</v>
      </c>
      <c r="P249" s="885">
        <v>0</v>
      </c>
      <c r="Q249" s="909">
        <v>0</v>
      </c>
      <c r="R249" s="891">
        <v>4108</v>
      </c>
      <c r="S249" s="885">
        <v>0</v>
      </c>
      <c r="T249" s="909">
        <v>0</v>
      </c>
      <c r="U249" s="891">
        <v>3975</v>
      </c>
      <c r="V249" s="885">
        <v>0</v>
      </c>
      <c r="W249" s="909">
        <v>0</v>
      </c>
      <c r="X249" s="891">
        <v>4108</v>
      </c>
      <c r="Y249" s="885">
        <v>0</v>
      </c>
      <c r="Z249" s="909">
        <v>0</v>
      </c>
      <c r="AA249" s="891">
        <v>3975</v>
      </c>
      <c r="AB249" s="885">
        <v>0</v>
      </c>
      <c r="AC249" s="909">
        <v>0</v>
      </c>
      <c r="AD249" s="891">
        <v>4108</v>
      </c>
      <c r="AE249" s="885">
        <v>0</v>
      </c>
      <c r="AF249" s="909">
        <v>0</v>
      </c>
      <c r="AG249" s="891">
        <v>4108</v>
      </c>
      <c r="AH249" s="885">
        <v>0</v>
      </c>
      <c r="AI249" s="909">
        <v>0</v>
      </c>
      <c r="AJ249" s="891">
        <v>3975</v>
      </c>
      <c r="AK249" s="885">
        <v>0</v>
      </c>
      <c r="AL249" s="909">
        <v>0</v>
      </c>
      <c r="AM249" s="891">
        <v>4108</v>
      </c>
      <c r="AN249" s="885">
        <v>0</v>
      </c>
      <c r="AO249" s="909">
        <v>0</v>
      </c>
      <c r="AP249" s="891">
        <v>8025</v>
      </c>
      <c r="AQ249" s="885">
        <v>0</v>
      </c>
      <c r="AR249" s="909">
        <v>0</v>
      </c>
      <c r="AS249" s="891">
        <v>8292</v>
      </c>
      <c r="AT249" s="891"/>
      <c r="AV249" s="823">
        <f>AS249+AP249+AM249+AJ249+AG249+AD249+AA249+X249+U249+R249+O249+L249</f>
        <v>56600</v>
      </c>
      <c r="AW249" s="910"/>
      <c r="AX249" s="823">
        <f>SUM(AV247:AV249)</f>
        <v>-308237.5</v>
      </c>
      <c r="AY249" s="910"/>
      <c r="AZ249" s="823">
        <f>(25000*304*0.0053)+(25000*61*0.0054)-(25000*365*0.0012)</f>
        <v>37565</v>
      </c>
      <c r="BA249" s="823">
        <f>25000*304*-0.0443</f>
        <v>-336680</v>
      </c>
      <c r="BB249" s="910"/>
      <c r="BC249" s="823">
        <f>25000*365*-0.001</f>
        <v>-9125</v>
      </c>
      <c r="BD249" s="823"/>
      <c r="BE249" s="823"/>
    </row>
    <row r="250" spans="1:57" x14ac:dyDescent="0.2">
      <c r="A250" s="933"/>
      <c r="B250" s="925"/>
      <c r="D250" s="5"/>
      <c r="E250" s="926"/>
      <c r="F250" s="941"/>
      <c r="G250" s="883"/>
      <c r="H250" s="29"/>
      <c r="I250" s="884"/>
      <c r="J250" s="885"/>
      <c r="K250" s="884"/>
      <c r="L250" s="879"/>
      <c r="M250" s="885"/>
      <c r="N250" s="884"/>
      <c r="O250" s="879"/>
      <c r="P250" s="885"/>
      <c r="Q250" s="884"/>
      <c r="R250" s="879"/>
      <c r="S250" s="885"/>
      <c r="T250" s="884"/>
      <c r="U250" s="879"/>
      <c r="V250" s="885"/>
      <c r="W250" s="884"/>
      <c r="X250" s="879"/>
      <c r="Y250" s="885"/>
      <c r="Z250" s="884"/>
      <c r="AA250" s="879"/>
      <c r="AB250" s="885"/>
      <c r="AC250" s="884"/>
      <c r="AD250" s="879"/>
      <c r="AE250" s="885"/>
      <c r="AF250" s="884"/>
      <c r="AG250" s="879"/>
      <c r="AH250" s="885"/>
      <c r="AI250" s="884"/>
      <c r="AJ250" s="879"/>
      <c r="AK250" s="885"/>
      <c r="AL250" s="884"/>
      <c r="AM250" s="879"/>
      <c r="AN250" s="885"/>
      <c r="AO250" s="884"/>
      <c r="AP250" s="879"/>
      <c r="AQ250" s="885"/>
      <c r="AR250" s="884"/>
      <c r="AS250" s="879"/>
      <c r="AT250" s="879"/>
      <c r="AV250" s="33"/>
      <c r="AW250" s="886"/>
      <c r="AY250" s="886"/>
      <c r="BB250" s="886"/>
      <c r="BD250" s="823"/>
      <c r="BE250" s="823"/>
    </row>
    <row r="251" spans="1:57" x14ac:dyDescent="0.2">
      <c r="A251" s="933">
        <v>26372</v>
      </c>
      <c r="B251" s="925" t="s">
        <v>734</v>
      </c>
      <c r="C251">
        <v>2001</v>
      </c>
      <c r="D251" s="5"/>
      <c r="E251" s="926">
        <v>39172</v>
      </c>
      <c r="F251" s="941">
        <v>-25000</v>
      </c>
      <c r="G251" s="883">
        <f>0.2605+0.003+0.0443+0.0051+0.0007</f>
        <v>0.31359999999999999</v>
      </c>
      <c r="H251" s="29">
        <v>2.69E-2</v>
      </c>
      <c r="I251" s="884">
        <f>SUM(G251:H251)</f>
        <v>0.34049999999999997</v>
      </c>
      <c r="J251" s="885">
        <f>$F251</f>
        <v>-25000</v>
      </c>
      <c r="K251" s="884">
        <f>$G251</f>
        <v>0.31359999999999999</v>
      </c>
      <c r="L251" s="879">
        <f>J251*K251*L$7</f>
        <v>-243040</v>
      </c>
      <c r="M251" s="885">
        <f>$F251</f>
        <v>-25000</v>
      </c>
      <c r="N251" s="884">
        <f>$G251</f>
        <v>0.31359999999999999</v>
      </c>
      <c r="O251" s="879">
        <f>M251*N251*O$7</f>
        <v>-219520</v>
      </c>
      <c r="P251" s="885">
        <f>$F251</f>
        <v>-25000</v>
      </c>
      <c r="Q251" s="884">
        <f>$G251</f>
        <v>0.31359999999999999</v>
      </c>
      <c r="R251" s="879">
        <f>P251*Q251*R$7</f>
        <v>-243040</v>
      </c>
      <c r="S251" s="885">
        <f>$F251</f>
        <v>-25000</v>
      </c>
      <c r="T251" s="884">
        <f>$G251</f>
        <v>0.31359999999999999</v>
      </c>
      <c r="U251" s="879">
        <f>S251*T251*U$7</f>
        <v>-235200</v>
      </c>
      <c r="V251" s="885">
        <f>$F251</f>
        <v>-25000</v>
      </c>
      <c r="W251" s="884">
        <f>$G251</f>
        <v>0.31359999999999999</v>
      </c>
      <c r="X251" s="879">
        <f>V251*W251*X$7</f>
        <v>-243040</v>
      </c>
      <c r="Y251" s="885">
        <f>$F251</f>
        <v>-25000</v>
      </c>
      <c r="Z251" s="884">
        <f>$G251</f>
        <v>0.31359999999999999</v>
      </c>
      <c r="AA251" s="879">
        <f>Y251*Z251*AA$7</f>
        <v>-235200</v>
      </c>
      <c r="AB251" s="885">
        <f>$F251</f>
        <v>-25000</v>
      </c>
      <c r="AC251" s="884">
        <f>$G251</f>
        <v>0.31359999999999999</v>
      </c>
      <c r="AD251" s="879">
        <f>AB251*AC251*AD$7</f>
        <v>-243040</v>
      </c>
      <c r="AE251" s="885">
        <f>$F251</f>
        <v>-25000</v>
      </c>
      <c r="AF251" s="884">
        <f>$G251</f>
        <v>0.31359999999999999</v>
      </c>
      <c r="AG251" s="879">
        <f>AE251*AF251*AG$7</f>
        <v>-243040</v>
      </c>
      <c r="AH251" s="885">
        <f>$F251</f>
        <v>-25000</v>
      </c>
      <c r="AI251" s="884">
        <f>$G251</f>
        <v>0.31359999999999999</v>
      </c>
      <c r="AJ251" s="879">
        <f>AH251*AI251*AJ$7</f>
        <v>-235200</v>
      </c>
      <c r="AK251" s="885">
        <f>$F251</f>
        <v>-25000</v>
      </c>
      <c r="AL251" s="884">
        <f>$G251</f>
        <v>0.31359999999999999</v>
      </c>
      <c r="AM251" s="879">
        <f>AK251*AL251*AM$7</f>
        <v>-243040</v>
      </c>
      <c r="AN251" s="885">
        <f>$F251</f>
        <v>-25000</v>
      </c>
      <c r="AO251" s="884">
        <f>$G251-0.0443+0.0053</f>
        <v>0.27460000000000001</v>
      </c>
      <c r="AP251" s="879">
        <f>AN251*AO251*AP$7</f>
        <v>-205950</v>
      </c>
      <c r="AQ251" s="885">
        <f>$F251</f>
        <v>-25000</v>
      </c>
      <c r="AR251" s="884">
        <f>$G251-0.0443+0.0053</f>
        <v>0.27460000000000001</v>
      </c>
      <c r="AS251" s="879">
        <f>AQ251*AR251*AS$7</f>
        <v>-212815</v>
      </c>
      <c r="AT251" s="879"/>
      <c r="AV251" s="823">
        <f>AS251+AP251+AM251+AJ251+AG251+AD251+AA251+X251+U251+R251+O251+L251</f>
        <v>-2802125</v>
      </c>
      <c r="AW251" s="910"/>
      <c r="AY251" s="910"/>
      <c r="BB251" s="910"/>
      <c r="BD251" s="823"/>
      <c r="BE251" s="823"/>
    </row>
    <row r="252" spans="1:57" s="11" customFormat="1" x14ac:dyDescent="0.2">
      <c r="A252" s="175">
        <v>26372</v>
      </c>
      <c r="B252" s="510" t="s">
        <v>542</v>
      </c>
      <c r="C252" s="11">
        <v>2002</v>
      </c>
      <c r="D252" s="579" t="s">
        <v>579</v>
      </c>
      <c r="E252" s="181">
        <v>39172</v>
      </c>
      <c r="F252" s="733">
        <v>25000</v>
      </c>
      <c r="G252" s="170">
        <v>0.26840000000000003</v>
      </c>
      <c r="H252" s="565">
        <v>2.5399999999999999E-2</v>
      </c>
      <c r="I252" s="909">
        <f>SUM(G252:H252)</f>
        <v>0.29380000000000001</v>
      </c>
      <c r="J252" s="885">
        <f>$F252</f>
        <v>25000</v>
      </c>
      <c r="K252" s="909">
        <f>$G252</f>
        <v>0.26840000000000003</v>
      </c>
      <c r="L252" s="891">
        <f>J252*K252*L$7</f>
        <v>208010.00000000003</v>
      </c>
      <c r="M252" s="885">
        <f>$F252</f>
        <v>25000</v>
      </c>
      <c r="N252" s="909">
        <f>$G252</f>
        <v>0.26840000000000003</v>
      </c>
      <c r="O252" s="891">
        <f>M252*N252*O$7</f>
        <v>187880.00000000003</v>
      </c>
      <c r="P252" s="885">
        <f>$F252</f>
        <v>25000</v>
      </c>
      <c r="Q252" s="909">
        <f>$G252</f>
        <v>0.26840000000000003</v>
      </c>
      <c r="R252" s="891">
        <f>P252*Q252*R$7</f>
        <v>208010.00000000003</v>
      </c>
      <c r="S252" s="885">
        <f>$F252</f>
        <v>25000</v>
      </c>
      <c r="T252" s="909">
        <f>$G252</f>
        <v>0.26840000000000003</v>
      </c>
      <c r="U252" s="891">
        <f>S252*T252*U$7</f>
        <v>201300.00000000003</v>
      </c>
      <c r="V252" s="885">
        <f>$F252</f>
        <v>25000</v>
      </c>
      <c r="W252" s="909">
        <f>$G252</f>
        <v>0.26840000000000003</v>
      </c>
      <c r="X252" s="891">
        <f>V252*W252*X$7</f>
        <v>208010.00000000003</v>
      </c>
      <c r="Y252" s="885">
        <f>$F252</f>
        <v>25000</v>
      </c>
      <c r="Z252" s="909">
        <f>$G252</f>
        <v>0.26840000000000003</v>
      </c>
      <c r="AA252" s="891">
        <f>Y252*Z252*AA$7</f>
        <v>201300.00000000003</v>
      </c>
      <c r="AB252" s="885">
        <f>$F252</f>
        <v>25000</v>
      </c>
      <c r="AC252" s="909">
        <f>$G252</f>
        <v>0.26840000000000003</v>
      </c>
      <c r="AD252" s="891">
        <f>AB252*AC252*AD$7</f>
        <v>208010.00000000003</v>
      </c>
      <c r="AE252" s="885">
        <f>$F252</f>
        <v>25000</v>
      </c>
      <c r="AF252" s="909">
        <f>$G252</f>
        <v>0.26840000000000003</v>
      </c>
      <c r="AG252" s="891">
        <f>AE252*AF252*AG$7</f>
        <v>208010.00000000003</v>
      </c>
      <c r="AH252" s="885">
        <f>$F252</f>
        <v>25000</v>
      </c>
      <c r="AI252" s="909">
        <f>$G252</f>
        <v>0.26840000000000003</v>
      </c>
      <c r="AJ252" s="891">
        <f>AH252*AI252*AJ$7</f>
        <v>201300.00000000003</v>
      </c>
      <c r="AK252" s="885">
        <f>$F252</f>
        <v>25000</v>
      </c>
      <c r="AL252" s="909">
        <f>$G252</f>
        <v>0.26840000000000003</v>
      </c>
      <c r="AM252" s="891">
        <f>AK252*AL252*AM$7</f>
        <v>208010.00000000003</v>
      </c>
      <c r="AN252" s="885">
        <f>$F252</f>
        <v>25000</v>
      </c>
      <c r="AO252" s="909">
        <f>$G252</f>
        <v>0.26840000000000003</v>
      </c>
      <c r="AP252" s="891">
        <f>AN252*AO252*AP$7</f>
        <v>201300.00000000003</v>
      </c>
      <c r="AQ252" s="885">
        <f>$F252</f>
        <v>25000</v>
      </c>
      <c r="AR252" s="909">
        <f>$G252</f>
        <v>0.26840000000000003</v>
      </c>
      <c r="AS252" s="891">
        <f>AQ252*AR252*AS$7</f>
        <v>208010.00000000003</v>
      </c>
      <c r="AT252" s="891"/>
      <c r="AV252" s="823">
        <f>AS252+AP252+AM252+AJ252+AG252+AD252+AA252+X252+U252+R252+O252+L252</f>
        <v>2449150.0000000005</v>
      </c>
      <c r="AW252" s="910"/>
      <c r="AY252" s="910"/>
      <c r="BB252" s="910"/>
      <c r="BD252" s="823"/>
      <c r="BE252" s="823"/>
    </row>
    <row r="253" spans="1:57" s="11" customFormat="1" x14ac:dyDescent="0.2">
      <c r="A253" s="617">
        <v>26372</v>
      </c>
      <c r="B253" s="617" t="s">
        <v>499</v>
      </c>
      <c r="C253" s="11">
        <v>2002</v>
      </c>
      <c r="D253" s="529"/>
      <c r="E253" s="913">
        <v>39172</v>
      </c>
      <c r="F253" s="934">
        <v>25000</v>
      </c>
      <c r="G253" s="911">
        <f>0.2659-0.2606</f>
        <v>5.3000000000000269E-3</v>
      </c>
      <c r="H253" s="1117" t="s">
        <v>647</v>
      </c>
      <c r="I253" s="1117"/>
      <c r="J253" s="885">
        <v>0</v>
      </c>
      <c r="K253" s="909">
        <v>0</v>
      </c>
      <c r="L253" s="891">
        <v>4108</v>
      </c>
      <c r="M253" s="885">
        <v>0</v>
      </c>
      <c r="N253" s="909">
        <v>0</v>
      </c>
      <c r="O253" s="891">
        <v>3710</v>
      </c>
      <c r="P253" s="885">
        <v>0</v>
      </c>
      <c r="Q253" s="909">
        <v>0</v>
      </c>
      <c r="R253" s="891">
        <v>4108</v>
      </c>
      <c r="S253" s="885">
        <v>0</v>
      </c>
      <c r="T253" s="909">
        <v>0</v>
      </c>
      <c r="U253" s="891">
        <v>3975</v>
      </c>
      <c r="V253" s="885">
        <v>0</v>
      </c>
      <c r="W253" s="909">
        <v>0</v>
      </c>
      <c r="X253" s="891">
        <v>4108</v>
      </c>
      <c r="Y253" s="885">
        <v>0</v>
      </c>
      <c r="Z253" s="909">
        <v>0</v>
      </c>
      <c r="AA253" s="891">
        <v>3975</v>
      </c>
      <c r="AB253" s="885">
        <v>0</v>
      </c>
      <c r="AC253" s="909">
        <v>0</v>
      </c>
      <c r="AD253" s="891">
        <v>4108</v>
      </c>
      <c r="AE253" s="885">
        <v>0</v>
      </c>
      <c r="AF253" s="909">
        <v>0</v>
      </c>
      <c r="AG253" s="891">
        <v>4108</v>
      </c>
      <c r="AH253" s="885">
        <v>0</v>
      </c>
      <c r="AI253" s="909">
        <v>0</v>
      </c>
      <c r="AJ253" s="891">
        <v>3975</v>
      </c>
      <c r="AK253" s="885">
        <v>0</v>
      </c>
      <c r="AL253" s="909">
        <v>0</v>
      </c>
      <c r="AM253" s="891">
        <v>4108</v>
      </c>
      <c r="AN253" s="885">
        <v>0</v>
      </c>
      <c r="AO253" s="909">
        <v>0</v>
      </c>
      <c r="AP253" s="891">
        <v>8025</v>
      </c>
      <c r="AQ253" s="885">
        <v>0</v>
      </c>
      <c r="AR253" s="909">
        <v>0</v>
      </c>
      <c r="AS253" s="891">
        <v>8292</v>
      </c>
      <c r="AT253" s="891"/>
      <c r="AV253" s="823">
        <f>AS253+AP253+AM253+AJ253+AG253+AD253+AA253+X253+U253+R253+O253+L253</f>
        <v>56600</v>
      </c>
      <c r="AW253" s="910"/>
      <c r="AX253" s="823">
        <f>SUM(AV251:AV253)</f>
        <v>-296374.99999999953</v>
      </c>
      <c r="AY253" s="910"/>
      <c r="AZ253" s="823">
        <f>(25000*304*0.0053)+(25000*61*0.0054)+(25000*365*0.0001)</f>
        <v>49427.5</v>
      </c>
      <c r="BA253" s="823">
        <f>25000*304*-0.0443</f>
        <v>-336680</v>
      </c>
      <c r="BB253" s="910"/>
      <c r="BC253" s="823">
        <f>25000*365*-0.001</f>
        <v>-9125</v>
      </c>
      <c r="BD253" s="823"/>
      <c r="BE253" s="823"/>
    </row>
    <row r="254" spans="1:57" x14ac:dyDescent="0.2">
      <c r="A254" s="933"/>
      <c r="B254" s="925"/>
      <c r="D254" s="5"/>
      <c r="E254" s="926"/>
      <c r="F254" s="941"/>
      <c r="G254" s="883"/>
      <c r="H254" s="29"/>
      <c r="I254" s="884"/>
      <c r="J254" s="885"/>
      <c r="K254" s="884"/>
      <c r="L254" s="879"/>
      <c r="M254" s="885"/>
      <c r="N254" s="884"/>
      <c r="O254" s="879"/>
      <c r="P254" s="885"/>
      <c r="Q254" s="884"/>
      <c r="R254" s="879"/>
      <c r="S254" s="885"/>
      <c r="T254" s="884"/>
      <c r="U254" s="879"/>
      <c r="V254" s="885"/>
      <c r="W254" s="884"/>
      <c r="X254" s="879"/>
      <c r="Y254" s="885"/>
      <c r="Z254" s="884"/>
      <c r="AA254" s="879"/>
      <c r="AB254" s="885"/>
      <c r="AC254" s="884"/>
      <c r="AD254" s="879"/>
      <c r="AE254" s="885"/>
      <c r="AF254" s="884"/>
      <c r="AG254" s="879"/>
      <c r="AH254" s="885"/>
      <c r="AI254" s="884"/>
      <c r="AJ254" s="879"/>
      <c r="AK254" s="885"/>
      <c r="AL254" s="884"/>
      <c r="AM254" s="879"/>
      <c r="AN254" s="885"/>
      <c r="AO254" s="884"/>
      <c r="AP254" s="879"/>
      <c r="AQ254" s="885"/>
      <c r="AR254" s="884"/>
      <c r="AS254" s="879"/>
      <c r="AT254" s="879"/>
      <c r="AV254" s="33"/>
      <c r="AW254" s="886"/>
      <c r="AY254" s="886"/>
      <c r="BB254" s="886"/>
      <c r="BD254" s="823"/>
      <c r="BE254" s="823"/>
    </row>
    <row r="255" spans="1:57" x14ac:dyDescent="0.2">
      <c r="A255" s="933">
        <v>21165</v>
      </c>
      <c r="B255" s="925" t="s">
        <v>286</v>
      </c>
      <c r="C255">
        <v>2001</v>
      </c>
      <c r="D255" s="5"/>
      <c r="E255" s="926">
        <v>39172</v>
      </c>
      <c r="F255" s="941">
        <v>-150000</v>
      </c>
      <c r="G255" s="883">
        <f>0.2605+0.003+0.0443+0.005+0.0007</f>
        <v>0.3135</v>
      </c>
      <c r="H255" s="29">
        <v>2.69E-2</v>
      </c>
      <c r="I255" s="884">
        <f>SUM(G255:H255)</f>
        <v>0.34039999999999998</v>
      </c>
      <c r="J255" s="885">
        <f>$F255</f>
        <v>-150000</v>
      </c>
      <c r="K255" s="884">
        <f>$G255</f>
        <v>0.3135</v>
      </c>
      <c r="L255" s="879">
        <f>J255*K255*L$7</f>
        <v>-1457775</v>
      </c>
      <c r="M255" s="885">
        <f>$F255</f>
        <v>-150000</v>
      </c>
      <c r="N255" s="884">
        <f>$G255</f>
        <v>0.3135</v>
      </c>
      <c r="O255" s="879">
        <f>M255*N255*O$7</f>
        <v>-1316700</v>
      </c>
      <c r="P255" s="885">
        <f>$F255</f>
        <v>-150000</v>
      </c>
      <c r="Q255" s="884">
        <f>$G255</f>
        <v>0.3135</v>
      </c>
      <c r="R255" s="879">
        <f>P255*Q255*R$7</f>
        <v>-1457775</v>
      </c>
      <c r="S255" s="885">
        <f>$F255</f>
        <v>-150000</v>
      </c>
      <c r="T255" s="884">
        <f>$G255</f>
        <v>0.3135</v>
      </c>
      <c r="U255" s="879">
        <f>S255*T255*U$7</f>
        <v>-1410750</v>
      </c>
      <c r="V255" s="885">
        <f>$F255</f>
        <v>-150000</v>
      </c>
      <c r="W255" s="884">
        <f>$G255</f>
        <v>0.3135</v>
      </c>
      <c r="X255" s="879">
        <f>V255*W255*X$7</f>
        <v>-1457775</v>
      </c>
      <c r="Y255" s="885">
        <f>$F255</f>
        <v>-150000</v>
      </c>
      <c r="Z255" s="884">
        <f>$G255</f>
        <v>0.3135</v>
      </c>
      <c r="AA255" s="879">
        <f>Y255*Z255*AA$7</f>
        <v>-1410750</v>
      </c>
      <c r="AB255" s="885">
        <f>$F255</f>
        <v>-150000</v>
      </c>
      <c r="AC255" s="884">
        <f>$G255</f>
        <v>0.3135</v>
      </c>
      <c r="AD255" s="879">
        <f>AB255*AC255*AD$7</f>
        <v>-1457775</v>
      </c>
      <c r="AE255" s="885">
        <f>$F255</f>
        <v>-150000</v>
      </c>
      <c r="AF255" s="884">
        <f>$G255</f>
        <v>0.3135</v>
      </c>
      <c r="AG255" s="879">
        <f>AE255*AF255*AG$7</f>
        <v>-1457775</v>
      </c>
      <c r="AH255" s="885">
        <f>$F255</f>
        <v>-150000</v>
      </c>
      <c r="AI255" s="884">
        <f>$G255</f>
        <v>0.3135</v>
      </c>
      <c r="AJ255" s="879">
        <f>AH255*AI255*AJ$7</f>
        <v>-1410750</v>
      </c>
      <c r="AK255" s="885">
        <f>$F255</f>
        <v>-150000</v>
      </c>
      <c r="AL255" s="884">
        <f>$G255</f>
        <v>0.3135</v>
      </c>
      <c r="AM255" s="879">
        <f>AK255*AL255*AM$7</f>
        <v>-1457775</v>
      </c>
      <c r="AN255" s="885">
        <f>$F255</f>
        <v>-150000</v>
      </c>
      <c r="AO255" s="884">
        <f>$G255-0.0443+0.0053</f>
        <v>0.27450000000000002</v>
      </c>
      <c r="AP255" s="879">
        <f>AN255*AO255*AP$7</f>
        <v>-1235250</v>
      </c>
      <c r="AQ255" s="885">
        <f>$F255</f>
        <v>-150000</v>
      </c>
      <c r="AR255" s="884">
        <f>$G255-0.0443+0.0053</f>
        <v>0.27450000000000002</v>
      </c>
      <c r="AS255" s="879">
        <f>AQ255*AR255*AS$7</f>
        <v>-1276425</v>
      </c>
      <c r="AT255" s="879"/>
      <c r="AV255" s="823">
        <f>AS255+AP255+AM255+AJ255+AG255+AD255+AA255+X255+U255+R255+O255+L255</f>
        <v>-16807275</v>
      </c>
      <c r="AW255" s="910"/>
      <c r="AY255" s="910"/>
      <c r="BB255" s="910"/>
      <c r="BD255" s="823"/>
      <c r="BE255" s="823"/>
    </row>
    <row r="256" spans="1:57" s="11" customFormat="1" x14ac:dyDescent="0.2">
      <c r="A256" s="175">
        <v>21165</v>
      </c>
      <c r="B256" s="175" t="s">
        <v>581</v>
      </c>
      <c r="C256" s="11">
        <v>2002</v>
      </c>
      <c r="D256" s="579" t="s">
        <v>579</v>
      </c>
      <c r="E256" s="181">
        <v>39172</v>
      </c>
      <c r="F256" s="733">
        <v>150000</v>
      </c>
      <c r="G256" s="170">
        <v>0.26850000000000002</v>
      </c>
      <c r="H256" s="565">
        <v>2.5399999999999999E-2</v>
      </c>
      <c r="I256" s="909">
        <f>SUM(G256:H256)</f>
        <v>0.29389999999999999</v>
      </c>
      <c r="J256" s="885">
        <f>$F256</f>
        <v>150000</v>
      </c>
      <c r="K256" s="909">
        <f>$G256</f>
        <v>0.26850000000000002</v>
      </c>
      <c r="L256" s="891">
        <f>J256*K256*L$7</f>
        <v>1248525</v>
      </c>
      <c r="M256" s="885">
        <f>$F256</f>
        <v>150000</v>
      </c>
      <c r="N256" s="909">
        <f>$G256</f>
        <v>0.26850000000000002</v>
      </c>
      <c r="O256" s="891">
        <f>M256*N256*O$7</f>
        <v>1127700</v>
      </c>
      <c r="P256" s="885">
        <f>$F256</f>
        <v>150000</v>
      </c>
      <c r="Q256" s="909">
        <f>$G256</f>
        <v>0.26850000000000002</v>
      </c>
      <c r="R256" s="891">
        <f>P256*Q256*R$7</f>
        <v>1248525</v>
      </c>
      <c r="S256" s="885">
        <f>$F256</f>
        <v>150000</v>
      </c>
      <c r="T256" s="909">
        <f>$G256</f>
        <v>0.26850000000000002</v>
      </c>
      <c r="U256" s="891">
        <f>S256*T256*U$7</f>
        <v>1208250</v>
      </c>
      <c r="V256" s="885">
        <f>$F256</f>
        <v>150000</v>
      </c>
      <c r="W256" s="909">
        <f>$G256</f>
        <v>0.26850000000000002</v>
      </c>
      <c r="X256" s="891">
        <f>V256*W256*X$7</f>
        <v>1248525</v>
      </c>
      <c r="Y256" s="885">
        <f>$F256</f>
        <v>150000</v>
      </c>
      <c r="Z256" s="909">
        <f>$G256</f>
        <v>0.26850000000000002</v>
      </c>
      <c r="AA256" s="891">
        <f>Y256*Z256*AA$7</f>
        <v>1208250</v>
      </c>
      <c r="AB256" s="885">
        <f>$F256</f>
        <v>150000</v>
      </c>
      <c r="AC256" s="909">
        <f>$G256</f>
        <v>0.26850000000000002</v>
      </c>
      <c r="AD256" s="891">
        <f>AB256*AC256*AD$7</f>
        <v>1248525</v>
      </c>
      <c r="AE256" s="885">
        <f>$F256</f>
        <v>150000</v>
      </c>
      <c r="AF256" s="909">
        <f>$G256</f>
        <v>0.26850000000000002</v>
      </c>
      <c r="AG256" s="891">
        <f>AE256*AF256*AG$7</f>
        <v>1248525</v>
      </c>
      <c r="AH256" s="885">
        <f>$F256</f>
        <v>150000</v>
      </c>
      <c r="AI256" s="909">
        <f>$G256</f>
        <v>0.26850000000000002</v>
      </c>
      <c r="AJ256" s="891">
        <f>AH256*AI256*AJ$7</f>
        <v>1208250</v>
      </c>
      <c r="AK256" s="885">
        <f>$F256</f>
        <v>150000</v>
      </c>
      <c r="AL256" s="909">
        <f>$G256</f>
        <v>0.26850000000000002</v>
      </c>
      <c r="AM256" s="891">
        <f>AK256*AL256*AM$7</f>
        <v>1248525</v>
      </c>
      <c r="AN256" s="885">
        <f>$F256</f>
        <v>150000</v>
      </c>
      <c r="AO256" s="909">
        <f>$G256</f>
        <v>0.26850000000000002</v>
      </c>
      <c r="AP256" s="891">
        <f>AN256*AO256*AP$7</f>
        <v>1208250</v>
      </c>
      <c r="AQ256" s="885">
        <f>$F256</f>
        <v>150000</v>
      </c>
      <c r="AR256" s="909">
        <f>$G256</f>
        <v>0.26850000000000002</v>
      </c>
      <c r="AS256" s="891">
        <f>AQ256*AR256*AS$7</f>
        <v>1248525</v>
      </c>
      <c r="AT256" s="891"/>
      <c r="AV256" s="823">
        <f>AS256+AP256+AM256+AJ256+AG256+AD256+AA256+X256+U256+R256+O256+L256</f>
        <v>14700375</v>
      </c>
      <c r="AW256" s="910"/>
      <c r="AY256" s="910"/>
      <c r="BB256" s="910"/>
      <c r="BD256" s="823"/>
      <c r="BE256" s="823"/>
    </row>
    <row r="257" spans="1:57" s="11" customFormat="1" x14ac:dyDescent="0.2">
      <c r="A257" s="617">
        <v>21165</v>
      </c>
      <c r="B257" s="617" t="s">
        <v>286</v>
      </c>
      <c r="C257" s="11">
        <v>2002</v>
      </c>
      <c r="D257" s="529"/>
      <c r="E257" s="913">
        <v>39172</v>
      </c>
      <c r="F257" s="934">
        <v>150000</v>
      </c>
      <c r="G257" s="911">
        <f>0.2659-0.2606</f>
        <v>5.3000000000000269E-3</v>
      </c>
      <c r="H257" s="1117" t="s">
        <v>647</v>
      </c>
      <c r="I257" s="1117"/>
      <c r="J257" s="885">
        <v>0</v>
      </c>
      <c r="K257" s="909">
        <v>0</v>
      </c>
      <c r="L257" s="891">
        <v>24645</v>
      </c>
      <c r="M257" s="885">
        <v>0</v>
      </c>
      <c r="N257" s="909">
        <v>0</v>
      </c>
      <c r="O257" s="891">
        <v>22260</v>
      </c>
      <c r="P257" s="885">
        <v>0</v>
      </c>
      <c r="Q257" s="909">
        <v>0</v>
      </c>
      <c r="R257" s="891">
        <v>24645</v>
      </c>
      <c r="S257" s="885">
        <v>0</v>
      </c>
      <c r="T257" s="909">
        <v>0</v>
      </c>
      <c r="U257" s="891">
        <v>23850</v>
      </c>
      <c r="V257" s="885">
        <v>0</v>
      </c>
      <c r="W257" s="909">
        <v>0</v>
      </c>
      <c r="X257" s="891">
        <v>24645</v>
      </c>
      <c r="Y257" s="885">
        <v>0</v>
      </c>
      <c r="Z257" s="909">
        <v>0</v>
      </c>
      <c r="AA257" s="891">
        <v>23850</v>
      </c>
      <c r="AB257" s="885">
        <v>0</v>
      </c>
      <c r="AC257" s="909">
        <v>0</v>
      </c>
      <c r="AD257" s="891">
        <v>24645</v>
      </c>
      <c r="AE257" s="885">
        <v>0</v>
      </c>
      <c r="AF257" s="909">
        <v>0</v>
      </c>
      <c r="AG257" s="891">
        <v>24645</v>
      </c>
      <c r="AH257" s="885">
        <v>0</v>
      </c>
      <c r="AI257" s="909">
        <v>0</v>
      </c>
      <c r="AJ257" s="891">
        <v>23850</v>
      </c>
      <c r="AK257" s="885">
        <v>0</v>
      </c>
      <c r="AL257" s="909">
        <v>0</v>
      </c>
      <c r="AM257" s="891">
        <v>24645</v>
      </c>
      <c r="AN257" s="885">
        <v>0</v>
      </c>
      <c r="AO257" s="909">
        <v>0</v>
      </c>
      <c r="AP257" s="891">
        <v>48150</v>
      </c>
      <c r="AQ257" s="885">
        <v>0</v>
      </c>
      <c r="AR257" s="909">
        <v>0</v>
      </c>
      <c r="AS257" s="891">
        <v>49755</v>
      </c>
      <c r="AT257" s="891"/>
      <c r="AV257" s="823">
        <f>AS257+AP257+AM257+AJ257+AG257+AD257+AA257+X257+U257+R257+O257+L257</f>
        <v>339585</v>
      </c>
      <c r="AW257" s="910"/>
      <c r="AX257" s="823">
        <f>SUM(AV255:AV257)</f>
        <v>-1767315</v>
      </c>
      <c r="AY257" s="910"/>
      <c r="AZ257" s="823">
        <f>(150000*304*0.0053)+(150000*61*0.0054)+(150000*365*0.0003)</f>
        <v>307515</v>
      </c>
      <c r="BA257" s="823">
        <f>150000*304*-0.0443</f>
        <v>-2020080</v>
      </c>
      <c r="BB257" s="910"/>
      <c r="BC257" s="823">
        <f>150000*365*-0.001</f>
        <v>-54750</v>
      </c>
      <c r="BD257" s="823"/>
      <c r="BE257" s="823"/>
    </row>
    <row r="258" spans="1:57" s="11" customFormat="1" x14ac:dyDescent="0.2">
      <c r="A258" s="617"/>
      <c r="B258" s="617"/>
      <c r="D258" s="529"/>
      <c r="E258" s="913"/>
      <c r="F258" s="934"/>
      <c r="G258" s="911"/>
      <c r="H258" s="913"/>
      <c r="I258" s="913"/>
      <c r="J258" s="885"/>
      <c r="K258" s="909"/>
      <c r="L258" s="891"/>
      <c r="M258" s="885"/>
      <c r="N258" s="909"/>
      <c r="O258" s="891"/>
      <c r="P258" s="885"/>
      <c r="Q258" s="909"/>
      <c r="R258" s="891"/>
      <c r="S258" s="885"/>
      <c r="T258" s="909"/>
      <c r="U258" s="891"/>
      <c r="V258" s="885"/>
      <c r="W258" s="909"/>
      <c r="X258" s="891"/>
      <c r="Y258" s="885"/>
      <c r="Z258" s="909"/>
      <c r="AA258" s="891"/>
      <c r="AB258" s="885"/>
      <c r="AC258" s="909"/>
      <c r="AD258" s="891"/>
      <c r="AE258" s="885"/>
      <c r="AF258" s="909"/>
      <c r="AG258" s="891"/>
      <c r="AH258" s="885"/>
      <c r="AI258" s="909"/>
      <c r="AJ258" s="891"/>
      <c r="AK258" s="885"/>
      <c r="AL258" s="909"/>
      <c r="AM258" s="891"/>
      <c r="AN258" s="885"/>
      <c r="AO258" s="909"/>
      <c r="AP258" s="891"/>
      <c r="AQ258" s="885"/>
      <c r="AR258" s="909"/>
      <c r="AS258" s="891"/>
      <c r="AT258" s="891"/>
      <c r="AV258" s="823"/>
      <c r="AW258" s="910"/>
      <c r="AY258" s="910"/>
      <c r="BB258" s="910"/>
    </row>
    <row r="259" spans="1:57" s="11" customFormat="1" x14ac:dyDescent="0.2">
      <c r="A259" s="175">
        <v>27583</v>
      </c>
      <c r="B259" s="510" t="s">
        <v>584</v>
      </c>
      <c r="C259" s="11">
        <v>2002</v>
      </c>
      <c r="D259" s="623" t="s">
        <v>585</v>
      </c>
      <c r="E259" s="624" t="s">
        <v>586</v>
      </c>
      <c r="F259" s="733">
        <v>1300</v>
      </c>
      <c r="G259" s="170">
        <v>0.22889999999999999</v>
      </c>
      <c r="H259" s="565">
        <v>1.5299999999999999E-2</v>
      </c>
      <c r="I259" s="909">
        <f>SUM(G259:H259)</f>
        <v>0.2442</v>
      </c>
      <c r="J259" s="885">
        <f>$F259</f>
        <v>1300</v>
      </c>
      <c r="K259" s="909">
        <f>$G259</f>
        <v>0.22889999999999999</v>
      </c>
      <c r="L259" s="891">
        <f>J259*K259*L$7</f>
        <v>9224.67</v>
      </c>
      <c r="M259" s="885">
        <f>$F259</f>
        <v>1300</v>
      </c>
      <c r="N259" s="909">
        <f>$G259</f>
        <v>0.22889999999999999</v>
      </c>
      <c r="O259" s="891">
        <f>M259*N259*O$7</f>
        <v>8331.9599999999991</v>
      </c>
      <c r="P259" s="885">
        <f>$F259</f>
        <v>1300</v>
      </c>
      <c r="Q259" s="909">
        <f>$G259</f>
        <v>0.22889999999999999</v>
      </c>
      <c r="R259" s="891">
        <f>P259*Q259*R$7</f>
        <v>9224.67</v>
      </c>
      <c r="S259" s="885">
        <f>$F259</f>
        <v>1300</v>
      </c>
      <c r="T259" s="909">
        <f>$G259</f>
        <v>0.22889999999999999</v>
      </c>
      <c r="U259" s="891">
        <f>S259*T259*U$7</f>
        <v>8927.1</v>
      </c>
      <c r="V259" s="885">
        <f>$F259</f>
        <v>1300</v>
      </c>
      <c r="W259" s="909">
        <f>$G259</f>
        <v>0.22889999999999999</v>
      </c>
      <c r="X259" s="891">
        <f>V259*W259*X$7</f>
        <v>9224.67</v>
      </c>
      <c r="Y259" s="885">
        <v>0</v>
      </c>
      <c r="Z259" s="909">
        <f>$G259</f>
        <v>0.22889999999999999</v>
      </c>
      <c r="AA259" s="891">
        <f>Y259*Z259*AA$7</f>
        <v>0</v>
      </c>
      <c r="AB259" s="885">
        <v>0</v>
      </c>
      <c r="AC259" s="909">
        <f>$G259</f>
        <v>0.22889999999999999</v>
      </c>
      <c r="AD259" s="891">
        <f>AB259*AC259*AD$7</f>
        <v>0</v>
      </c>
      <c r="AE259" s="885">
        <v>0</v>
      </c>
      <c r="AF259" s="909">
        <f>$G259</f>
        <v>0.22889999999999999</v>
      </c>
      <c r="AG259" s="891">
        <f>AE259*AF259*AG$7</f>
        <v>0</v>
      </c>
      <c r="AH259" s="885">
        <v>0</v>
      </c>
      <c r="AI259" s="909">
        <f>$G259</f>
        <v>0.22889999999999999</v>
      </c>
      <c r="AJ259" s="891">
        <f>AH259*AI259*AJ$7</f>
        <v>0</v>
      </c>
      <c r="AK259" s="885">
        <v>0</v>
      </c>
      <c r="AL259" s="909">
        <f>$G259</f>
        <v>0.22889999999999999</v>
      </c>
      <c r="AM259" s="891">
        <f>AK259*AL259*AM$7</f>
        <v>0</v>
      </c>
      <c r="AN259" s="885">
        <v>0</v>
      </c>
      <c r="AO259" s="909">
        <f>$G259</f>
        <v>0.22889999999999999</v>
      </c>
      <c r="AP259" s="891">
        <f>AN259*AO259*AP$7</f>
        <v>0</v>
      </c>
      <c r="AQ259" s="885">
        <v>0</v>
      </c>
      <c r="AR259" s="909">
        <f>$G259</f>
        <v>0.22889999999999999</v>
      </c>
      <c r="AS259" s="891">
        <f>AQ259*AR259*AS$7</f>
        <v>0</v>
      </c>
      <c r="AT259" s="891"/>
      <c r="AV259" s="823">
        <f>AS259+AP259+AM259+AJ259+AG259+AD259+AA259+X259+U259+R259+O259+L259</f>
        <v>44933.07</v>
      </c>
      <c r="AW259" s="910"/>
      <c r="AX259" s="823">
        <f>AV259</f>
        <v>44933.07</v>
      </c>
      <c r="AY259" s="910"/>
      <c r="BB259" s="910"/>
      <c r="BD259" s="33">
        <f>AX259</f>
        <v>44933.07</v>
      </c>
    </row>
    <row r="260" spans="1:57" s="11" customFormat="1" x14ac:dyDescent="0.2">
      <c r="A260" s="617"/>
      <c r="B260" s="617"/>
      <c r="D260" s="529"/>
      <c r="E260" s="913"/>
      <c r="F260" s="934"/>
      <c r="G260" s="911"/>
      <c r="H260" s="913"/>
      <c r="I260" s="913"/>
      <c r="J260" s="885"/>
      <c r="K260" s="909"/>
      <c r="L260" s="891"/>
      <c r="M260" s="885"/>
      <c r="N260" s="909"/>
      <c r="O260" s="891"/>
      <c r="P260" s="885"/>
      <c r="Q260" s="909"/>
      <c r="R260" s="891"/>
      <c r="S260" s="885"/>
      <c r="T260" s="909"/>
      <c r="U260" s="891"/>
      <c r="V260" s="885"/>
      <c r="W260" s="909"/>
      <c r="X260" s="891"/>
      <c r="Y260" s="885"/>
      <c r="Z260" s="909"/>
      <c r="AA260" s="891"/>
      <c r="AB260" s="885"/>
      <c r="AC260" s="909"/>
      <c r="AD260" s="891"/>
      <c r="AE260" s="885"/>
      <c r="AF260" s="909"/>
      <c r="AG260" s="891"/>
      <c r="AH260" s="885"/>
      <c r="AI260" s="909"/>
      <c r="AJ260" s="891"/>
      <c r="AK260" s="885"/>
      <c r="AL260" s="909"/>
      <c r="AM260" s="891"/>
      <c r="AN260" s="885"/>
      <c r="AO260" s="909"/>
      <c r="AP260" s="891"/>
      <c r="AQ260" s="885"/>
      <c r="AR260" s="909"/>
      <c r="AS260" s="891"/>
      <c r="AT260" s="891"/>
      <c r="AV260" s="823"/>
      <c r="AW260" s="910"/>
      <c r="AY260" s="910"/>
      <c r="BB260" s="910"/>
    </row>
    <row r="261" spans="1:57" x14ac:dyDescent="0.2">
      <c r="A261" s="933"/>
      <c r="B261" s="925"/>
      <c r="D261" s="5"/>
      <c r="E261" s="926"/>
      <c r="F261" s="941"/>
      <c r="G261" s="883"/>
      <c r="H261" s="29"/>
      <c r="I261" s="884"/>
      <c r="J261" s="885"/>
      <c r="K261" s="884"/>
      <c r="L261" s="879"/>
      <c r="M261" s="885"/>
      <c r="N261" s="884"/>
      <c r="O261" s="879"/>
      <c r="P261" s="885"/>
      <c r="Q261" s="884"/>
      <c r="R261" s="879"/>
      <c r="S261" s="885"/>
      <c r="T261" s="884"/>
      <c r="U261" s="879"/>
      <c r="V261" s="885"/>
      <c r="W261" s="884"/>
      <c r="X261" s="879"/>
      <c r="Y261" s="885"/>
      <c r="Z261" s="884"/>
      <c r="AA261" s="879"/>
      <c r="AB261" s="885"/>
      <c r="AC261" s="884"/>
      <c r="AD261" s="879"/>
      <c r="AE261" s="885"/>
      <c r="AF261" s="884"/>
      <c r="AG261" s="879"/>
      <c r="AH261" s="885"/>
      <c r="AI261" s="884"/>
      <c r="AJ261" s="879"/>
      <c r="AK261" s="885"/>
      <c r="AL261" s="884"/>
      <c r="AM261" s="879"/>
      <c r="AN261" s="885"/>
      <c r="AO261" s="884"/>
      <c r="AP261" s="879"/>
      <c r="AQ261" s="885"/>
      <c r="AR261" s="884"/>
      <c r="AS261" s="879"/>
      <c r="AT261" s="879"/>
      <c r="AV261" s="33"/>
      <c r="AW261" s="886"/>
      <c r="AY261" s="886"/>
      <c r="BB261" s="886"/>
    </row>
    <row r="262" spans="1:57" x14ac:dyDescent="0.2">
      <c r="A262" s="933"/>
      <c r="B262" s="925"/>
      <c r="D262" s="5"/>
      <c r="E262" s="926"/>
      <c r="F262" s="941"/>
      <c r="G262" s="883"/>
      <c r="H262" s="29"/>
      <c r="I262" s="884"/>
      <c r="J262" s="885"/>
      <c r="K262" s="884"/>
      <c r="L262" s="879"/>
      <c r="M262" s="885"/>
      <c r="N262" s="884"/>
      <c r="O262" s="879"/>
      <c r="P262" s="885"/>
      <c r="Q262" s="884"/>
      <c r="R262" s="879"/>
      <c r="S262" s="885"/>
      <c r="T262" s="884"/>
      <c r="U262" s="879"/>
      <c r="V262" s="885"/>
      <c r="W262" s="884"/>
      <c r="X262" s="879"/>
      <c r="Y262" s="885"/>
      <c r="Z262" s="884"/>
      <c r="AA262" s="879"/>
      <c r="AB262" s="885"/>
      <c r="AC262" s="884"/>
      <c r="AD262" s="879"/>
      <c r="AE262" s="885"/>
      <c r="AF262" s="884"/>
      <c r="AG262" s="879"/>
      <c r="AH262" s="885"/>
      <c r="AI262" s="884"/>
      <c r="AJ262" s="879"/>
      <c r="AK262" s="885"/>
      <c r="AL262" s="884"/>
      <c r="AM262" s="879"/>
      <c r="AN262" s="885"/>
      <c r="AO262" s="884"/>
      <c r="AP262" s="879"/>
      <c r="AQ262" s="885"/>
      <c r="AR262" s="884"/>
      <c r="AS262" s="879"/>
      <c r="AT262" s="879"/>
      <c r="AV262" s="33"/>
      <c r="AW262" s="886"/>
      <c r="AY262" s="886"/>
      <c r="BB262" s="886"/>
    </row>
    <row r="263" spans="1:57" x14ac:dyDescent="0.2">
      <c r="A263" s="895" t="s">
        <v>573</v>
      </c>
      <c r="B263" s="928"/>
      <c r="D263" s="938"/>
      <c r="E263" s="939"/>
      <c r="F263" s="940"/>
      <c r="G263" s="171"/>
      <c r="H263" s="171"/>
      <c r="I263" s="884"/>
      <c r="J263" s="885"/>
      <c r="K263" s="884"/>
      <c r="L263" s="879"/>
      <c r="M263" s="885"/>
      <c r="N263" s="884"/>
      <c r="O263" s="879"/>
      <c r="P263" s="885"/>
      <c r="Q263" s="884"/>
      <c r="R263" s="879"/>
      <c r="S263" s="885"/>
      <c r="T263" s="884"/>
      <c r="U263" s="879"/>
      <c r="V263" s="885"/>
      <c r="W263" s="884"/>
      <c r="X263" s="879"/>
      <c r="Y263" s="885"/>
      <c r="Z263" s="884"/>
      <c r="AA263" s="879"/>
      <c r="AB263" s="885"/>
      <c r="AC263" s="884"/>
      <c r="AD263" s="879"/>
      <c r="AE263" s="885"/>
      <c r="AF263" s="884"/>
      <c r="AG263" s="879"/>
      <c r="AH263" s="885"/>
      <c r="AI263" s="884"/>
      <c r="AJ263" s="879"/>
      <c r="AK263" s="885"/>
      <c r="AL263" s="884"/>
      <c r="AM263" s="879"/>
      <c r="AN263" s="885"/>
      <c r="AO263" s="884"/>
      <c r="AP263" s="879"/>
      <c r="AQ263" s="885"/>
      <c r="AR263" s="884"/>
      <c r="AS263" s="879"/>
      <c r="AT263" s="879"/>
      <c r="AV263" s="33"/>
      <c r="AW263" s="886"/>
      <c r="AY263" s="886"/>
      <c r="BB263" s="886"/>
    </row>
    <row r="264" spans="1:57" x14ac:dyDescent="0.2">
      <c r="A264" s="933">
        <v>24670</v>
      </c>
      <c r="B264" s="925" t="s">
        <v>294</v>
      </c>
      <c r="C264">
        <v>2001</v>
      </c>
      <c r="D264" s="5"/>
      <c r="E264" s="942" t="s">
        <v>735</v>
      </c>
      <c r="F264" s="941">
        <v>-10000</v>
      </c>
      <c r="G264" s="883">
        <v>0.1464</v>
      </c>
      <c r="H264" s="29">
        <v>1.8599999999999998E-2</v>
      </c>
      <c r="I264" s="884">
        <f>SUM(G264:H264)</f>
        <v>0.16500000000000001</v>
      </c>
      <c r="J264" s="885">
        <f>$F264</f>
        <v>-10000</v>
      </c>
      <c r="K264" s="884">
        <f>$G264</f>
        <v>0.1464</v>
      </c>
      <c r="L264" s="879">
        <f>J264*K264*L$7</f>
        <v>-45384</v>
      </c>
      <c r="M264" s="885">
        <f>$F264</f>
        <v>-10000</v>
      </c>
      <c r="N264" s="884">
        <f>$G264</f>
        <v>0.1464</v>
      </c>
      <c r="O264" s="879">
        <f>M264*N264*O$7</f>
        <v>-40992</v>
      </c>
      <c r="P264" s="885">
        <f>$F264</f>
        <v>-10000</v>
      </c>
      <c r="Q264" s="884">
        <v>0.15140000000000001</v>
      </c>
      <c r="R264" s="879">
        <f>P264*Q264*R$7</f>
        <v>-46934</v>
      </c>
      <c r="S264" s="885">
        <f>$F264</f>
        <v>-10000</v>
      </c>
      <c r="T264" s="884">
        <v>0.15140000000000001</v>
      </c>
      <c r="U264" s="879">
        <f>S264*T264*U$7</f>
        <v>-45420</v>
      </c>
      <c r="V264" s="885">
        <f>$F264</f>
        <v>-10000</v>
      </c>
      <c r="W264" s="884">
        <v>0.15140000000000001</v>
      </c>
      <c r="X264" s="879">
        <f>V264*W264*X$7</f>
        <v>-46934</v>
      </c>
      <c r="Y264" s="885">
        <f>$F264</f>
        <v>-10000</v>
      </c>
      <c r="Z264" s="884">
        <v>0.15140000000000001</v>
      </c>
      <c r="AA264" s="879">
        <f>Y264*Z264*AA$7</f>
        <v>-45420</v>
      </c>
      <c r="AB264" s="885">
        <f>$F264</f>
        <v>-10000</v>
      </c>
      <c r="AC264" s="884">
        <v>0.15140000000000001</v>
      </c>
      <c r="AD264" s="879">
        <f>AB264*AC264*AD$7</f>
        <v>-46934</v>
      </c>
      <c r="AE264" s="885">
        <f>$F264</f>
        <v>-10000</v>
      </c>
      <c r="AF264" s="884">
        <v>0.15140000000000001</v>
      </c>
      <c r="AG264" s="879">
        <f>AE264*AF264*AG$7</f>
        <v>-46934</v>
      </c>
      <c r="AH264" s="885">
        <f>$F264</f>
        <v>-10000</v>
      </c>
      <c r="AI264" s="884">
        <v>0.15140000000000001</v>
      </c>
      <c r="AJ264" s="879">
        <f>AH264*AI264*AJ$7</f>
        <v>-45420</v>
      </c>
      <c r="AK264" s="885">
        <f>$F264</f>
        <v>-10000</v>
      </c>
      <c r="AL264" s="884">
        <v>0.15140000000000001</v>
      </c>
      <c r="AM264" s="879">
        <f>AK264*AL264*AM$7</f>
        <v>-46934</v>
      </c>
      <c r="AN264" s="885">
        <f>$F264</f>
        <v>-10000</v>
      </c>
      <c r="AO264" s="884">
        <v>0.15140000000000001</v>
      </c>
      <c r="AP264" s="879">
        <f>AN264*AO264*AP$7</f>
        <v>-45420</v>
      </c>
      <c r="AQ264" s="885">
        <f>$F264</f>
        <v>-10000</v>
      </c>
      <c r="AR264" s="884">
        <v>0.15140000000000001</v>
      </c>
      <c r="AS264" s="879">
        <f>AQ264*AR264*AS$7</f>
        <v>-46934</v>
      </c>
      <c r="AT264" s="879"/>
      <c r="AV264" s="823">
        <f>AS264+AP264+AM264+AJ264+AG264+AD264+AA264+X264+U264+R264+O264+L264</f>
        <v>-549660</v>
      </c>
      <c r="AW264" s="910"/>
      <c r="AY264" s="910"/>
      <c r="BB264" s="910"/>
    </row>
    <row r="265" spans="1:57" x14ac:dyDescent="0.2">
      <c r="A265" s="175">
        <v>24670</v>
      </c>
      <c r="B265" s="175" t="s">
        <v>294</v>
      </c>
      <c r="C265">
        <v>2002</v>
      </c>
      <c r="D265" s="181" t="s">
        <v>327</v>
      </c>
      <c r="E265" s="181" t="s">
        <v>295</v>
      </c>
      <c r="F265" s="182">
        <v>10000</v>
      </c>
      <c r="G265" s="170">
        <v>0.15140000000000001</v>
      </c>
      <c r="H265" s="170">
        <v>1.8599999999999998E-2</v>
      </c>
      <c r="I265" s="884">
        <f>SUM(G265:H265)</f>
        <v>0.17</v>
      </c>
      <c r="J265" s="885">
        <f>$F265</f>
        <v>10000</v>
      </c>
      <c r="K265" s="884">
        <f>$G265</f>
        <v>0.15140000000000001</v>
      </c>
      <c r="L265" s="879">
        <f>J265*K265*L$7</f>
        <v>46934</v>
      </c>
      <c r="M265" s="885">
        <f>$F265</f>
        <v>10000</v>
      </c>
      <c r="N265" s="884">
        <f>$G265</f>
        <v>0.15140000000000001</v>
      </c>
      <c r="O265" s="879">
        <f>M265*N265*O$7</f>
        <v>42392</v>
      </c>
      <c r="P265" s="885">
        <f>$F265</f>
        <v>10000</v>
      </c>
      <c r="Q265" s="884">
        <f>$G265</f>
        <v>0.15140000000000001</v>
      </c>
      <c r="R265" s="879">
        <f>P265*Q265*R$7</f>
        <v>46934</v>
      </c>
      <c r="S265" s="885">
        <f>$F265</f>
        <v>10000</v>
      </c>
      <c r="T265" s="884">
        <f>$G265</f>
        <v>0.15140000000000001</v>
      </c>
      <c r="U265" s="879">
        <f>S265*T265*U$7</f>
        <v>45420</v>
      </c>
      <c r="V265" s="885">
        <f>$F265</f>
        <v>10000</v>
      </c>
      <c r="W265" s="884">
        <f>$G265</f>
        <v>0.15140000000000001</v>
      </c>
      <c r="X265" s="879">
        <f>V265*W265*X$7</f>
        <v>46934</v>
      </c>
      <c r="Y265" s="885">
        <f>$F265</f>
        <v>10000</v>
      </c>
      <c r="Z265" s="884">
        <f>$G265</f>
        <v>0.15140000000000001</v>
      </c>
      <c r="AA265" s="879">
        <f>Y265*Z265*AA$7</f>
        <v>45420</v>
      </c>
      <c r="AB265" s="885">
        <f>$F265</f>
        <v>10000</v>
      </c>
      <c r="AC265" s="884">
        <f>$G265</f>
        <v>0.15140000000000001</v>
      </c>
      <c r="AD265" s="879">
        <f>AB265*AC265*AD$7</f>
        <v>46934</v>
      </c>
      <c r="AE265" s="885">
        <f>$F265</f>
        <v>10000</v>
      </c>
      <c r="AF265" s="884">
        <f>$G265</f>
        <v>0.15140000000000001</v>
      </c>
      <c r="AG265" s="879">
        <f>AE265*AF265*AG$7</f>
        <v>46934</v>
      </c>
      <c r="AH265" s="885">
        <f>$F265</f>
        <v>10000</v>
      </c>
      <c r="AI265" s="884">
        <f>$G265</f>
        <v>0.15140000000000001</v>
      </c>
      <c r="AJ265" s="879">
        <f>AH265*AI265*AJ$7</f>
        <v>45420</v>
      </c>
      <c r="AK265" s="885">
        <f>$F265</f>
        <v>10000</v>
      </c>
      <c r="AL265" s="884">
        <f>$G265</f>
        <v>0.15140000000000001</v>
      </c>
      <c r="AM265" s="879">
        <f>AK265*AL265*AM$7</f>
        <v>46934</v>
      </c>
      <c r="AN265" s="885">
        <f>$F265</f>
        <v>10000</v>
      </c>
      <c r="AO265" s="884">
        <f>$G265</f>
        <v>0.15140000000000001</v>
      </c>
      <c r="AP265" s="879">
        <f>AN265*AO265*AP$7</f>
        <v>45420</v>
      </c>
      <c r="AQ265" s="885">
        <f>$F265</f>
        <v>10000</v>
      </c>
      <c r="AR265" s="884">
        <f>$G265</f>
        <v>0.15140000000000001</v>
      </c>
      <c r="AS265" s="879">
        <f>AQ265*AR265*AS$7</f>
        <v>46934</v>
      </c>
      <c r="AT265" s="879"/>
      <c r="AV265" s="823">
        <f>AS265+AP265+AM265+AJ265+AG265+AD265+AA265+X265+U265+R265+O265+L265</f>
        <v>552610</v>
      </c>
      <c r="AW265" s="910"/>
      <c r="AX265" s="33">
        <f>SUM(AV264:AV265)</f>
        <v>2950</v>
      </c>
      <c r="AY265" s="910"/>
      <c r="BB265" s="910"/>
      <c r="BD265" s="33">
        <f>AX265</f>
        <v>2950</v>
      </c>
    </row>
    <row r="266" spans="1:57" x14ac:dyDescent="0.2">
      <c r="A266" s="933"/>
      <c r="B266" s="925"/>
      <c r="D266" s="5"/>
      <c r="E266" s="942"/>
      <c r="F266" s="941"/>
      <c r="G266" s="883"/>
      <c r="H266" s="29"/>
      <c r="I266" s="884"/>
      <c r="J266" s="885"/>
      <c r="K266" s="884"/>
      <c r="L266" s="879"/>
      <c r="M266" s="885"/>
      <c r="N266" s="884"/>
      <c r="O266" s="879"/>
      <c r="P266" s="885"/>
      <c r="Q266" s="884"/>
      <c r="R266" s="879"/>
      <c r="S266" s="885"/>
      <c r="T266" s="884"/>
      <c r="U266" s="879"/>
      <c r="V266" s="885"/>
      <c r="W266" s="884"/>
      <c r="X266" s="879"/>
      <c r="Y266" s="885"/>
      <c r="Z266" s="884"/>
      <c r="AA266" s="879"/>
      <c r="AB266" s="885"/>
      <c r="AC266" s="884"/>
      <c r="AD266" s="879"/>
      <c r="AE266" s="885"/>
      <c r="AF266" s="884"/>
      <c r="AG266" s="879"/>
      <c r="AH266" s="885"/>
      <c r="AI266" s="884"/>
      <c r="AJ266" s="879"/>
      <c r="AK266" s="885"/>
      <c r="AL266" s="884"/>
      <c r="AM266" s="879"/>
      <c r="AN266" s="885"/>
      <c r="AO266" s="884"/>
      <c r="AP266" s="879"/>
      <c r="AQ266" s="885"/>
      <c r="AR266" s="884"/>
      <c r="AS266" s="879"/>
      <c r="AT266" s="879"/>
      <c r="AV266" s="33"/>
      <c r="AW266" s="886"/>
      <c r="AY266" s="886"/>
      <c r="BB266" s="886"/>
    </row>
    <row r="267" spans="1:57" x14ac:dyDescent="0.2">
      <c r="A267" s="933">
        <v>25071</v>
      </c>
      <c r="B267" s="925" t="s">
        <v>297</v>
      </c>
      <c r="C267">
        <v>2001</v>
      </c>
      <c r="D267" s="5"/>
      <c r="E267" s="926">
        <v>39782</v>
      </c>
      <c r="F267" s="941">
        <v>-30000</v>
      </c>
      <c r="G267" s="883">
        <v>0.15640000000000001</v>
      </c>
      <c r="H267" s="29">
        <v>1.8599999999999998E-2</v>
      </c>
      <c r="I267" s="884">
        <f>SUM(G267:H267)</f>
        <v>0.17500000000000002</v>
      </c>
      <c r="J267" s="885">
        <f>$F267</f>
        <v>-30000</v>
      </c>
      <c r="K267" s="884">
        <f>$G267</f>
        <v>0.15640000000000001</v>
      </c>
      <c r="L267" s="879">
        <f>J267*K267*L$7</f>
        <v>-145452</v>
      </c>
      <c r="M267" s="885">
        <f>$F267</f>
        <v>-30000</v>
      </c>
      <c r="N267" s="884">
        <f>$G267</f>
        <v>0.15640000000000001</v>
      </c>
      <c r="O267" s="879">
        <f>M267*N267*O$7</f>
        <v>-131376</v>
      </c>
      <c r="P267" s="885">
        <f>$F267</f>
        <v>-30000</v>
      </c>
      <c r="Q267" s="884">
        <f>$G267</f>
        <v>0.15640000000000001</v>
      </c>
      <c r="R267" s="879">
        <f>P267*Q267*R$7</f>
        <v>-145452</v>
      </c>
      <c r="S267" s="885">
        <f>$F267</f>
        <v>-30000</v>
      </c>
      <c r="T267" s="884">
        <f>$G267</f>
        <v>0.15640000000000001</v>
      </c>
      <c r="U267" s="879">
        <f>S267*T267*U$7</f>
        <v>-140760</v>
      </c>
      <c r="V267" s="885">
        <f>$F267</f>
        <v>-30000</v>
      </c>
      <c r="W267" s="884">
        <f>$G267</f>
        <v>0.15640000000000001</v>
      </c>
      <c r="X267" s="879">
        <f>V267*W267*X$7</f>
        <v>-145452</v>
      </c>
      <c r="Y267" s="885">
        <f>$F267</f>
        <v>-30000</v>
      </c>
      <c r="Z267" s="884">
        <f>$G267</f>
        <v>0.15640000000000001</v>
      </c>
      <c r="AA267" s="879">
        <f>Y267*Z267*AA$7</f>
        <v>-140760</v>
      </c>
      <c r="AB267" s="885">
        <f>$F267</f>
        <v>-30000</v>
      </c>
      <c r="AC267" s="884">
        <f>$G267</f>
        <v>0.15640000000000001</v>
      </c>
      <c r="AD267" s="879">
        <f>AB267*AC267*AD$7</f>
        <v>-145452</v>
      </c>
      <c r="AE267" s="885">
        <f>$F267</f>
        <v>-30000</v>
      </c>
      <c r="AF267" s="884">
        <f>$G267</f>
        <v>0.15640000000000001</v>
      </c>
      <c r="AG267" s="879">
        <f>AE267*AF267*AG$7</f>
        <v>-145452</v>
      </c>
      <c r="AH267" s="885">
        <f>$F267</f>
        <v>-30000</v>
      </c>
      <c r="AI267" s="884">
        <f>$G267</f>
        <v>0.15640000000000001</v>
      </c>
      <c r="AJ267" s="879">
        <f>AH267*AI267*AJ$7</f>
        <v>-140760</v>
      </c>
      <c r="AK267" s="885">
        <f>$F267</f>
        <v>-30000</v>
      </c>
      <c r="AL267" s="884">
        <f>$G267</f>
        <v>0.15640000000000001</v>
      </c>
      <c r="AM267" s="879">
        <f>AK267*AL267*AM$7</f>
        <v>-145452</v>
      </c>
      <c r="AN267" s="885">
        <f>$F267</f>
        <v>-30000</v>
      </c>
      <c r="AO267" s="884">
        <f>$G267</f>
        <v>0.15640000000000001</v>
      </c>
      <c r="AP267" s="879">
        <f>AN267*AO267*AP$7</f>
        <v>-140760</v>
      </c>
      <c r="AQ267" s="885">
        <f>$F267</f>
        <v>-30000</v>
      </c>
      <c r="AR267" s="884">
        <v>0.16139999999999999</v>
      </c>
      <c r="AS267" s="879">
        <f>AQ267*AR267*AS$7</f>
        <v>-150102</v>
      </c>
      <c r="AT267" s="879"/>
      <c r="AV267" s="823">
        <f>AS267+AP267+AM267+AJ267+AG267+AD267+AA267+X267+U267+R267+O267+L267</f>
        <v>-1717230</v>
      </c>
      <c r="AW267" s="910"/>
      <c r="AY267" s="910"/>
      <c r="BB267" s="910"/>
    </row>
    <row r="268" spans="1:57" x14ac:dyDescent="0.2">
      <c r="A268" s="175">
        <v>25071</v>
      </c>
      <c r="B268" s="175" t="s">
        <v>297</v>
      </c>
      <c r="C268">
        <v>2002</v>
      </c>
      <c r="D268" s="181" t="s">
        <v>327</v>
      </c>
      <c r="E268" s="181">
        <v>39782</v>
      </c>
      <c r="F268" s="182">
        <v>30000</v>
      </c>
      <c r="G268" s="170">
        <v>0.16139999999999999</v>
      </c>
      <c r="H268" s="170">
        <v>1.8599999999999998E-2</v>
      </c>
      <c r="I268" s="884">
        <f>SUM(G268:H268)</f>
        <v>0.18</v>
      </c>
      <c r="J268" s="885">
        <f>$F268</f>
        <v>30000</v>
      </c>
      <c r="K268" s="884">
        <f>$G268</f>
        <v>0.16139999999999999</v>
      </c>
      <c r="L268" s="879">
        <f>J268*K268*L$7</f>
        <v>150102</v>
      </c>
      <c r="M268" s="885">
        <f>$F268</f>
        <v>30000</v>
      </c>
      <c r="N268" s="884">
        <f>$G268</f>
        <v>0.16139999999999999</v>
      </c>
      <c r="O268" s="879">
        <f>M268*N268*O$7</f>
        <v>135576</v>
      </c>
      <c r="P268" s="885">
        <f>$F268</f>
        <v>30000</v>
      </c>
      <c r="Q268" s="884">
        <f>$G268</f>
        <v>0.16139999999999999</v>
      </c>
      <c r="R268" s="879">
        <f>P268*Q268*R$7</f>
        <v>150102</v>
      </c>
      <c r="S268" s="885">
        <f>$F268</f>
        <v>30000</v>
      </c>
      <c r="T268" s="884">
        <f>$G268</f>
        <v>0.16139999999999999</v>
      </c>
      <c r="U268" s="879">
        <f>S268*T268*U$7</f>
        <v>145260</v>
      </c>
      <c r="V268" s="885">
        <f>$F268</f>
        <v>30000</v>
      </c>
      <c r="W268" s="884">
        <f>$G268</f>
        <v>0.16139999999999999</v>
      </c>
      <c r="X268" s="879">
        <f>V268*W268*X$7</f>
        <v>150102</v>
      </c>
      <c r="Y268" s="885">
        <f>$F268</f>
        <v>30000</v>
      </c>
      <c r="Z268" s="884">
        <f>$G268</f>
        <v>0.16139999999999999</v>
      </c>
      <c r="AA268" s="879">
        <f>Y268*Z268*AA$7</f>
        <v>145260</v>
      </c>
      <c r="AB268" s="885">
        <f>$F268</f>
        <v>30000</v>
      </c>
      <c r="AC268" s="884">
        <f>$G268</f>
        <v>0.16139999999999999</v>
      </c>
      <c r="AD268" s="879">
        <f>AB268*AC268*AD$7</f>
        <v>150102</v>
      </c>
      <c r="AE268" s="885">
        <f>$F268</f>
        <v>30000</v>
      </c>
      <c r="AF268" s="884">
        <f>$G268</f>
        <v>0.16139999999999999</v>
      </c>
      <c r="AG268" s="879">
        <f>AE268*AF268*AG$7</f>
        <v>150102</v>
      </c>
      <c r="AH268" s="885">
        <f>$F268</f>
        <v>30000</v>
      </c>
      <c r="AI268" s="884">
        <f>$G268</f>
        <v>0.16139999999999999</v>
      </c>
      <c r="AJ268" s="879">
        <f>AH268*AI268*AJ$7</f>
        <v>145260</v>
      </c>
      <c r="AK268" s="885">
        <f>$F268</f>
        <v>30000</v>
      </c>
      <c r="AL268" s="884">
        <f>$G268</f>
        <v>0.16139999999999999</v>
      </c>
      <c r="AM268" s="879">
        <f>AK268*AL268*AM$7</f>
        <v>150102</v>
      </c>
      <c r="AN268" s="885">
        <f>$F268</f>
        <v>30000</v>
      </c>
      <c r="AO268" s="884">
        <f>$G268</f>
        <v>0.16139999999999999</v>
      </c>
      <c r="AP268" s="879">
        <f>AN268*AO268*AP$7</f>
        <v>145260</v>
      </c>
      <c r="AQ268" s="885">
        <f>$F268</f>
        <v>30000</v>
      </c>
      <c r="AR268" s="884">
        <f>$G268</f>
        <v>0.16139999999999999</v>
      </c>
      <c r="AS268" s="879">
        <f>AQ268*AR268*AS$7</f>
        <v>150102</v>
      </c>
      <c r="AT268" s="879"/>
      <c r="AV268" s="823">
        <f>AS268+AP268+AM268+AJ268+AG268+AD268+AA268+X268+U268+R268+O268+L268</f>
        <v>1767330</v>
      </c>
      <c r="AW268" s="910"/>
      <c r="AX268" s="33">
        <f>SUM(AV267:AV268)</f>
        <v>50100</v>
      </c>
      <c r="AY268" s="910"/>
      <c r="BB268" s="910"/>
      <c r="BD268" s="33">
        <f>AX268</f>
        <v>50100</v>
      </c>
    </row>
    <row r="269" spans="1:57" x14ac:dyDescent="0.2">
      <c r="A269" s="933"/>
      <c r="B269" s="925"/>
      <c r="D269" s="5"/>
      <c r="E269" s="926"/>
      <c r="F269" s="941"/>
      <c r="G269" s="883"/>
      <c r="H269" s="29"/>
      <c r="I269" s="884"/>
      <c r="J269" s="885"/>
      <c r="K269" s="884"/>
      <c r="L269" s="879"/>
      <c r="M269" s="885"/>
      <c r="N269" s="884"/>
      <c r="O269" s="879"/>
      <c r="P269" s="885"/>
      <c r="Q269" s="884"/>
      <c r="R269" s="879"/>
      <c r="S269" s="885"/>
      <c r="T269" s="884"/>
      <c r="U269" s="879"/>
      <c r="V269" s="885"/>
      <c r="W269" s="884"/>
      <c r="X269" s="879"/>
      <c r="Y269" s="885"/>
      <c r="Z269" s="884"/>
      <c r="AA269" s="879"/>
      <c r="AB269" s="885"/>
      <c r="AC269" s="884"/>
      <c r="AD269" s="879"/>
      <c r="AE269" s="885"/>
      <c r="AF269" s="884"/>
      <c r="AG269" s="879"/>
      <c r="AH269" s="885"/>
      <c r="AI269" s="884"/>
      <c r="AJ269" s="879"/>
      <c r="AK269" s="885"/>
      <c r="AL269" s="884"/>
      <c r="AM269" s="879"/>
      <c r="AN269" s="885"/>
      <c r="AO269" s="884"/>
      <c r="AP269" s="879"/>
      <c r="AQ269" s="885"/>
      <c r="AR269" s="884"/>
      <c r="AS269" s="879"/>
      <c r="AT269" s="879"/>
      <c r="AV269" s="33"/>
      <c r="AW269" s="886"/>
      <c r="AY269" s="886"/>
      <c r="BB269" s="886"/>
    </row>
    <row r="270" spans="1:57" x14ac:dyDescent="0.2">
      <c r="A270" s="933">
        <v>25700</v>
      </c>
      <c r="B270" s="925" t="s">
        <v>297</v>
      </c>
      <c r="C270">
        <v>2001</v>
      </c>
      <c r="D270" s="5"/>
      <c r="E270" s="926">
        <v>37621</v>
      </c>
      <c r="F270" s="941">
        <v>-25000</v>
      </c>
      <c r="G270" s="883">
        <v>0.1714</v>
      </c>
      <c r="H270" s="29">
        <v>1.8599999999999998E-2</v>
      </c>
      <c r="I270" s="884">
        <f>SUM(G270:H270)</f>
        <v>0.19</v>
      </c>
      <c r="J270" s="885">
        <f>$F270</f>
        <v>-25000</v>
      </c>
      <c r="K270" s="884">
        <f>$G270</f>
        <v>0.1714</v>
      </c>
      <c r="L270" s="879">
        <f>J270*K270*L$7</f>
        <v>-132835</v>
      </c>
      <c r="M270" s="885">
        <f>$F270</f>
        <v>-25000</v>
      </c>
      <c r="N270" s="884">
        <f>$G270</f>
        <v>0.1714</v>
      </c>
      <c r="O270" s="879">
        <f>M270*N270*O$7</f>
        <v>-119980</v>
      </c>
      <c r="P270" s="885">
        <f>$F270</f>
        <v>-25000</v>
      </c>
      <c r="Q270" s="884">
        <f>$G270</f>
        <v>0.1714</v>
      </c>
      <c r="R270" s="879">
        <f>P270*Q270*R$7</f>
        <v>-132835</v>
      </c>
      <c r="S270" s="885">
        <f>$F270</f>
        <v>-25000</v>
      </c>
      <c r="T270" s="884">
        <f>$G270</f>
        <v>0.1714</v>
      </c>
      <c r="U270" s="879">
        <f>S270*T270*U$7</f>
        <v>-128550</v>
      </c>
      <c r="V270" s="885">
        <f>$F270</f>
        <v>-25000</v>
      </c>
      <c r="W270" s="884">
        <f>$G270</f>
        <v>0.1714</v>
      </c>
      <c r="X270" s="879">
        <f>V270*W270*X$7</f>
        <v>-132835</v>
      </c>
      <c r="Y270" s="885">
        <f>$F270</f>
        <v>-25000</v>
      </c>
      <c r="Z270" s="884">
        <f>$G270</f>
        <v>0.1714</v>
      </c>
      <c r="AA270" s="879">
        <f>Y270*Z270*AA$7</f>
        <v>-128550</v>
      </c>
      <c r="AB270" s="885">
        <f>$F270</f>
        <v>-25000</v>
      </c>
      <c r="AC270" s="884">
        <f>$G270</f>
        <v>0.1714</v>
      </c>
      <c r="AD270" s="879">
        <f>AB270*AC270*AD$7</f>
        <v>-132835</v>
      </c>
      <c r="AE270" s="885">
        <f>$F270</f>
        <v>-25000</v>
      </c>
      <c r="AF270" s="884">
        <f>$G270</f>
        <v>0.1714</v>
      </c>
      <c r="AG270" s="879">
        <f>AE270*AF270*AG$7</f>
        <v>-132835</v>
      </c>
      <c r="AH270" s="885">
        <f>$F270</f>
        <v>-25000</v>
      </c>
      <c r="AI270" s="884">
        <f>$G270</f>
        <v>0.1714</v>
      </c>
      <c r="AJ270" s="879">
        <f>AH270*AI270*AJ$7</f>
        <v>-128550</v>
      </c>
      <c r="AK270" s="885">
        <f>$F270</f>
        <v>-25000</v>
      </c>
      <c r="AL270" s="884">
        <f>$G270</f>
        <v>0.1714</v>
      </c>
      <c r="AM270" s="879">
        <f>AK270*AL270*AM$7</f>
        <v>-132835</v>
      </c>
      <c r="AN270" s="885">
        <f>$F270</f>
        <v>-25000</v>
      </c>
      <c r="AO270" s="884">
        <f>$G270</f>
        <v>0.1714</v>
      </c>
      <c r="AP270" s="879">
        <f>AN270*AO270*AP$7</f>
        <v>-128550</v>
      </c>
      <c r="AQ270" s="885">
        <f>$F270</f>
        <v>-25000</v>
      </c>
      <c r="AR270" s="884">
        <f>$G270</f>
        <v>0.1714</v>
      </c>
      <c r="AS270" s="879">
        <f>AQ270*AR270*AS$7</f>
        <v>-132835</v>
      </c>
      <c r="AT270" s="879"/>
      <c r="AV270" s="823">
        <f>AS270+AP270+AM270+AJ270+AG270+AD270+AA270+X270+U270+R270+O270+L270</f>
        <v>-1564025</v>
      </c>
      <c r="AW270" s="910"/>
      <c r="AY270" s="910"/>
      <c r="BB270" s="910"/>
    </row>
    <row r="271" spans="1:57" x14ac:dyDescent="0.2">
      <c r="A271" s="175">
        <v>25700</v>
      </c>
      <c r="B271" s="175" t="s">
        <v>297</v>
      </c>
      <c r="C271">
        <v>2002</v>
      </c>
      <c r="D271" s="181">
        <v>36526</v>
      </c>
      <c r="E271" s="181">
        <v>37621</v>
      </c>
      <c r="F271" s="182">
        <v>25000</v>
      </c>
      <c r="G271" s="170">
        <v>0.1714</v>
      </c>
      <c r="H271" s="170">
        <v>1.8599999999999998E-2</v>
      </c>
      <c r="I271" s="884">
        <f>SUM(G271:H271)</f>
        <v>0.19</v>
      </c>
      <c r="J271" s="885">
        <f>$F271</f>
        <v>25000</v>
      </c>
      <c r="K271" s="884">
        <f>$G271</f>
        <v>0.1714</v>
      </c>
      <c r="L271" s="879">
        <f>J271*K271*L$7</f>
        <v>132835</v>
      </c>
      <c r="M271" s="885">
        <f>$F271</f>
        <v>25000</v>
      </c>
      <c r="N271" s="884">
        <f>$G271</f>
        <v>0.1714</v>
      </c>
      <c r="O271" s="879">
        <f>M271*N271*O$7</f>
        <v>119980</v>
      </c>
      <c r="P271" s="885">
        <f>$F271</f>
        <v>25000</v>
      </c>
      <c r="Q271" s="884">
        <f>$G271</f>
        <v>0.1714</v>
      </c>
      <c r="R271" s="879">
        <f>P271*Q271*R$7</f>
        <v>132835</v>
      </c>
      <c r="S271" s="885">
        <f>$F271</f>
        <v>25000</v>
      </c>
      <c r="T271" s="884">
        <f>$G271</f>
        <v>0.1714</v>
      </c>
      <c r="U271" s="879">
        <f>S271*T271*U$7</f>
        <v>128550</v>
      </c>
      <c r="V271" s="885">
        <f>$F271</f>
        <v>25000</v>
      </c>
      <c r="W271" s="884">
        <f>$G271</f>
        <v>0.1714</v>
      </c>
      <c r="X271" s="879">
        <f>V271*W271*X$7</f>
        <v>132835</v>
      </c>
      <c r="Y271" s="885">
        <f>$F271</f>
        <v>25000</v>
      </c>
      <c r="Z271" s="884">
        <f>$G271</f>
        <v>0.1714</v>
      </c>
      <c r="AA271" s="879">
        <f>Y271*Z271*AA$7</f>
        <v>128550</v>
      </c>
      <c r="AB271" s="885">
        <f>$F271</f>
        <v>25000</v>
      </c>
      <c r="AC271" s="884">
        <f>$G271</f>
        <v>0.1714</v>
      </c>
      <c r="AD271" s="879">
        <f>AB271*AC271*AD$7</f>
        <v>132835</v>
      </c>
      <c r="AE271" s="885">
        <f>$F271</f>
        <v>25000</v>
      </c>
      <c r="AF271" s="884">
        <f>$G271</f>
        <v>0.1714</v>
      </c>
      <c r="AG271" s="879">
        <f>AE271*AF271*AG$7</f>
        <v>132835</v>
      </c>
      <c r="AH271" s="885">
        <f>$F271</f>
        <v>25000</v>
      </c>
      <c r="AI271" s="884">
        <f>$G271</f>
        <v>0.1714</v>
      </c>
      <c r="AJ271" s="879">
        <f>AH271*AI271*AJ$7</f>
        <v>128550</v>
      </c>
      <c r="AK271" s="885">
        <f>$F271</f>
        <v>25000</v>
      </c>
      <c r="AL271" s="884">
        <f>$G271</f>
        <v>0.1714</v>
      </c>
      <c r="AM271" s="879">
        <f>AK271*AL271*AM$7</f>
        <v>132835</v>
      </c>
      <c r="AN271" s="885">
        <f>$F271</f>
        <v>25000</v>
      </c>
      <c r="AO271" s="884">
        <f>$G271</f>
        <v>0.1714</v>
      </c>
      <c r="AP271" s="879">
        <f>AN271*AO271*AP$7</f>
        <v>128550</v>
      </c>
      <c r="AQ271" s="885">
        <f>$F271</f>
        <v>25000</v>
      </c>
      <c r="AR271" s="884">
        <f>$G271</f>
        <v>0.1714</v>
      </c>
      <c r="AS271" s="879">
        <f>AQ271*AR271*AS$7</f>
        <v>132835</v>
      </c>
      <c r="AT271" s="879"/>
      <c r="AV271" s="823">
        <f>AS271+AP271+AM271+AJ271+AG271+AD271+AA271+X271+U271+R271+O271+L271</f>
        <v>1564025</v>
      </c>
      <c r="AW271" s="910"/>
      <c r="AX271" s="33">
        <f>SUM(AV270:AV271)</f>
        <v>0</v>
      </c>
      <c r="AY271" s="910"/>
      <c r="BB271" s="910"/>
      <c r="BD271" s="33">
        <f>AX271</f>
        <v>0</v>
      </c>
    </row>
    <row r="272" spans="1:57" x14ac:dyDescent="0.2">
      <c r="A272" s="933"/>
      <c r="B272" s="925"/>
      <c r="D272" s="5"/>
      <c r="E272" s="926"/>
      <c r="F272" s="941"/>
      <c r="G272" s="883"/>
      <c r="H272" s="29"/>
      <c r="I272" s="884"/>
      <c r="J272" s="885"/>
      <c r="K272" s="884"/>
      <c r="L272" s="879"/>
      <c r="M272" s="885"/>
      <c r="N272" s="884"/>
      <c r="O272" s="879"/>
      <c r="P272" s="885"/>
      <c r="Q272" s="884"/>
      <c r="R272" s="879"/>
      <c r="S272" s="885"/>
      <c r="T272" s="884"/>
      <c r="U272" s="879"/>
      <c r="V272" s="885"/>
      <c r="W272" s="884"/>
      <c r="X272" s="879"/>
      <c r="Y272" s="885"/>
      <c r="Z272" s="884"/>
      <c r="AA272" s="879"/>
      <c r="AB272" s="885"/>
      <c r="AC272" s="884"/>
      <c r="AD272" s="879"/>
      <c r="AE272" s="885"/>
      <c r="AF272" s="884"/>
      <c r="AG272" s="879"/>
      <c r="AH272" s="885"/>
      <c r="AI272" s="884"/>
      <c r="AJ272" s="879"/>
      <c r="AK272" s="885"/>
      <c r="AL272" s="884"/>
      <c r="AM272" s="879"/>
      <c r="AN272" s="885"/>
      <c r="AO272" s="884"/>
      <c r="AP272" s="879"/>
      <c r="AQ272" s="885"/>
      <c r="AR272" s="884"/>
      <c r="AS272" s="879"/>
      <c r="AT272" s="879"/>
      <c r="AV272" s="33"/>
      <c r="AW272" s="886"/>
      <c r="AY272" s="886"/>
      <c r="BB272" s="886"/>
    </row>
    <row r="273" spans="1:56" x14ac:dyDescent="0.2">
      <c r="A273" s="933">
        <v>26125</v>
      </c>
      <c r="B273" s="925" t="s">
        <v>298</v>
      </c>
      <c r="C273">
        <v>2001</v>
      </c>
      <c r="D273" s="5"/>
      <c r="E273" s="926">
        <v>37772</v>
      </c>
      <c r="F273" s="941">
        <v>-8600</v>
      </c>
      <c r="G273" s="883">
        <v>0.1114</v>
      </c>
      <c r="H273" s="29">
        <v>1.8599999999999998E-2</v>
      </c>
      <c r="I273" s="884">
        <f>SUM(G273:H273)</f>
        <v>0.13</v>
      </c>
      <c r="J273" s="885">
        <f>$F273</f>
        <v>-8600</v>
      </c>
      <c r="K273" s="884">
        <f>$G273</f>
        <v>0.1114</v>
      </c>
      <c r="L273" s="879">
        <f>J273*K273*L$7</f>
        <v>-29699.239999999998</v>
      </c>
      <c r="M273" s="885">
        <f>$F273</f>
        <v>-8600</v>
      </c>
      <c r="N273" s="884">
        <f>$G273</f>
        <v>0.1114</v>
      </c>
      <c r="O273" s="879">
        <f>M273*N273*O$7</f>
        <v>-26825.119999999999</v>
      </c>
      <c r="P273" s="885">
        <f>$F273</f>
        <v>-8600</v>
      </c>
      <c r="Q273" s="884">
        <f>$G273</f>
        <v>0.1114</v>
      </c>
      <c r="R273" s="879">
        <f>P273*Q273*R$7</f>
        <v>-29699.239999999998</v>
      </c>
      <c r="S273" s="885">
        <f>$F273</f>
        <v>-8600</v>
      </c>
      <c r="T273" s="884">
        <f>$G273</f>
        <v>0.1114</v>
      </c>
      <c r="U273" s="879">
        <f>S273*T273*U$7</f>
        <v>-28741.199999999997</v>
      </c>
      <c r="V273" s="885">
        <f>$F273</f>
        <v>-8600</v>
      </c>
      <c r="W273" s="884">
        <f>$G273</f>
        <v>0.1114</v>
      </c>
      <c r="X273" s="879">
        <f>V273*W273*X$7</f>
        <v>-29699.239999999998</v>
      </c>
      <c r="Y273" s="885">
        <f>$F273</f>
        <v>-8600</v>
      </c>
      <c r="Z273" s="884">
        <f>$G273</f>
        <v>0.1114</v>
      </c>
      <c r="AA273" s="879">
        <f>Y273*Z273*AA$7</f>
        <v>-28741.199999999997</v>
      </c>
      <c r="AB273" s="885">
        <f>$F273</f>
        <v>-8600</v>
      </c>
      <c r="AC273" s="884">
        <f>$G273</f>
        <v>0.1114</v>
      </c>
      <c r="AD273" s="879">
        <f>AB273*AC273*AD$7</f>
        <v>-29699.239999999998</v>
      </c>
      <c r="AE273" s="885">
        <f>$F273</f>
        <v>-8600</v>
      </c>
      <c r="AF273" s="884">
        <f>$G273</f>
        <v>0.1114</v>
      </c>
      <c r="AG273" s="879">
        <f>AE273*AF273*AG$7</f>
        <v>-29699.239999999998</v>
      </c>
      <c r="AH273" s="885">
        <f>$F273</f>
        <v>-8600</v>
      </c>
      <c r="AI273" s="884">
        <f>$G273</f>
        <v>0.1114</v>
      </c>
      <c r="AJ273" s="879">
        <f>AH273*AI273*AJ$7</f>
        <v>-28741.199999999997</v>
      </c>
      <c r="AK273" s="885">
        <f>$F273</f>
        <v>-8600</v>
      </c>
      <c r="AL273" s="884">
        <f>$G273</f>
        <v>0.1114</v>
      </c>
      <c r="AM273" s="879">
        <f>AK273*AL273*AM$7</f>
        <v>-29699.239999999998</v>
      </c>
      <c r="AN273" s="885">
        <f>$F273</f>
        <v>-8600</v>
      </c>
      <c r="AO273" s="884">
        <f>$G273</f>
        <v>0.1114</v>
      </c>
      <c r="AP273" s="879">
        <f>AN273*AO273*AP$7</f>
        <v>-28741.199999999997</v>
      </c>
      <c r="AQ273" s="885">
        <f>$F273</f>
        <v>-8600</v>
      </c>
      <c r="AR273" s="884">
        <f>$G273</f>
        <v>0.1114</v>
      </c>
      <c r="AS273" s="879">
        <f>AQ273*AR273*AS$7</f>
        <v>-29699.239999999998</v>
      </c>
      <c r="AT273" s="879"/>
      <c r="AV273" s="823">
        <f>AS273+AP273+AM273+AJ273+AG273+AD273+AA273+X273+U273+R273+O273+L273</f>
        <v>-349684.6</v>
      </c>
      <c r="AW273" s="910"/>
      <c r="AY273" s="910"/>
      <c r="BB273" s="910"/>
    </row>
    <row r="274" spans="1:56" x14ac:dyDescent="0.2">
      <c r="A274" s="175">
        <v>26125</v>
      </c>
      <c r="B274" s="175" t="s">
        <v>298</v>
      </c>
      <c r="C274">
        <v>2002</v>
      </c>
      <c r="D274" s="181">
        <v>35947</v>
      </c>
      <c r="E274" s="181">
        <v>37772</v>
      </c>
      <c r="F274" s="182">
        <v>8600</v>
      </c>
      <c r="G274" s="170">
        <v>0.1114</v>
      </c>
      <c r="H274" s="170">
        <v>1.8599999999999998E-2</v>
      </c>
      <c r="I274" s="884">
        <f>SUM(G274:H274)</f>
        <v>0.13</v>
      </c>
      <c r="J274" s="885">
        <f>$F274</f>
        <v>8600</v>
      </c>
      <c r="K274" s="884">
        <f>$G274</f>
        <v>0.1114</v>
      </c>
      <c r="L274" s="879">
        <f>J274*K274*L$7</f>
        <v>29699.239999999998</v>
      </c>
      <c r="M274" s="885">
        <f>$F274</f>
        <v>8600</v>
      </c>
      <c r="N274" s="884">
        <f>$G274</f>
        <v>0.1114</v>
      </c>
      <c r="O274" s="879">
        <f>M274*N274*O$7</f>
        <v>26825.119999999999</v>
      </c>
      <c r="P274" s="885">
        <f>$F274</f>
        <v>8600</v>
      </c>
      <c r="Q274" s="884">
        <f>$G274</f>
        <v>0.1114</v>
      </c>
      <c r="R274" s="879">
        <f>P274*Q274*R$7</f>
        <v>29699.239999999998</v>
      </c>
      <c r="S274" s="885">
        <f>$F274</f>
        <v>8600</v>
      </c>
      <c r="T274" s="884">
        <f>$G274</f>
        <v>0.1114</v>
      </c>
      <c r="U274" s="879">
        <f>S274*T274*U$7</f>
        <v>28741.199999999997</v>
      </c>
      <c r="V274" s="885">
        <f>$F274</f>
        <v>8600</v>
      </c>
      <c r="W274" s="884">
        <f>$G274</f>
        <v>0.1114</v>
      </c>
      <c r="X274" s="879">
        <f>V274*W274*X$7</f>
        <v>29699.239999999998</v>
      </c>
      <c r="Y274" s="885">
        <f>$F274</f>
        <v>8600</v>
      </c>
      <c r="Z274" s="884">
        <f>$G274</f>
        <v>0.1114</v>
      </c>
      <c r="AA274" s="879">
        <f>Y274*Z274*AA$7</f>
        <v>28741.199999999997</v>
      </c>
      <c r="AB274" s="885">
        <f>$F274</f>
        <v>8600</v>
      </c>
      <c r="AC274" s="884">
        <f>$G274</f>
        <v>0.1114</v>
      </c>
      <c r="AD274" s="879">
        <f>AB274*AC274*AD$7</f>
        <v>29699.239999999998</v>
      </c>
      <c r="AE274" s="885">
        <f>$F274</f>
        <v>8600</v>
      </c>
      <c r="AF274" s="884">
        <f>$G274</f>
        <v>0.1114</v>
      </c>
      <c r="AG274" s="879">
        <f>AE274*AF274*AG$7</f>
        <v>29699.239999999998</v>
      </c>
      <c r="AH274" s="885">
        <f>$F274</f>
        <v>8600</v>
      </c>
      <c r="AI274" s="884">
        <f>$G274</f>
        <v>0.1114</v>
      </c>
      <c r="AJ274" s="879">
        <f>AH274*AI274*AJ$7</f>
        <v>28741.199999999997</v>
      </c>
      <c r="AK274" s="885">
        <f>$F274</f>
        <v>8600</v>
      </c>
      <c r="AL274" s="884">
        <f>$G274</f>
        <v>0.1114</v>
      </c>
      <c r="AM274" s="879">
        <f>AK274*AL274*AM$7</f>
        <v>29699.239999999998</v>
      </c>
      <c r="AN274" s="885">
        <f>$F274</f>
        <v>8600</v>
      </c>
      <c r="AO274" s="884">
        <f>$G274</f>
        <v>0.1114</v>
      </c>
      <c r="AP274" s="879">
        <f>AN274*AO274*AP$7</f>
        <v>28741.199999999997</v>
      </c>
      <c r="AQ274" s="885">
        <f>$F274</f>
        <v>8600</v>
      </c>
      <c r="AR274" s="884">
        <f>$G274</f>
        <v>0.1114</v>
      </c>
      <c r="AS274" s="879">
        <f>AQ274*AR274*AS$7</f>
        <v>29699.239999999998</v>
      </c>
      <c r="AT274" s="879"/>
      <c r="AV274" s="823">
        <f>AS274+AP274+AM274+AJ274+AG274+AD274+AA274+X274+U274+R274+O274+L274</f>
        <v>349684.6</v>
      </c>
      <c r="AW274" s="910"/>
      <c r="AX274" s="33">
        <f>SUM(AV273:AV274)</f>
        <v>0</v>
      </c>
      <c r="AY274" s="910"/>
      <c r="BB274" s="910"/>
      <c r="BD274" s="33">
        <f>AX274</f>
        <v>0</v>
      </c>
    </row>
    <row r="275" spans="1:56" x14ac:dyDescent="0.2">
      <c r="A275" s="933"/>
      <c r="B275" s="925"/>
      <c r="D275" s="5"/>
      <c r="E275" s="926"/>
      <c r="F275" s="941"/>
      <c r="G275" s="883"/>
      <c r="H275" s="29"/>
      <c r="I275" s="884"/>
      <c r="J275" s="885"/>
      <c r="K275" s="884"/>
      <c r="L275" s="879"/>
      <c r="M275" s="885"/>
      <c r="N275" s="884"/>
      <c r="O275" s="879"/>
      <c r="P275" s="885"/>
      <c r="Q275" s="884"/>
      <c r="R275" s="879"/>
      <c r="S275" s="885"/>
      <c r="T275" s="884"/>
      <c r="U275" s="879"/>
      <c r="V275" s="885"/>
      <c r="W275" s="884"/>
      <c r="X275" s="879"/>
      <c r="Y275" s="885"/>
      <c r="Z275" s="884"/>
      <c r="AA275" s="879"/>
      <c r="AB275" s="885"/>
      <c r="AC275" s="884"/>
      <c r="AD275" s="879"/>
      <c r="AE275" s="885"/>
      <c r="AF275" s="884"/>
      <c r="AG275" s="879"/>
      <c r="AH275" s="885"/>
      <c r="AI275" s="884"/>
      <c r="AJ275" s="879"/>
      <c r="AK275" s="885"/>
      <c r="AL275" s="884"/>
      <c r="AM275" s="879"/>
      <c r="AN275" s="885"/>
      <c r="AO275" s="884"/>
      <c r="AP275" s="879"/>
      <c r="AQ275" s="885"/>
      <c r="AR275" s="884"/>
      <c r="AS275" s="879"/>
      <c r="AT275" s="879"/>
      <c r="AV275" s="33"/>
      <c r="AW275" s="886"/>
      <c r="AY275" s="886"/>
      <c r="BB275" s="886"/>
    </row>
    <row r="276" spans="1:56" x14ac:dyDescent="0.2">
      <c r="A276" s="933">
        <v>26719</v>
      </c>
      <c r="B276" s="925" t="s">
        <v>737</v>
      </c>
      <c r="C276">
        <v>2001</v>
      </c>
      <c r="D276" s="816"/>
      <c r="E276" s="926">
        <v>38472</v>
      </c>
      <c r="F276" s="941">
        <v>-25000</v>
      </c>
      <c r="G276" s="883">
        <v>0.18640000000000001</v>
      </c>
      <c r="H276" s="29">
        <v>1.8599999999999998E-2</v>
      </c>
      <c r="I276" s="884">
        <f>SUM(G276:H276)</f>
        <v>0.20500000000000002</v>
      </c>
      <c r="J276" s="885">
        <f>$F276</f>
        <v>-25000</v>
      </c>
      <c r="K276" s="884">
        <f>$G276</f>
        <v>0.18640000000000001</v>
      </c>
      <c r="L276" s="879">
        <f>J276*K276*L$7</f>
        <v>-144460</v>
      </c>
      <c r="M276" s="885">
        <f>$F276</f>
        <v>-25000</v>
      </c>
      <c r="N276" s="884">
        <f>$G276</f>
        <v>0.18640000000000001</v>
      </c>
      <c r="O276" s="879">
        <f>M276*N276*O$7</f>
        <v>-130480</v>
      </c>
      <c r="P276" s="885">
        <f>$F276</f>
        <v>-25000</v>
      </c>
      <c r="Q276" s="884">
        <f>$G276</f>
        <v>0.18640000000000001</v>
      </c>
      <c r="R276" s="879">
        <f>P276*Q276*R$7</f>
        <v>-144460</v>
      </c>
      <c r="S276" s="885">
        <f>$F276</f>
        <v>-25000</v>
      </c>
      <c r="T276" s="884">
        <f>$G276</f>
        <v>0.18640000000000001</v>
      </c>
      <c r="U276" s="879">
        <f>S276*T276*U$7</f>
        <v>-139800</v>
      </c>
      <c r="V276" s="885">
        <f>$F276</f>
        <v>-25000</v>
      </c>
      <c r="W276" s="884">
        <f>$G276</f>
        <v>0.18640000000000001</v>
      </c>
      <c r="X276" s="879">
        <f>V276*W276*X$7</f>
        <v>-144460</v>
      </c>
      <c r="Y276" s="885">
        <f>$F276</f>
        <v>-25000</v>
      </c>
      <c r="Z276" s="884">
        <f>$G276</f>
        <v>0.18640000000000001</v>
      </c>
      <c r="AA276" s="879">
        <f>Y276*Z276*AA$7</f>
        <v>-139800</v>
      </c>
      <c r="AB276" s="885">
        <f>$F276</f>
        <v>-25000</v>
      </c>
      <c r="AC276" s="884">
        <f>$G276</f>
        <v>0.18640000000000001</v>
      </c>
      <c r="AD276" s="879">
        <f>AB276*AC276*AD$7</f>
        <v>-144460</v>
      </c>
      <c r="AE276" s="885">
        <f>$F276</f>
        <v>-25000</v>
      </c>
      <c r="AF276" s="884">
        <f>$G276</f>
        <v>0.18640000000000001</v>
      </c>
      <c r="AG276" s="879">
        <f>AE276*AF276*AG$7</f>
        <v>-144460</v>
      </c>
      <c r="AH276" s="885">
        <f>$F276</f>
        <v>-25000</v>
      </c>
      <c r="AI276" s="884">
        <f>$G276</f>
        <v>0.18640000000000001</v>
      </c>
      <c r="AJ276" s="879">
        <f>AH276*AI276*AJ$7</f>
        <v>-139800</v>
      </c>
      <c r="AK276" s="885">
        <f>$F276</f>
        <v>-25000</v>
      </c>
      <c r="AL276" s="884">
        <f>$G276</f>
        <v>0.18640000000000001</v>
      </c>
      <c r="AM276" s="879">
        <f>AK276*AL276*AM$7</f>
        <v>-144460</v>
      </c>
      <c r="AN276" s="885">
        <f>$F276</f>
        <v>-25000</v>
      </c>
      <c r="AO276" s="884">
        <f>$G276</f>
        <v>0.18640000000000001</v>
      </c>
      <c r="AP276" s="879">
        <f>AN276*AO276*AP$7</f>
        <v>-139800</v>
      </c>
      <c r="AQ276" s="885">
        <f>$F276</f>
        <v>-25000</v>
      </c>
      <c r="AR276" s="884">
        <f>$G276</f>
        <v>0.18640000000000001</v>
      </c>
      <c r="AS276" s="879">
        <f>AQ276*AR276*AS$7</f>
        <v>-144460</v>
      </c>
      <c r="AT276" s="879"/>
      <c r="AV276" s="823">
        <f>AS276+AP276+AM276+AJ276+AG276+AD276+AA276+X276+U276+R276+O276+L276</f>
        <v>-1700900</v>
      </c>
      <c r="AW276" s="910"/>
      <c r="AY276" s="910"/>
      <c r="BB276" s="910"/>
    </row>
    <row r="277" spans="1:56" x14ac:dyDescent="0.2">
      <c r="A277" s="175">
        <v>26719</v>
      </c>
      <c r="B277" s="175" t="s">
        <v>568</v>
      </c>
      <c r="C277">
        <v>2002</v>
      </c>
      <c r="D277" s="181" t="s">
        <v>569</v>
      </c>
      <c r="E277" s="181">
        <v>38472</v>
      </c>
      <c r="F277" s="603">
        <v>25000</v>
      </c>
      <c r="G277" s="533">
        <v>0.18640000000000001</v>
      </c>
      <c r="H277" s="170">
        <v>1.8599999999999998E-2</v>
      </c>
      <c r="I277" s="884">
        <f>SUM(G277:H277)</f>
        <v>0.20500000000000002</v>
      </c>
      <c r="J277" s="885">
        <f>$F277</f>
        <v>25000</v>
      </c>
      <c r="K277" s="884">
        <f>$G277</f>
        <v>0.18640000000000001</v>
      </c>
      <c r="L277" s="879">
        <f>J277*K277*L$7</f>
        <v>144460</v>
      </c>
      <c r="M277" s="885">
        <f>$F277</f>
        <v>25000</v>
      </c>
      <c r="N277" s="884">
        <f>$G277</f>
        <v>0.18640000000000001</v>
      </c>
      <c r="O277" s="879">
        <f>M277*N277*O$7</f>
        <v>130480</v>
      </c>
      <c r="P277" s="885">
        <f>$F277</f>
        <v>25000</v>
      </c>
      <c r="Q277" s="884">
        <f>$G277</f>
        <v>0.18640000000000001</v>
      </c>
      <c r="R277" s="879">
        <f>P277*Q277*R$7</f>
        <v>144460</v>
      </c>
      <c r="S277" s="885">
        <f>$F277</f>
        <v>25000</v>
      </c>
      <c r="T277" s="884">
        <f>$G277</f>
        <v>0.18640000000000001</v>
      </c>
      <c r="U277" s="879">
        <f>S277*T277*U$7</f>
        <v>139800</v>
      </c>
      <c r="V277" s="885">
        <f>$F277</f>
        <v>25000</v>
      </c>
      <c r="W277" s="884">
        <f>$G277</f>
        <v>0.18640000000000001</v>
      </c>
      <c r="X277" s="879">
        <f>V277*W277*X$7</f>
        <v>144460</v>
      </c>
      <c r="Y277" s="885">
        <f>$F277</f>
        <v>25000</v>
      </c>
      <c r="Z277" s="884">
        <f>$G277</f>
        <v>0.18640000000000001</v>
      </c>
      <c r="AA277" s="879">
        <f>Y277*Z277*AA$7</f>
        <v>139800</v>
      </c>
      <c r="AB277" s="885">
        <f>$F277</f>
        <v>25000</v>
      </c>
      <c r="AC277" s="884">
        <f>$G277</f>
        <v>0.18640000000000001</v>
      </c>
      <c r="AD277" s="879">
        <f>AB277*AC277*AD$7</f>
        <v>144460</v>
      </c>
      <c r="AE277" s="885">
        <f>$F277</f>
        <v>25000</v>
      </c>
      <c r="AF277" s="884">
        <f>$G277</f>
        <v>0.18640000000000001</v>
      </c>
      <c r="AG277" s="879">
        <f>AE277*AF277*AG$7</f>
        <v>144460</v>
      </c>
      <c r="AH277" s="885">
        <f>$F277</f>
        <v>25000</v>
      </c>
      <c r="AI277" s="884">
        <f>$G277</f>
        <v>0.18640000000000001</v>
      </c>
      <c r="AJ277" s="879">
        <f>AH277*AI277*AJ$7</f>
        <v>139800</v>
      </c>
      <c r="AK277" s="885">
        <f>$F277</f>
        <v>25000</v>
      </c>
      <c r="AL277" s="884">
        <f>$G277</f>
        <v>0.18640000000000001</v>
      </c>
      <c r="AM277" s="879">
        <f>AK277*AL277*AM$7</f>
        <v>144460</v>
      </c>
      <c r="AN277" s="885">
        <f>$F277</f>
        <v>25000</v>
      </c>
      <c r="AO277" s="884">
        <f>$G277</f>
        <v>0.18640000000000001</v>
      </c>
      <c r="AP277" s="879">
        <f>AN277*AO277*AP$7</f>
        <v>139800</v>
      </c>
      <c r="AQ277" s="885">
        <f>$F277</f>
        <v>25000</v>
      </c>
      <c r="AR277" s="884">
        <f>$G277</f>
        <v>0.18640000000000001</v>
      </c>
      <c r="AS277" s="879">
        <f>AQ277*AR277*AS$7</f>
        <v>144460</v>
      </c>
      <c r="AT277" s="879"/>
      <c r="AV277" s="823">
        <f>AS277+AP277+AM277+AJ277+AG277+AD277+AA277+X277+U277+R277+O277+L277</f>
        <v>1700900</v>
      </c>
      <c r="AW277" s="910"/>
      <c r="AX277" s="33">
        <f>SUM(AV276:AV277)</f>
        <v>0</v>
      </c>
      <c r="AY277" s="910"/>
      <c r="BB277" s="910"/>
      <c r="BD277" s="33">
        <f>AX277</f>
        <v>0</v>
      </c>
    </row>
    <row r="278" spans="1:56" x14ac:dyDescent="0.2">
      <c r="A278" s="933"/>
      <c r="B278" s="925"/>
      <c r="D278" s="5"/>
      <c r="E278" s="926"/>
      <c r="F278" s="941"/>
      <c r="G278" s="883"/>
      <c r="H278" s="29"/>
      <c r="I278" s="884"/>
      <c r="J278" s="885"/>
      <c r="K278" s="884"/>
      <c r="L278" s="879"/>
      <c r="M278" s="885"/>
      <c r="N278" s="884"/>
      <c r="O278" s="879"/>
      <c r="P278" s="885"/>
      <c r="Q278" s="884"/>
      <c r="R278" s="879"/>
      <c r="S278" s="885"/>
      <c r="T278" s="884"/>
      <c r="U278" s="879"/>
      <c r="V278" s="885"/>
      <c r="W278" s="884"/>
      <c r="X278" s="879"/>
      <c r="Y278" s="885"/>
      <c r="Z278" s="884"/>
      <c r="AA278" s="879"/>
      <c r="AB278" s="885"/>
      <c r="AC278" s="884"/>
      <c r="AD278" s="879"/>
      <c r="AE278" s="885"/>
      <c r="AF278" s="884"/>
      <c r="AG278" s="879"/>
      <c r="AH278" s="885"/>
      <c r="AI278" s="884"/>
      <c r="AJ278" s="879"/>
      <c r="AK278" s="885"/>
      <c r="AL278" s="884"/>
      <c r="AM278" s="879"/>
      <c r="AN278" s="885"/>
      <c r="AO278" s="884"/>
      <c r="AP278" s="879"/>
      <c r="AQ278" s="885"/>
      <c r="AR278" s="884"/>
      <c r="AS278" s="879"/>
      <c r="AT278" s="879"/>
      <c r="AV278" s="33"/>
      <c r="AW278" s="886"/>
      <c r="AY278" s="886"/>
      <c r="BB278" s="886"/>
    </row>
    <row r="279" spans="1:56" x14ac:dyDescent="0.2">
      <c r="A279" s="933">
        <v>26813</v>
      </c>
      <c r="B279" s="925" t="s">
        <v>736</v>
      </c>
      <c r="C279">
        <v>2001</v>
      </c>
      <c r="D279" s="5"/>
      <c r="E279" s="926">
        <v>39569</v>
      </c>
      <c r="F279" s="941">
        <v>-3500</v>
      </c>
      <c r="G279" s="883">
        <v>0.1739</v>
      </c>
      <c r="H279" s="29">
        <v>1.8599999999999998E-2</v>
      </c>
      <c r="I279" s="884">
        <f>SUM(G279:H279)</f>
        <v>0.1925</v>
      </c>
      <c r="J279" s="885">
        <f>$F279</f>
        <v>-3500</v>
      </c>
      <c r="K279" s="884">
        <f>$G279</f>
        <v>0.1739</v>
      </c>
      <c r="L279" s="879">
        <f>J279*K279*L$7</f>
        <v>-18868.149999999998</v>
      </c>
      <c r="M279" s="885">
        <f>$F279</f>
        <v>-3500</v>
      </c>
      <c r="N279" s="884">
        <f>$G279</f>
        <v>0.1739</v>
      </c>
      <c r="O279" s="879">
        <f>M279*N279*O$7</f>
        <v>-17042.2</v>
      </c>
      <c r="P279" s="885">
        <f>$F279</f>
        <v>-3500</v>
      </c>
      <c r="Q279" s="884">
        <f>$G279</f>
        <v>0.1739</v>
      </c>
      <c r="R279" s="879">
        <f>P279*Q279*R$7</f>
        <v>-18868.149999999998</v>
      </c>
      <c r="S279" s="885">
        <f>$F279</f>
        <v>-3500</v>
      </c>
      <c r="T279" s="884">
        <f>$G279</f>
        <v>0.1739</v>
      </c>
      <c r="U279" s="879">
        <f>S279*T279*U$7</f>
        <v>-18259.5</v>
      </c>
      <c r="V279" s="885">
        <f>$F279</f>
        <v>-3500</v>
      </c>
      <c r="W279" s="884">
        <f>$G279</f>
        <v>0.1739</v>
      </c>
      <c r="X279" s="879">
        <f>V279*W279*X$7</f>
        <v>-18868.149999999998</v>
      </c>
      <c r="Y279" s="885">
        <f>$F279</f>
        <v>-3500</v>
      </c>
      <c r="Z279" s="884">
        <f>$G279</f>
        <v>0.1739</v>
      </c>
      <c r="AA279" s="879">
        <f>Y279*Z279*AA$7</f>
        <v>-18259.5</v>
      </c>
      <c r="AB279" s="885">
        <f>$F279</f>
        <v>-3500</v>
      </c>
      <c r="AC279" s="884">
        <f>$G279</f>
        <v>0.1739</v>
      </c>
      <c r="AD279" s="879">
        <f>AB279*AC279*AD$7</f>
        <v>-18868.149999999998</v>
      </c>
      <c r="AE279" s="885">
        <f>$F279</f>
        <v>-3500</v>
      </c>
      <c r="AF279" s="884">
        <f>$G279</f>
        <v>0.1739</v>
      </c>
      <c r="AG279" s="879">
        <f>AE279*AF279*AG$7</f>
        <v>-18868.149999999998</v>
      </c>
      <c r="AH279" s="885">
        <f>$F279</f>
        <v>-3500</v>
      </c>
      <c r="AI279" s="884">
        <f>$G279</f>
        <v>0.1739</v>
      </c>
      <c r="AJ279" s="879">
        <f>AH279*AI279*AJ$7</f>
        <v>-18259.5</v>
      </c>
      <c r="AK279" s="885">
        <f>$F279</f>
        <v>-3500</v>
      </c>
      <c r="AL279" s="884">
        <f>$G279</f>
        <v>0.1739</v>
      </c>
      <c r="AM279" s="879">
        <f>AK279*AL279*AM$7</f>
        <v>-18868.149999999998</v>
      </c>
      <c r="AN279" s="885">
        <f>$F279</f>
        <v>-3500</v>
      </c>
      <c r="AO279" s="884">
        <f>$G279</f>
        <v>0.1739</v>
      </c>
      <c r="AP279" s="879">
        <f>AN279*AO279*AP$7</f>
        <v>-18259.5</v>
      </c>
      <c r="AQ279" s="885">
        <f>$F279</f>
        <v>-3500</v>
      </c>
      <c r="AR279" s="884">
        <f>$G279</f>
        <v>0.1739</v>
      </c>
      <c r="AS279" s="879">
        <f>AQ279*AR279*AS$7</f>
        <v>-18868.149999999998</v>
      </c>
      <c r="AT279" s="879"/>
      <c r="AV279" s="823">
        <f>AS279+AP279+AM279+AJ279+AG279+AD279+AA279+X279+U279+R279+O279+L279</f>
        <v>-222157.24999999997</v>
      </c>
      <c r="AW279" s="910"/>
      <c r="AY279" s="910"/>
      <c r="BB279" s="910"/>
    </row>
    <row r="280" spans="1:56" x14ac:dyDescent="0.2">
      <c r="A280" s="175">
        <v>26813</v>
      </c>
      <c r="B280" s="175" t="s">
        <v>572</v>
      </c>
      <c r="C280">
        <v>2002</v>
      </c>
      <c r="D280" s="181" t="s">
        <v>569</v>
      </c>
      <c r="E280" s="181">
        <v>39569</v>
      </c>
      <c r="F280" s="603">
        <v>3500</v>
      </c>
      <c r="G280" s="533">
        <v>0.1739</v>
      </c>
      <c r="H280" s="170">
        <v>1.8599999999999998E-2</v>
      </c>
      <c r="I280" s="884">
        <f>SUM(G280:H280)</f>
        <v>0.1925</v>
      </c>
      <c r="J280" s="885">
        <f>$F280</f>
        <v>3500</v>
      </c>
      <c r="K280" s="884">
        <f>$G280</f>
        <v>0.1739</v>
      </c>
      <c r="L280" s="879">
        <f>J280*K280*L$7</f>
        <v>18868.149999999998</v>
      </c>
      <c r="M280" s="885">
        <f>$F280</f>
        <v>3500</v>
      </c>
      <c r="N280" s="884">
        <f>$G280</f>
        <v>0.1739</v>
      </c>
      <c r="O280" s="879">
        <f>M280*N280*O$7</f>
        <v>17042.2</v>
      </c>
      <c r="P280" s="885">
        <f>$F280</f>
        <v>3500</v>
      </c>
      <c r="Q280" s="884">
        <f>$G280</f>
        <v>0.1739</v>
      </c>
      <c r="R280" s="879">
        <f>P280*Q280*R$7</f>
        <v>18868.149999999998</v>
      </c>
      <c r="S280" s="885">
        <f>$F280</f>
        <v>3500</v>
      </c>
      <c r="T280" s="884">
        <f>$G280</f>
        <v>0.1739</v>
      </c>
      <c r="U280" s="879">
        <f>S280*T280*U$7</f>
        <v>18259.5</v>
      </c>
      <c r="V280" s="885">
        <f>$F280</f>
        <v>3500</v>
      </c>
      <c r="W280" s="884">
        <f>$G280</f>
        <v>0.1739</v>
      </c>
      <c r="X280" s="879">
        <f>V280*W280*X$7</f>
        <v>18868.149999999998</v>
      </c>
      <c r="Y280" s="885">
        <f>$F280</f>
        <v>3500</v>
      </c>
      <c r="Z280" s="884">
        <f>$G280</f>
        <v>0.1739</v>
      </c>
      <c r="AA280" s="879">
        <f>Y280*Z280*AA$7</f>
        <v>18259.5</v>
      </c>
      <c r="AB280" s="885">
        <f>$F280</f>
        <v>3500</v>
      </c>
      <c r="AC280" s="884">
        <f>$G280</f>
        <v>0.1739</v>
      </c>
      <c r="AD280" s="879">
        <f>AB280*AC280*AD$7</f>
        <v>18868.149999999998</v>
      </c>
      <c r="AE280" s="885">
        <f>$F280</f>
        <v>3500</v>
      </c>
      <c r="AF280" s="884">
        <f>$G280</f>
        <v>0.1739</v>
      </c>
      <c r="AG280" s="879">
        <f>AE280*AF280*AG$7</f>
        <v>18868.149999999998</v>
      </c>
      <c r="AH280" s="885">
        <f>$F280</f>
        <v>3500</v>
      </c>
      <c r="AI280" s="884">
        <f>$G280</f>
        <v>0.1739</v>
      </c>
      <c r="AJ280" s="879">
        <f>AH280*AI280*AJ$7</f>
        <v>18259.5</v>
      </c>
      <c r="AK280" s="885">
        <f>$F280</f>
        <v>3500</v>
      </c>
      <c r="AL280" s="884">
        <f>$G280</f>
        <v>0.1739</v>
      </c>
      <c r="AM280" s="879">
        <f>AK280*AL280*AM$7</f>
        <v>18868.149999999998</v>
      </c>
      <c r="AN280" s="885">
        <f>$F280</f>
        <v>3500</v>
      </c>
      <c r="AO280" s="884">
        <f>$G280</f>
        <v>0.1739</v>
      </c>
      <c r="AP280" s="879">
        <f>AN280*AO280*AP$7</f>
        <v>18259.5</v>
      </c>
      <c r="AQ280" s="885">
        <f>$F280</f>
        <v>3500</v>
      </c>
      <c r="AR280" s="884">
        <f>$G280</f>
        <v>0.1739</v>
      </c>
      <c r="AS280" s="879">
        <f>AQ280*AR280*AS$7</f>
        <v>18868.149999999998</v>
      </c>
      <c r="AT280" s="879"/>
      <c r="AV280" s="823">
        <f>AS280+AP280+AM280+AJ280+AG280+AD280+AA280+X280+U280+R280+O280+L280</f>
        <v>222157.24999999997</v>
      </c>
      <c r="AW280" s="910"/>
      <c r="AX280" s="33">
        <f>SUM(AV279:AV280)</f>
        <v>0</v>
      </c>
      <c r="AY280" s="910"/>
      <c r="BB280" s="910"/>
      <c r="BD280" s="33">
        <f>AX280</f>
        <v>0</v>
      </c>
    </row>
    <row r="281" spans="1:56" x14ac:dyDescent="0.2">
      <c r="A281" s="933"/>
      <c r="B281" s="925"/>
      <c r="D281" s="5"/>
      <c r="E281" s="926"/>
      <c r="F281" s="941"/>
      <c r="G281" s="883"/>
      <c r="H281" s="29"/>
      <c r="I281" s="884"/>
      <c r="J281" s="885"/>
      <c r="K281" s="884"/>
      <c r="L281" s="879"/>
      <c r="M281" s="885"/>
      <c r="N281" s="884"/>
      <c r="O281" s="879"/>
      <c r="P281" s="885"/>
      <c r="Q281" s="884"/>
      <c r="R281" s="879"/>
      <c r="S281" s="885"/>
      <c r="T281" s="884"/>
      <c r="U281" s="879"/>
      <c r="V281" s="885"/>
      <c r="W281" s="884"/>
      <c r="X281" s="879"/>
      <c r="Y281" s="885"/>
      <c r="Z281" s="884"/>
      <c r="AA281" s="879"/>
      <c r="AB281" s="885"/>
      <c r="AC281" s="884"/>
      <c r="AD281" s="879"/>
      <c r="AE281" s="885"/>
      <c r="AF281" s="884"/>
      <c r="AG281" s="879"/>
      <c r="AH281" s="885"/>
      <c r="AI281" s="884"/>
      <c r="AJ281" s="879"/>
      <c r="AK281" s="885"/>
      <c r="AL281" s="884"/>
      <c r="AM281" s="879"/>
      <c r="AN281" s="885"/>
      <c r="AO281" s="884"/>
      <c r="AP281" s="879"/>
      <c r="AQ281" s="885"/>
      <c r="AR281" s="884"/>
      <c r="AS281" s="879"/>
      <c r="AT281" s="879"/>
      <c r="AV281" s="33"/>
      <c r="AW281" s="886"/>
      <c r="AY281" s="886"/>
      <c r="BB281" s="886"/>
    </row>
    <row r="282" spans="1:56" x14ac:dyDescent="0.2">
      <c r="A282" s="933">
        <v>26816</v>
      </c>
      <c r="B282" s="925" t="s">
        <v>27</v>
      </c>
      <c r="C282">
        <v>2001</v>
      </c>
      <c r="D282" s="5"/>
      <c r="E282" s="926">
        <v>38472</v>
      </c>
      <c r="F282" s="941">
        <v>-21500</v>
      </c>
      <c r="G282" s="883">
        <v>0.15140000000000001</v>
      </c>
      <c r="H282" s="29">
        <v>1.8599999999999998E-2</v>
      </c>
      <c r="I282" s="884">
        <f>SUM(G282:H282)</f>
        <v>0.17</v>
      </c>
      <c r="J282" s="885">
        <f>$F282</f>
        <v>-21500</v>
      </c>
      <c r="K282" s="884">
        <f>$G282</f>
        <v>0.15140000000000001</v>
      </c>
      <c r="L282" s="879">
        <f>J282*K282*L$7</f>
        <v>-100908.1</v>
      </c>
      <c r="M282" s="885">
        <f>$F282</f>
        <v>-21500</v>
      </c>
      <c r="N282" s="884">
        <f>$G282</f>
        <v>0.15140000000000001</v>
      </c>
      <c r="O282" s="879">
        <f>M282*N282*O$7</f>
        <v>-91142.800000000017</v>
      </c>
      <c r="P282" s="885">
        <f>$F282</f>
        <v>-21500</v>
      </c>
      <c r="Q282" s="884">
        <f>$G282</f>
        <v>0.15140000000000001</v>
      </c>
      <c r="R282" s="879">
        <f>P282*Q282*R$7</f>
        <v>-100908.1</v>
      </c>
      <c r="S282" s="885">
        <f>$F282</f>
        <v>-21500</v>
      </c>
      <c r="T282" s="884">
        <f>$G282</f>
        <v>0.15140000000000001</v>
      </c>
      <c r="U282" s="879">
        <f>S282*T282*U$7</f>
        <v>-97653.000000000015</v>
      </c>
      <c r="V282" s="885">
        <f>$F282</f>
        <v>-21500</v>
      </c>
      <c r="W282" s="884">
        <f>$G282</f>
        <v>0.15140000000000001</v>
      </c>
      <c r="X282" s="879">
        <f>V282*W282*X$7</f>
        <v>-100908.1</v>
      </c>
      <c r="Y282" s="885">
        <f>$F282</f>
        <v>-21500</v>
      </c>
      <c r="Z282" s="884">
        <f>$G282</f>
        <v>0.15140000000000001</v>
      </c>
      <c r="AA282" s="879">
        <f>Y282*Z282*AA$7</f>
        <v>-97653.000000000015</v>
      </c>
      <c r="AB282" s="885">
        <f>$F282</f>
        <v>-21500</v>
      </c>
      <c r="AC282" s="884">
        <f>$G282</f>
        <v>0.15140000000000001</v>
      </c>
      <c r="AD282" s="879">
        <f>AB282*AC282*AD$7</f>
        <v>-100908.1</v>
      </c>
      <c r="AE282" s="885">
        <f>$F282</f>
        <v>-21500</v>
      </c>
      <c r="AF282" s="884">
        <f>$G282</f>
        <v>0.15140000000000001</v>
      </c>
      <c r="AG282" s="879">
        <f>AE282*AF282*AG$7</f>
        <v>-100908.1</v>
      </c>
      <c r="AH282" s="885">
        <f>$F282</f>
        <v>-21500</v>
      </c>
      <c r="AI282" s="884">
        <f>$G282</f>
        <v>0.15140000000000001</v>
      </c>
      <c r="AJ282" s="879">
        <f>AH282*AI282*AJ$7</f>
        <v>-97653.000000000015</v>
      </c>
      <c r="AK282" s="885">
        <f>$F282</f>
        <v>-21500</v>
      </c>
      <c r="AL282" s="884">
        <f>$G282</f>
        <v>0.15140000000000001</v>
      </c>
      <c r="AM282" s="879">
        <f>AK282*AL282*AM$7</f>
        <v>-100908.1</v>
      </c>
      <c r="AN282" s="885">
        <f>$F282</f>
        <v>-21500</v>
      </c>
      <c r="AO282" s="884">
        <f>$G282</f>
        <v>0.15140000000000001</v>
      </c>
      <c r="AP282" s="879">
        <f>AN282*AO282*AP$7</f>
        <v>-97653.000000000015</v>
      </c>
      <c r="AQ282" s="885">
        <f>$F282</f>
        <v>-21500</v>
      </c>
      <c r="AR282" s="884">
        <f>$G282</f>
        <v>0.15140000000000001</v>
      </c>
      <c r="AS282" s="879">
        <f>AQ282*AR282*AS$7</f>
        <v>-100908.1</v>
      </c>
      <c r="AT282" s="879"/>
      <c r="AV282" s="823">
        <f>AS282+AP282+AM282+AJ282+AG282+AD282+AA282+X282+U282+R282+O282+L282</f>
        <v>-1188111.5</v>
      </c>
      <c r="AW282" s="910"/>
      <c r="AY282" s="910"/>
      <c r="BB282" s="910"/>
    </row>
    <row r="283" spans="1:56" x14ac:dyDescent="0.2">
      <c r="A283" s="175">
        <v>26816</v>
      </c>
      <c r="B283" s="175" t="s">
        <v>27</v>
      </c>
      <c r="C283">
        <v>2002</v>
      </c>
      <c r="D283" s="181" t="s">
        <v>569</v>
      </c>
      <c r="E283" s="181">
        <v>38472</v>
      </c>
      <c r="F283" s="603">
        <v>21500</v>
      </c>
      <c r="G283" s="533">
        <v>0.15140000000000001</v>
      </c>
      <c r="H283" s="170">
        <v>1.8599999999999998E-2</v>
      </c>
      <c r="I283" s="884">
        <f>SUM(G283:H283)</f>
        <v>0.17</v>
      </c>
      <c r="J283" s="885">
        <f>$F283</f>
        <v>21500</v>
      </c>
      <c r="K283" s="884">
        <f>$G283</f>
        <v>0.15140000000000001</v>
      </c>
      <c r="L283" s="879">
        <f>J283*K283*L$7</f>
        <v>100908.1</v>
      </c>
      <c r="M283" s="885">
        <f>$F283</f>
        <v>21500</v>
      </c>
      <c r="N283" s="884">
        <f>$G283</f>
        <v>0.15140000000000001</v>
      </c>
      <c r="O283" s="879">
        <f>M283*N283*O$7</f>
        <v>91142.800000000017</v>
      </c>
      <c r="P283" s="885">
        <f>$F283</f>
        <v>21500</v>
      </c>
      <c r="Q283" s="884">
        <f>$G283</f>
        <v>0.15140000000000001</v>
      </c>
      <c r="R283" s="879">
        <f>P283*Q283*R$7</f>
        <v>100908.1</v>
      </c>
      <c r="S283" s="885">
        <f>$F283</f>
        <v>21500</v>
      </c>
      <c r="T283" s="884">
        <f>$G283</f>
        <v>0.15140000000000001</v>
      </c>
      <c r="U283" s="879">
        <f>S283*T283*U$7</f>
        <v>97653.000000000015</v>
      </c>
      <c r="V283" s="885">
        <f>$F283</f>
        <v>21500</v>
      </c>
      <c r="W283" s="884">
        <f>$G283</f>
        <v>0.15140000000000001</v>
      </c>
      <c r="X283" s="879">
        <f>V283*W283*X$7</f>
        <v>100908.1</v>
      </c>
      <c r="Y283" s="885">
        <f>$F283</f>
        <v>21500</v>
      </c>
      <c r="Z283" s="884">
        <f>$G283</f>
        <v>0.15140000000000001</v>
      </c>
      <c r="AA283" s="879">
        <f>Y283*Z283*AA$7</f>
        <v>97653.000000000015</v>
      </c>
      <c r="AB283" s="885">
        <f>$F283</f>
        <v>21500</v>
      </c>
      <c r="AC283" s="884">
        <f>$G283</f>
        <v>0.15140000000000001</v>
      </c>
      <c r="AD283" s="879">
        <f>AB283*AC283*AD$7</f>
        <v>100908.1</v>
      </c>
      <c r="AE283" s="885">
        <f>$F283</f>
        <v>21500</v>
      </c>
      <c r="AF283" s="884">
        <f>$G283</f>
        <v>0.15140000000000001</v>
      </c>
      <c r="AG283" s="879">
        <f>AE283*AF283*AG$7</f>
        <v>100908.1</v>
      </c>
      <c r="AH283" s="885">
        <f>$F283</f>
        <v>21500</v>
      </c>
      <c r="AI283" s="884">
        <f>$G283</f>
        <v>0.15140000000000001</v>
      </c>
      <c r="AJ283" s="879">
        <f>AH283*AI283*AJ$7</f>
        <v>97653.000000000015</v>
      </c>
      <c r="AK283" s="885">
        <f>$F283</f>
        <v>21500</v>
      </c>
      <c r="AL283" s="884">
        <f>$G283</f>
        <v>0.15140000000000001</v>
      </c>
      <c r="AM283" s="879">
        <f>AK283*AL283*AM$7</f>
        <v>100908.1</v>
      </c>
      <c r="AN283" s="885">
        <f>$F283</f>
        <v>21500</v>
      </c>
      <c r="AO283" s="884">
        <f>$G283</f>
        <v>0.15140000000000001</v>
      </c>
      <c r="AP283" s="879">
        <f>AN283*AO283*AP$7</f>
        <v>97653.000000000015</v>
      </c>
      <c r="AQ283" s="885">
        <f>$F283</f>
        <v>21500</v>
      </c>
      <c r="AR283" s="884">
        <f>$G283</f>
        <v>0.15140000000000001</v>
      </c>
      <c r="AS283" s="879">
        <f>AQ283*AR283*AS$7</f>
        <v>100908.1</v>
      </c>
      <c r="AT283" s="879"/>
      <c r="AV283" s="823">
        <f>AS283+AP283+AM283+AJ283+AG283+AD283+AA283+X283+U283+R283+O283+L283</f>
        <v>1188111.5</v>
      </c>
      <c r="AW283" s="910"/>
      <c r="AX283" s="33">
        <f>SUM(AV282:AV283)</f>
        <v>0</v>
      </c>
      <c r="AY283" s="910"/>
      <c r="BB283" s="910"/>
      <c r="BD283" s="33">
        <f>AX283</f>
        <v>0</v>
      </c>
    </row>
    <row r="284" spans="1:56" x14ac:dyDescent="0.2">
      <c r="A284" s="933"/>
      <c r="B284" s="925"/>
      <c r="D284" s="5"/>
      <c r="E284" s="926"/>
      <c r="F284" s="941"/>
      <c r="G284" s="883"/>
      <c r="H284" s="29"/>
      <c r="I284" s="884"/>
      <c r="J284" s="885"/>
      <c r="K284" s="884"/>
      <c r="L284" s="879"/>
      <c r="M284" s="885"/>
      <c r="N284" s="884"/>
      <c r="O284" s="879"/>
      <c r="P284" s="885"/>
      <c r="Q284" s="884"/>
      <c r="R284" s="879"/>
      <c r="S284" s="885"/>
      <c r="T284" s="884"/>
      <c r="U284" s="879"/>
      <c r="V284" s="885"/>
      <c r="W284" s="884"/>
      <c r="X284" s="879"/>
      <c r="Y284" s="885"/>
      <c r="Z284" s="884"/>
      <c r="AA284" s="879"/>
      <c r="AB284" s="885"/>
      <c r="AC284" s="884"/>
      <c r="AD284" s="879"/>
      <c r="AE284" s="885"/>
      <c r="AF284" s="884"/>
      <c r="AG284" s="879"/>
      <c r="AH284" s="885"/>
      <c r="AI284" s="884"/>
      <c r="AJ284" s="879"/>
      <c r="AK284" s="885"/>
      <c r="AL284" s="884"/>
      <c r="AM284" s="879"/>
      <c r="AN284" s="885"/>
      <c r="AO284" s="884"/>
      <c r="AP284" s="879"/>
      <c r="AQ284" s="885"/>
      <c r="AR284" s="884"/>
      <c r="AS284" s="879"/>
      <c r="AT284" s="879"/>
      <c r="AV284" s="33"/>
      <c r="AW284" s="886"/>
      <c r="AY284" s="886"/>
      <c r="BB284" s="886"/>
    </row>
    <row r="285" spans="1:56" x14ac:dyDescent="0.2">
      <c r="A285" s="933">
        <v>26884</v>
      </c>
      <c r="B285" s="925" t="s">
        <v>738</v>
      </c>
      <c r="C285">
        <v>2001</v>
      </c>
      <c r="D285" s="5"/>
      <c r="E285" s="926">
        <v>38656</v>
      </c>
      <c r="F285" s="943">
        <v>-40000</v>
      </c>
      <c r="G285" s="883">
        <v>0.18390000000000001</v>
      </c>
      <c r="H285" s="29">
        <v>1.8599999999999998E-2</v>
      </c>
      <c r="I285" s="884">
        <f>SUM(G285:H285)</f>
        <v>0.20250000000000001</v>
      </c>
      <c r="J285" s="885">
        <f>$F285</f>
        <v>-40000</v>
      </c>
      <c r="K285" s="884">
        <f>$G285</f>
        <v>0.18390000000000001</v>
      </c>
      <c r="L285" s="879">
        <f>J285*K285*L$7</f>
        <v>-228036</v>
      </c>
      <c r="M285" s="885">
        <f>$F285</f>
        <v>-40000</v>
      </c>
      <c r="N285" s="884">
        <f>$G285</f>
        <v>0.18390000000000001</v>
      </c>
      <c r="O285" s="879">
        <f>M285*N285*O$7</f>
        <v>-205968</v>
      </c>
      <c r="P285" s="885">
        <f>$F285</f>
        <v>-40000</v>
      </c>
      <c r="Q285" s="884">
        <f>$G285</f>
        <v>0.18390000000000001</v>
      </c>
      <c r="R285" s="879">
        <f>P285*Q285*R$7</f>
        <v>-228036</v>
      </c>
      <c r="S285" s="885">
        <f>$F285</f>
        <v>-40000</v>
      </c>
      <c r="T285" s="884">
        <f>$G285</f>
        <v>0.18390000000000001</v>
      </c>
      <c r="U285" s="879">
        <f>S285*T285*U$7</f>
        <v>-220680</v>
      </c>
      <c r="V285" s="885">
        <f>$F285</f>
        <v>-40000</v>
      </c>
      <c r="W285" s="884">
        <f>$G285</f>
        <v>0.18390000000000001</v>
      </c>
      <c r="X285" s="879">
        <f>V285*W285*X$7</f>
        <v>-228036</v>
      </c>
      <c r="Y285" s="885">
        <f>$F285</f>
        <v>-40000</v>
      </c>
      <c r="Z285" s="884">
        <f>$G285</f>
        <v>0.18390000000000001</v>
      </c>
      <c r="AA285" s="879">
        <f>Y285*Z285*AA$7</f>
        <v>-220680</v>
      </c>
      <c r="AB285" s="885">
        <f>$F285</f>
        <v>-40000</v>
      </c>
      <c r="AC285" s="884">
        <f>$G285</f>
        <v>0.18390000000000001</v>
      </c>
      <c r="AD285" s="879">
        <f>AB285*AC285*AD$7</f>
        <v>-228036</v>
      </c>
      <c r="AE285" s="885">
        <f>$F285</f>
        <v>-40000</v>
      </c>
      <c r="AF285" s="884">
        <f>$G285</f>
        <v>0.18390000000000001</v>
      </c>
      <c r="AG285" s="879">
        <f>AE285*AF285*AG$7</f>
        <v>-228036</v>
      </c>
      <c r="AH285" s="885">
        <f>$F285</f>
        <v>-40000</v>
      </c>
      <c r="AI285" s="884">
        <f>$G285</f>
        <v>0.18390000000000001</v>
      </c>
      <c r="AJ285" s="879">
        <f>AH285*AI285*AJ$7</f>
        <v>-220680</v>
      </c>
      <c r="AK285" s="885">
        <f>$F285</f>
        <v>-40000</v>
      </c>
      <c r="AL285" s="884">
        <f>$G285</f>
        <v>0.18390000000000001</v>
      </c>
      <c r="AM285" s="879">
        <f>AK285*AL285*AM$7</f>
        <v>-228036</v>
      </c>
      <c r="AN285" s="885">
        <f>$F285</f>
        <v>-40000</v>
      </c>
      <c r="AO285" s="884">
        <f>$G285</f>
        <v>0.18390000000000001</v>
      </c>
      <c r="AP285" s="879">
        <f>AN285*AO285*AP$7</f>
        <v>-220680</v>
      </c>
      <c r="AQ285" s="885">
        <f>$F285</f>
        <v>-40000</v>
      </c>
      <c r="AR285" s="884">
        <f>$G285</f>
        <v>0.18390000000000001</v>
      </c>
      <c r="AS285" s="879">
        <f>AQ285*AR285*AS$7</f>
        <v>-228036</v>
      </c>
      <c r="AT285" s="879"/>
      <c r="AV285" s="823">
        <f>AS285+AP285+AM285+AJ285+AG285+AD285+AA285+X285+U285+R285+O285+L285</f>
        <v>-2684940</v>
      </c>
      <c r="AW285" s="910"/>
      <c r="AY285" s="910"/>
      <c r="BB285" s="910"/>
    </row>
    <row r="286" spans="1:56" x14ac:dyDescent="0.2">
      <c r="A286" s="175">
        <v>26884</v>
      </c>
      <c r="B286" s="175" t="s">
        <v>575</v>
      </c>
      <c r="C286">
        <v>2002</v>
      </c>
      <c r="D286" s="181" t="s">
        <v>569</v>
      </c>
      <c r="E286" s="181">
        <v>38656</v>
      </c>
      <c r="F286" s="182">
        <v>40000</v>
      </c>
      <c r="G286" s="170">
        <v>0.18390000000000001</v>
      </c>
      <c r="H286" s="170">
        <v>1.8599999999999998E-2</v>
      </c>
      <c r="I286" s="884">
        <f>SUM(G286:H286)</f>
        <v>0.20250000000000001</v>
      </c>
      <c r="J286" s="885">
        <f>$F286</f>
        <v>40000</v>
      </c>
      <c r="K286" s="884">
        <f>$G286</f>
        <v>0.18390000000000001</v>
      </c>
      <c r="L286" s="879">
        <f>J286*K286*L$7</f>
        <v>228036</v>
      </c>
      <c r="M286" s="885">
        <f>$F286</f>
        <v>40000</v>
      </c>
      <c r="N286" s="884">
        <f>$G286</f>
        <v>0.18390000000000001</v>
      </c>
      <c r="O286" s="879">
        <f>M286*N286*O$7</f>
        <v>205968</v>
      </c>
      <c r="P286" s="885">
        <f>$F286</f>
        <v>40000</v>
      </c>
      <c r="Q286" s="884">
        <f>$G286</f>
        <v>0.18390000000000001</v>
      </c>
      <c r="R286" s="879">
        <f>P286*Q286*R$7</f>
        <v>228036</v>
      </c>
      <c r="S286" s="885">
        <f>$F286</f>
        <v>40000</v>
      </c>
      <c r="T286" s="884">
        <f>$G286</f>
        <v>0.18390000000000001</v>
      </c>
      <c r="U286" s="879">
        <f>S286*T286*U$7</f>
        <v>220680</v>
      </c>
      <c r="V286" s="885">
        <f>$F286</f>
        <v>40000</v>
      </c>
      <c r="W286" s="884">
        <f>$G286</f>
        <v>0.18390000000000001</v>
      </c>
      <c r="X286" s="879">
        <f>V286*W286*X$7</f>
        <v>228036</v>
      </c>
      <c r="Y286" s="885">
        <f>$F286</f>
        <v>40000</v>
      </c>
      <c r="Z286" s="884">
        <f>$G286</f>
        <v>0.18390000000000001</v>
      </c>
      <c r="AA286" s="879">
        <f>Y286*Z286*AA$7</f>
        <v>220680</v>
      </c>
      <c r="AB286" s="885">
        <f>$F286</f>
        <v>40000</v>
      </c>
      <c r="AC286" s="884">
        <f>$G286</f>
        <v>0.18390000000000001</v>
      </c>
      <c r="AD286" s="879">
        <f>AB286*AC286*AD$7</f>
        <v>228036</v>
      </c>
      <c r="AE286" s="885">
        <f>$F286</f>
        <v>40000</v>
      </c>
      <c r="AF286" s="884">
        <f>$G286</f>
        <v>0.18390000000000001</v>
      </c>
      <c r="AG286" s="879">
        <f>AE286*AF286*AG$7</f>
        <v>228036</v>
      </c>
      <c r="AH286" s="885">
        <f>$F286</f>
        <v>40000</v>
      </c>
      <c r="AI286" s="884">
        <f>$G286</f>
        <v>0.18390000000000001</v>
      </c>
      <c r="AJ286" s="879">
        <f>AH286*AI286*AJ$7</f>
        <v>220680</v>
      </c>
      <c r="AK286" s="885">
        <f>$F286</f>
        <v>40000</v>
      </c>
      <c r="AL286" s="884">
        <f>$G286</f>
        <v>0.18390000000000001</v>
      </c>
      <c r="AM286" s="879">
        <f>AK286*AL286*AM$7</f>
        <v>228036</v>
      </c>
      <c r="AN286" s="885">
        <f>$F286</f>
        <v>40000</v>
      </c>
      <c r="AO286" s="884">
        <f>$G286</f>
        <v>0.18390000000000001</v>
      </c>
      <c r="AP286" s="879">
        <f>AN286*AO286*AP$7</f>
        <v>220680</v>
      </c>
      <c r="AQ286" s="885">
        <f>$F286</f>
        <v>40000</v>
      </c>
      <c r="AR286" s="884">
        <f>$G286</f>
        <v>0.18390000000000001</v>
      </c>
      <c r="AS286" s="879">
        <f>AQ286*AR286*AS$7</f>
        <v>228036</v>
      </c>
      <c r="AT286" s="879"/>
      <c r="AV286" s="823">
        <f>AS286+AP286+AM286+AJ286+AG286+AD286+AA286+X286+U286+R286+O286+L286</f>
        <v>2684940</v>
      </c>
      <c r="AW286" s="910"/>
      <c r="AX286" s="33">
        <f>SUM(AV285:AV286)</f>
        <v>0</v>
      </c>
      <c r="AY286" s="910"/>
      <c r="BB286" s="910"/>
      <c r="BD286" s="33">
        <f>AX286</f>
        <v>0</v>
      </c>
    </row>
    <row r="287" spans="1:56" x14ac:dyDescent="0.2">
      <c r="A287" s="933"/>
      <c r="B287" s="925"/>
      <c r="D287" s="5"/>
      <c r="E287" s="926"/>
      <c r="F287" s="941"/>
      <c r="G287" s="883"/>
      <c r="H287" s="29"/>
      <c r="I287" s="884"/>
      <c r="J287" s="885"/>
      <c r="K287" s="884"/>
      <c r="L287" s="879"/>
      <c r="M287" s="885"/>
      <c r="N287" s="884"/>
      <c r="O287" s="879"/>
      <c r="P287" s="885"/>
      <c r="Q287" s="884"/>
      <c r="R287" s="879"/>
      <c r="S287" s="885"/>
      <c r="T287" s="884"/>
      <c r="U287" s="879"/>
      <c r="V287" s="885"/>
      <c r="W287" s="884"/>
      <c r="X287" s="879"/>
      <c r="Y287" s="885"/>
      <c r="Z287" s="884"/>
      <c r="AA287" s="879"/>
      <c r="AB287" s="885"/>
      <c r="AC287" s="884"/>
      <c r="AD287" s="879"/>
      <c r="AE287" s="885"/>
      <c r="AF287" s="884"/>
      <c r="AG287" s="879"/>
      <c r="AH287" s="885"/>
      <c r="AI287" s="884"/>
      <c r="AJ287" s="879"/>
      <c r="AK287" s="885"/>
      <c r="AL287" s="884"/>
      <c r="AM287" s="879"/>
      <c r="AN287" s="885"/>
      <c r="AO287" s="884"/>
      <c r="AP287" s="879"/>
      <c r="AQ287" s="885"/>
      <c r="AR287" s="884"/>
      <c r="AS287" s="879"/>
      <c r="AT287" s="879"/>
      <c r="AV287" s="33"/>
      <c r="AW287" s="886"/>
      <c r="AY287" s="886"/>
      <c r="BB287" s="886"/>
    </row>
    <row r="288" spans="1:56" x14ac:dyDescent="0.2">
      <c r="A288" s="933">
        <v>26960</v>
      </c>
      <c r="B288" s="925" t="s">
        <v>299</v>
      </c>
      <c r="C288">
        <v>2001</v>
      </c>
      <c r="D288" s="816">
        <v>36617</v>
      </c>
      <c r="E288" s="926">
        <v>37346</v>
      </c>
      <c r="F288" s="941">
        <v>-20000</v>
      </c>
      <c r="G288" s="883">
        <v>0.1714</v>
      </c>
      <c r="H288" s="29">
        <v>1.8599999999999998E-2</v>
      </c>
      <c r="I288" s="884">
        <f>SUM(G288:H288)</f>
        <v>0.19</v>
      </c>
      <c r="J288" s="885">
        <f>$F288</f>
        <v>-20000</v>
      </c>
      <c r="K288" s="884">
        <f>$G288</f>
        <v>0.1714</v>
      </c>
      <c r="L288" s="879">
        <f>J288*K288*L$7</f>
        <v>-106268</v>
      </c>
      <c r="M288" s="885">
        <f>$F288</f>
        <v>-20000</v>
      </c>
      <c r="N288" s="884">
        <f>$G288</f>
        <v>0.1714</v>
      </c>
      <c r="O288" s="879">
        <f>M288*N288*O$7</f>
        <v>-95984</v>
      </c>
      <c r="P288" s="885">
        <f>$F288</f>
        <v>-20000</v>
      </c>
      <c r="Q288" s="884">
        <f>$G288</f>
        <v>0.1714</v>
      </c>
      <c r="R288" s="879">
        <f>P288*Q288*R$7</f>
        <v>-106268</v>
      </c>
      <c r="S288" s="885">
        <f>$F288</f>
        <v>-20000</v>
      </c>
      <c r="T288" s="884">
        <f>$G288</f>
        <v>0.1714</v>
      </c>
      <c r="U288" s="879">
        <f>S288*T288*U$7</f>
        <v>-102840</v>
      </c>
      <c r="V288" s="885">
        <f>$F288</f>
        <v>-20000</v>
      </c>
      <c r="W288" s="884">
        <f>$G288</f>
        <v>0.1714</v>
      </c>
      <c r="X288" s="879">
        <f>V288*W288*X$7</f>
        <v>-106268</v>
      </c>
      <c r="Y288" s="885">
        <f>$F288</f>
        <v>-20000</v>
      </c>
      <c r="Z288" s="884">
        <f>$G288</f>
        <v>0.1714</v>
      </c>
      <c r="AA288" s="879">
        <f>Y288*Z288*AA$7</f>
        <v>-102840</v>
      </c>
      <c r="AB288" s="885">
        <f>$F288</f>
        <v>-20000</v>
      </c>
      <c r="AC288" s="884">
        <f>$G288</f>
        <v>0.1714</v>
      </c>
      <c r="AD288" s="879">
        <f>AB288*AC288*AD$7</f>
        <v>-106268</v>
      </c>
      <c r="AE288" s="885">
        <f>$F288</f>
        <v>-20000</v>
      </c>
      <c r="AF288" s="884">
        <f>$G288</f>
        <v>0.1714</v>
      </c>
      <c r="AG288" s="879">
        <f>AE288*AF288*AG$7</f>
        <v>-106268</v>
      </c>
      <c r="AH288" s="885">
        <f>$F288</f>
        <v>-20000</v>
      </c>
      <c r="AI288" s="884">
        <f>$G288</f>
        <v>0.1714</v>
      </c>
      <c r="AJ288" s="879">
        <f>AH288*AI288*AJ$7</f>
        <v>-102840</v>
      </c>
      <c r="AK288" s="885">
        <f>$F288</f>
        <v>-20000</v>
      </c>
      <c r="AL288" s="884">
        <f>$G288</f>
        <v>0.1714</v>
      </c>
      <c r="AM288" s="879">
        <f>AK288*AL288*AM$7</f>
        <v>-106268</v>
      </c>
      <c r="AN288" s="885">
        <f>$F288</f>
        <v>-20000</v>
      </c>
      <c r="AO288" s="884">
        <f>$G288</f>
        <v>0.1714</v>
      </c>
      <c r="AP288" s="879">
        <f>AN288*AO288*AP$7</f>
        <v>-102840</v>
      </c>
      <c r="AQ288" s="885">
        <f>$F288</f>
        <v>-20000</v>
      </c>
      <c r="AR288" s="884">
        <f>$G288</f>
        <v>0.1714</v>
      </c>
      <c r="AS288" s="879">
        <f>AQ288*AR288*AS$7</f>
        <v>-106268</v>
      </c>
      <c r="AT288" s="879"/>
      <c r="AV288" s="823">
        <f>AS288+AP288+AM288+AJ288+AG288+AD288+AA288+X288+U288+R288+O288+L288</f>
        <v>-1251220</v>
      </c>
      <c r="AW288" s="910"/>
      <c r="AY288" s="910"/>
      <c r="BB288" s="910"/>
    </row>
    <row r="289" spans="1:58" x14ac:dyDescent="0.2">
      <c r="A289" s="175">
        <v>26960</v>
      </c>
      <c r="B289" s="175" t="s">
        <v>299</v>
      </c>
      <c r="C289">
        <v>2002</v>
      </c>
      <c r="D289" s="181"/>
      <c r="E289" s="181">
        <v>38077</v>
      </c>
      <c r="F289" s="182">
        <v>20000</v>
      </c>
      <c r="G289" s="170">
        <v>0.1714</v>
      </c>
      <c r="H289" s="170">
        <v>1.8599999999999998E-2</v>
      </c>
      <c r="I289" s="884">
        <f>SUM(G289:H289)</f>
        <v>0.19</v>
      </c>
      <c r="J289" s="885">
        <f>$F289</f>
        <v>20000</v>
      </c>
      <c r="K289" s="884">
        <f>$G289</f>
        <v>0.1714</v>
      </c>
      <c r="L289" s="879">
        <f>J289*K289*L$7</f>
        <v>106268</v>
      </c>
      <c r="M289" s="885">
        <f>$F289</f>
        <v>20000</v>
      </c>
      <c r="N289" s="884">
        <f>$G289</f>
        <v>0.1714</v>
      </c>
      <c r="O289" s="879">
        <f>M289*N289*O$7</f>
        <v>95984</v>
      </c>
      <c r="P289" s="885">
        <f>$F289</f>
        <v>20000</v>
      </c>
      <c r="Q289" s="884">
        <f>$G289</f>
        <v>0.1714</v>
      </c>
      <c r="R289" s="879">
        <f>P289*Q289*R$7</f>
        <v>106268</v>
      </c>
      <c r="S289" s="885">
        <f>$F289</f>
        <v>20000</v>
      </c>
      <c r="T289" s="884">
        <f>$G289</f>
        <v>0.1714</v>
      </c>
      <c r="U289" s="879">
        <f>S289*T289*U$7</f>
        <v>102840</v>
      </c>
      <c r="V289" s="885">
        <f>$F289</f>
        <v>20000</v>
      </c>
      <c r="W289" s="884">
        <f>$G289</f>
        <v>0.1714</v>
      </c>
      <c r="X289" s="879">
        <f>V289*W289*X$7</f>
        <v>106268</v>
      </c>
      <c r="Y289" s="885">
        <f>$F289</f>
        <v>20000</v>
      </c>
      <c r="Z289" s="884">
        <f>$G289</f>
        <v>0.1714</v>
      </c>
      <c r="AA289" s="879">
        <f>Y289*Z289*AA$7</f>
        <v>102840</v>
      </c>
      <c r="AB289" s="885">
        <f>$F289</f>
        <v>20000</v>
      </c>
      <c r="AC289" s="884">
        <f>$G289</f>
        <v>0.1714</v>
      </c>
      <c r="AD289" s="879">
        <f>AB289*AC289*AD$7</f>
        <v>106268</v>
      </c>
      <c r="AE289" s="885">
        <f>$F289</f>
        <v>20000</v>
      </c>
      <c r="AF289" s="884">
        <f>$G289</f>
        <v>0.1714</v>
      </c>
      <c r="AG289" s="879">
        <f>AE289*AF289*AG$7</f>
        <v>106268</v>
      </c>
      <c r="AH289" s="885">
        <f>$F289</f>
        <v>20000</v>
      </c>
      <c r="AI289" s="884">
        <f>$G289</f>
        <v>0.1714</v>
      </c>
      <c r="AJ289" s="879">
        <f>AH289*AI289*AJ$7</f>
        <v>102840</v>
      </c>
      <c r="AK289" s="885">
        <f>$F289</f>
        <v>20000</v>
      </c>
      <c r="AL289" s="884">
        <f>$G289</f>
        <v>0.1714</v>
      </c>
      <c r="AM289" s="879">
        <f>AK289*AL289*AM$7</f>
        <v>106268</v>
      </c>
      <c r="AN289" s="885">
        <f>$F289</f>
        <v>20000</v>
      </c>
      <c r="AO289" s="884">
        <f>$G289</f>
        <v>0.1714</v>
      </c>
      <c r="AP289" s="879">
        <f>AN289*AO289*AP$7</f>
        <v>102840</v>
      </c>
      <c r="AQ289" s="885">
        <f>$F289</f>
        <v>20000</v>
      </c>
      <c r="AR289" s="884">
        <f>$G289</f>
        <v>0.1714</v>
      </c>
      <c r="AS289" s="879">
        <f>AQ289*AR289*AS$7</f>
        <v>106268</v>
      </c>
      <c r="AT289" s="879"/>
      <c r="AV289" s="823">
        <f>AS289+AP289+AM289+AJ289+AG289+AD289+AA289+X289+U289+R289+O289+L289</f>
        <v>1251220</v>
      </c>
      <c r="AW289" s="910"/>
      <c r="AX289" s="33">
        <f>SUM(AV288:AV289)</f>
        <v>0</v>
      </c>
      <c r="AY289" s="910"/>
      <c r="BB289" s="910"/>
      <c r="BD289" s="33">
        <f>AX289</f>
        <v>0</v>
      </c>
    </row>
    <row r="290" spans="1:58" x14ac:dyDescent="0.2">
      <c r="AW290" s="389"/>
      <c r="AY290" s="389"/>
      <c r="BB290" s="389"/>
    </row>
    <row r="291" spans="1:58" x14ac:dyDescent="0.2">
      <c r="A291" s="175">
        <v>27454</v>
      </c>
      <c r="B291" s="175" t="s">
        <v>289</v>
      </c>
      <c r="C291">
        <v>2002</v>
      </c>
      <c r="D291" s="181">
        <v>37257</v>
      </c>
      <c r="E291" s="181">
        <v>37621</v>
      </c>
      <c r="F291" s="733">
        <v>27500</v>
      </c>
      <c r="G291" s="170">
        <v>0.3659</v>
      </c>
      <c r="H291" s="170">
        <v>1.8599999999999998E-2</v>
      </c>
      <c r="I291" s="884">
        <f>SUM(G291:H291)</f>
        <v>0.38450000000000001</v>
      </c>
      <c r="J291" s="885">
        <f>$F291</f>
        <v>27500</v>
      </c>
      <c r="K291" s="884">
        <f>$G291</f>
        <v>0.3659</v>
      </c>
      <c r="L291" s="879">
        <f>J291*K291*L$7</f>
        <v>311929.75</v>
      </c>
      <c r="M291" s="885">
        <f>$F291</f>
        <v>27500</v>
      </c>
      <c r="N291" s="884">
        <f>$G291</f>
        <v>0.3659</v>
      </c>
      <c r="O291" s="879">
        <f>M291*N291*O$7</f>
        <v>281743</v>
      </c>
      <c r="P291" s="885">
        <f>$F291</f>
        <v>27500</v>
      </c>
      <c r="Q291" s="884">
        <f>$G291</f>
        <v>0.3659</v>
      </c>
      <c r="R291" s="879">
        <f>P291*Q291*R$7</f>
        <v>311929.75</v>
      </c>
      <c r="S291" s="885">
        <f>$F291</f>
        <v>27500</v>
      </c>
      <c r="T291" s="884">
        <f>$G291</f>
        <v>0.3659</v>
      </c>
      <c r="U291" s="879">
        <f>S291*T291*U$7</f>
        <v>301867.5</v>
      </c>
      <c r="V291" s="885">
        <f>$F291</f>
        <v>27500</v>
      </c>
      <c r="W291" s="884">
        <f>$G291</f>
        <v>0.3659</v>
      </c>
      <c r="X291" s="879">
        <f>V291*W291*X$7</f>
        <v>311929.75</v>
      </c>
      <c r="Y291" s="885">
        <f>$F291</f>
        <v>27500</v>
      </c>
      <c r="Z291" s="884">
        <f>$G291</f>
        <v>0.3659</v>
      </c>
      <c r="AA291" s="879">
        <f>Y291*Z291*AA$7</f>
        <v>301867.5</v>
      </c>
      <c r="AB291" s="885">
        <f>$F291</f>
        <v>27500</v>
      </c>
      <c r="AC291" s="884">
        <f>$G291</f>
        <v>0.3659</v>
      </c>
      <c r="AD291" s="879">
        <f>AB291*AC291*AD$7</f>
        <v>311929.75</v>
      </c>
      <c r="AE291" s="885">
        <f>$F291</f>
        <v>27500</v>
      </c>
      <c r="AF291" s="884">
        <f>$G291</f>
        <v>0.3659</v>
      </c>
      <c r="AG291" s="879">
        <f>AE291*AF291*AG$7</f>
        <v>311929.75</v>
      </c>
      <c r="AH291" s="885">
        <f>$F291</f>
        <v>27500</v>
      </c>
      <c r="AI291" s="884">
        <f>$G291</f>
        <v>0.3659</v>
      </c>
      <c r="AJ291" s="879">
        <f>AH291*AI291*AJ$7</f>
        <v>301867.5</v>
      </c>
      <c r="AK291" s="885">
        <f>$F291</f>
        <v>27500</v>
      </c>
      <c r="AL291" s="884">
        <f>$G291</f>
        <v>0.3659</v>
      </c>
      <c r="AM291" s="879">
        <f>AK291*AL291*AM$7</f>
        <v>311929.75</v>
      </c>
      <c r="AN291" s="885">
        <f>$F291</f>
        <v>27500</v>
      </c>
      <c r="AO291" s="884">
        <f>$G291</f>
        <v>0.3659</v>
      </c>
      <c r="AP291" s="879">
        <f>AN291*AO291*AP$7</f>
        <v>301867.5</v>
      </c>
      <c r="AQ291" s="885">
        <f>$F291</f>
        <v>27500</v>
      </c>
      <c r="AR291" s="884">
        <f>$G291</f>
        <v>0.3659</v>
      </c>
      <c r="AS291" s="879">
        <f>AQ291*AR291*AS$7</f>
        <v>311929.75</v>
      </c>
      <c r="AT291" s="879"/>
      <c r="AV291" s="823">
        <f>AS291+AP291+AM291+AJ291+AG291+AD291+AA291+X291+U291+R291+O291+L291</f>
        <v>3672721.25</v>
      </c>
      <c r="AW291" s="910"/>
      <c r="AY291" s="910"/>
      <c r="BB291" s="910"/>
    </row>
    <row r="292" spans="1:58" x14ac:dyDescent="0.2">
      <c r="A292" s="629">
        <v>27454</v>
      </c>
      <c r="B292" t="s">
        <v>635</v>
      </c>
      <c r="C292">
        <v>2002</v>
      </c>
      <c r="D292" s="745">
        <v>37257</v>
      </c>
      <c r="E292" s="745">
        <v>37621</v>
      </c>
      <c r="F292" s="944">
        <v>27500</v>
      </c>
      <c r="G292" s="884">
        <v>1.27</v>
      </c>
      <c r="H292" s="170"/>
      <c r="I292" s="884"/>
      <c r="J292" s="885"/>
      <c r="K292" s="884"/>
      <c r="L292" s="879">
        <v>751976.61</v>
      </c>
      <c r="M292" s="885"/>
      <c r="N292" s="884"/>
      <c r="O292" s="879">
        <v>679007.56</v>
      </c>
      <c r="P292" s="885"/>
      <c r="Q292" s="884"/>
      <c r="R292" s="879">
        <v>750230.69</v>
      </c>
      <c r="S292" s="885"/>
      <c r="T292" s="884"/>
      <c r="U292" s="879">
        <v>728564.1</v>
      </c>
      <c r="V292" s="885"/>
      <c r="W292" s="884"/>
      <c r="X292" s="879">
        <v>750230.69</v>
      </c>
      <c r="Y292" s="885"/>
      <c r="Z292" s="884"/>
      <c r="AA292" s="879">
        <v>726452.1</v>
      </c>
      <c r="AB292" s="885"/>
      <c r="AC292" s="884"/>
      <c r="AD292" s="879">
        <v>750885.41</v>
      </c>
      <c r="AE292" s="885"/>
      <c r="AF292" s="884"/>
      <c r="AG292" s="879">
        <v>750230.69</v>
      </c>
      <c r="AH292" s="885"/>
      <c r="AI292" s="884"/>
      <c r="AJ292" s="879">
        <v>727508.1</v>
      </c>
      <c r="AK292" s="885"/>
      <c r="AL292" s="884"/>
      <c r="AM292" s="879">
        <v>750230.69</v>
      </c>
      <c r="AN292" s="885"/>
      <c r="AO292" s="884"/>
      <c r="AP292" s="879">
        <v>725184.9</v>
      </c>
      <c r="AQ292" s="885"/>
      <c r="AR292" s="884"/>
      <c r="AS292" s="879">
        <v>749575.97</v>
      </c>
      <c r="AT292" s="879"/>
      <c r="AV292" s="823">
        <f>AS292+AP292+AM292+AJ292+AG292+AD292+AA292+X292+U292+R292+O292+L292</f>
        <v>8840077.5099999979</v>
      </c>
      <c r="AW292" s="910"/>
      <c r="AX292" s="33">
        <f>SUM(AV291:AV292)</f>
        <v>12512798.759999998</v>
      </c>
      <c r="AY292" s="910"/>
      <c r="BB292" s="910"/>
      <c r="BF292" s="33">
        <f>AX292</f>
        <v>12512798.759999998</v>
      </c>
    </row>
    <row r="293" spans="1:58" x14ac:dyDescent="0.2">
      <c r="A293" s="175"/>
      <c r="B293" s="175"/>
      <c r="D293" s="181"/>
      <c r="E293" s="181"/>
      <c r="F293" s="733"/>
      <c r="G293" s="170"/>
      <c r="H293" s="170"/>
      <c r="I293" s="884"/>
      <c r="J293" s="885"/>
      <c r="K293" s="884"/>
      <c r="L293" s="879"/>
      <c r="M293" s="885"/>
      <c r="N293" s="884"/>
      <c r="O293" s="879"/>
      <c r="P293" s="885"/>
      <c r="Q293" s="884"/>
      <c r="R293" s="879"/>
      <c r="S293" s="885"/>
      <c r="T293" s="884"/>
      <c r="U293" s="879"/>
      <c r="V293" s="885"/>
      <c r="W293" s="884"/>
      <c r="X293" s="879"/>
      <c r="Y293" s="885"/>
      <c r="Z293" s="884"/>
      <c r="AA293" s="879"/>
      <c r="AB293" s="885"/>
      <c r="AC293" s="884"/>
      <c r="AD293" s="879"/>
      <c r="AE293" s="885"/>
      <c r="AF293" s="884"/>
      <c r="AG293" s="879"/>
      <c r="AH293" s="885"/>
      <c r="AI293" s="884"/>
      <c r="AJ293" s="879"/>
      <c r="AK293" s="885"/>
      <c r="AL293" s="884"/>
      <c r="AM293" s="879"/>
      <c r="AN293" s="885"/>
      <c r="AO293" s="884"/>
      <c r="AP293" s="879"/>
      <c r="AQ293" s="885"/>
      <c r="AR293" s="884"/>
      <c r="AS293" s="879"/>
      <c r="AT293" s="879"/>
      <c r="AV293" s="33"/>
      <c r="AW293" s="886"/>
      <c r="AY293" s="886"/>
      <c r="BB293" s="886"/>
    </row>
    <row r="294" spans="1:58" x14ac:dyDescent="0.2">
      <c r="A294" s="175">
        <v>27456</v>
      </c>
      <c r="B294" s="175" t="s">
        <v>300</v>
      </c>
      <c r="C294">
        <v>2002</v>
      </c>
      <c r="D294" s="181">
        <v>37561</v>
      </c>
      <c r="E294" s="181">
        <v>37621</v>
      </c>
      <c r="F294" s="733">
        <v>21500</v>
      </c>
      <c r="G294" s="170">
        <v>0.3659</v>
      </c>
      <c r="H294" s="170">
        <v>1.8599999999999998E-2</v>
      </c>
      <c r="I294" s="884">
        <f>SUM(G294:H294)</f>
        <v>0.38450000000000001</v>
      </c>
      <c r="J294" s="885">
        <v>0</v>
      </c>
      <c r="K294" s="884">
        <f>$G294</f>
        <v>0.3659</v>
      </c>
      <c r="L294" s="879">
        <f>J294*K294*L$7</f>
        <v>0</v>
      </c>
      <c r="M294" s="885">
        <v>0</v>
      </c>
      <c r="N294" s="884">
        <f>$G294</f>
        <v>0.3659</v>
      </c>
      <c r="O294" s="879">
        <f>M294*N294*O$7</f>
        <v>0</v>
      </c>
      <c r="P294" s="885">
        <v>0</v>
      </c>
      <c r="Q294" s="884">
        <f>$G294</f>
        <v>0.3659</v>
      </c>
      <c r="R294" s="879">
        <f>P294*Q294*R$7</f>
        <v>0</v>
      </c>
      <c r="S294" s="885">
        <v>0</v>
      </c>
      <c r="T294" s="884">
        <f>$G294</f>
        <v>0.3659</v>
      </c>
      <c r="U294" s="879">
        <v>0</v>
      </c>
      <c r="V294" s="885">
        <v>0</v>
      </c>
      <c r="W294" s="884">
        <f>$G294</f>
        <v>0.3659</v>
      </c>
      <c r="X294" s="879">
        <f>V294*W294*X$7</f>
        <v>0</v>
      </c>
      <c r="Y294" s="885">
        <v>0</v>
      </c>
      <c r="Z294" s="884">
        <f>$G294</f>
        <v>0.3659</v>
      </c>
      <c r="AA294" s="879">
        <f>Y294*Z294*AA$7</f>
        <v>0</v>
      </c>
      <c r="AB294" s="885">
        <v>0</v>
      </c>
      <c r="AC294" s="884">
        <f>$G294</f>
        <v>0.3659</v>
      </c>
      <c r="AD294" s="879">
        <f>AB294*AC294*AD$7</f>
        <v>0</v>
      </c>
      <c r="AE294" s="885">
        <v>0</v>
      </c>
      <c r="AF294" s="884">
        <f>$G294</f>
        <v>0.3659</v>
      </c>
      <c r="AG294" s="879">
        <f>AE294*AF294*AG$7</f>
        <v>0</v>
      </c>
      <c r="AH294" s="885">
        <v>0</v>
      </c>
      <c r="AI294" s="884">
        <f>$G294</f>
        <v>0.3659</v>
      </c>
      <c r="AJ294" s="879">
        <f>AH294*AI294*AJ$7</f>
        <v>0</v>
      </c>
      <c r="AK294" s="885">
        <v>0</v>
      </c>
      <c r="AL294" s="884">
        <f>$G294</f>
        <v>0.3659</v>
      </c>
      <c r="AM294" s="879">
        <f>AK294*AL294*AM$7</f>
        <v>0</v>
      </c>
      <c r="AN294" s="885">
        <f>$F294</f>
        <v>21500</v>
      </c>
      <c r="AO294" s="884">
        <f>$G294</f>
        <v>0.3659</v>
      </c>
      <c r="AP294" s="879">
        <f>AN294*AO294*AP$7</f>
        <v>236005.5</v>
      </c>
      <c r="AQ294" s="885">
        <f>$F294</f>
        <v>21500</v>
      </c>
      <c r="AR294" s="884">
        <f>$G294</f>
        <v>0.3659</v>
      </c>
      <c r="AS294" s="879">
        <f>AQ294*AR294*AS$7</f>
        <v>243872.35</v>
      </c>
      <c r="AT294" s="879"/>
      <c r="AV294" s="823">
        <f>AS294+AP294+AM294+AJ294+AG294+AD294+AA294+X294+U294+R294+O294+L294</f>
        <v>479877.85</v>
      </c>
      <c r="AW294" s="910"/>
      <c r="AY294" s="910"/>
      <c r="BB294" s="910"/>
    </row>
    <row r="295" spans="1:58" x14ac:dyDescent="0.2">
      <c r="A295" s="629">
        <v>27456</v>
      </c>
      <c r="B295" t="s">
        <v>636</v>
      </c>
      <c r="C295">
        <v>2002</v>
      </c>
      <c r="D295" s="745">
        <v>37561</v>
      </c>
      <c r="E295" s="745">
        <v>37621</v>
      </c>
      <c r="F295" s="944">
        <v>21500</v>
      </c>
      <c r="G295" s="884">
        <v>1.03</v>
      </c>
      <c r="H295" s="170"/>
      <c r="I295" s="884"/>
      <c r="J295" s="885"/>
      <c r="K295" s="884"/>
      <c r="L295" s="879"/>
      <c r="M295" s="885"/>
      <c r="N295" s="884"/>
      <c r="O295" s="879"/>
      <c r="P295" s="885"/>
      <c r="Q295" s="884"/>
      <c r="R295" s="879"/>
      <c r="S295" s="885"/>
      <c r="T295" s="884"/>
      <c r="U295" s="879"/>
      <c r="V295" s="885"/>
      <c r="W295" s="884"/>
      <c r="X295" s="879"/>
      <c r="Y295" s="885"/>
      <c r="Z295" s="884"/>
      <c r="AA295" s="879"/>
      <c r="AB295" s="885"/>
      <c r="AC295" s="884"/>
      <c r="AD295" s="879"/>
      <c r="AE295" s="885"/>
      <c r="AF295" s="884"/>
      <c r="AG295" s="879"/>
      <c r="AH295" s="885"/>
      <c r="AI295" s="884"/>
      <c r="AJ295" s="879"/>
      <c r="AK295" s="885"/>
      <c r="AL295" s="884"/>
      <c r="AM295" s="879"/>
      <c r="AN295" s="885"/>
      <c r="AO295" s="884"/>
      <c r="AP295" s="879">
        <v>412162.74</v>
      </c>
      <c r="AQ295" s="885"/>
      <c r="AR295" s="884"/>
      <c r="AS295" s="879">
        <v>426072.12200000003</v>
      </c>
      <c r="AT295" s="879"/>
      <c r="AV295" s="823">
        <f>AS295+AP295+AM295+AJ295+AG295+AD295+AA295+X295+U295+R295+O295+L295</f>
        <v>838234.86199999996</v>
      </c>
      <c r="AW295" s="910"/>
      <c r="AX295" s="33">
        <f>SUM(AV294:AV295)</f>
        <v>1318112.7119999998</v>
      </c>
      <c r="AY295" s="910"/>
      <c r="BB295" s="910"/>
      <c r="BF295" s="33">
        <f>AX295</f>
        <v>1318112.7119999998</v>
      </c>
    </row>
    <row r="296" spans="1:58" x14ac:dyDescent="0.2">
      <c r="A296" s="175"/>
      <c r="B296" s="175"/>
      <c r="D296" s="181"/>
      <c r="E296" s="181"/>
      <c r="F296" s="733"/>
      <c r="G296" s="170"/>
      <c r="H296" s="170"/>
      <c r="I296" s="884"/>
      <c r="J296" s="885"/>
      <c r="K296" s="884"/>
      <c r="L296" s="879"/>
      <c r="M296" s="885"/>
      <c r="N296" s="884"/>
      <c r="O296" s="879"/>
      <c r="P296" s="885"/>
      <c r="Q296" s="884"/>
      <c r="R296" s="879"/>
      <c r="S296" s="885"/>
      <c r="T296" s="884"/>
      <c r="U296" s="879"/>
      <c r="V296" s="885"/>
      <c r="W296" s="884"/>
      <c r="X296" s="879"/>
      <c r="Y296" s="885"/>
      <c r="Z296" s="884"/>
      <c r="AA296" s="879"/>
      <c r="AB296" s="885"/>
      <c r="AC296" s="884"/>
      <c r="AD296" s="879"/>
      <c r="AE296" s="885"/>
      <c r="AF296" s="884"/>
      <c r="AG296" s="879"/>
      <c r="AH296" s="885"/>
      <c r="AI296" s="884"/>
      <c r="AJ296" s="879"/>
      <c r="AK296" s="885"/>
      <c r="AL296" s="884"/>
      <c r="AM296" s="879"/>
      <c r="AN296" s="885"/>
      <c r="AO296" s="884"/>
      <c r="AP296" s="879"/>
      <c r="AQ296" s="885"/>
      <c r="AR296" s="884"/>
      <c r="AS296" s="879"/>
      <c r="AT296" s="879"/>
      <c r="AV296" s="33"/>
      <c r="AW296" s="886"/>
      <c r="AY296" s="886"/>
      <c r="BB296" s="886"/>
    </row>
    <row r="297" spans="1:58" s="906" customFormat="1" x14ac:dyDescent="0.2">
      <c r="A297" s="519">
        <v>27566</v>
      </c>
      <c r="B297" s="519" t="s">
        <v>293</v>
      </c>
      <c r="C297">
        <v>2002</v>
      </c>
      <c r="D297" s="524">
        <v>37316</v>
      </c>
      <c r="E297" s="524">
        <v>39172</v>
      </c>
      <c r="F297" s="522">
        <v>20000</v>
      </c>
      <c r="G297" s="525">
        <v>0.3679</v>
      </c>
      <c r="H297" s="525">
        <f>0.0186+0.005</f>
        <v>2.3599999999999999E-2</v>
      </c>
      <c r="I297" s="903">
        <f>SUM(G297:H297)</f>
        <v>0.39150000000000001</v>
      </c>
      <c r="J297" s="904">
        <v>0</v>
      </c>
      <c r="K297" s="903">
        <f>$G297</f>
        <v>0.3679</v>
      </c>
      <c r="L297" s="905">
        <f>J297*K297*L$7</f>
        <v>0</v>
      </c>
      <c r="M297" s="904">
        <v>0</v>
      </c>
      <c r="N297" s="903">
        <f>$G297</f>
        <v>0.3679</v>
      </c>
      <c r="O297" s="905">
        <f>M297*N297*O$7</f>
        <v>0</v>
      </c>
      <c r="P297" s="904">
        <f>$F297</f>
        <v>20000</v>
      </c>
      <c r="Q297" s="903">
        <f>$G297</f>
        <v>0.3679</v>
      </c>
      <c r="R297" s="905">
        <f>P297*Q297*R$7</f>
        <v>228098</v>
      </c>
      <c r="S297" s="904">
        <f>$F297</f>
        <v>20000</v>
      </c>
      <c r="T297" s="903">
        <f>$G297</f>
        <v>0.3679</v>
      </c>
      <c r="U297" s="905">
        <f>S297*T297*U$7</f>
        <v>220740</v>
      </c>
      <c r="V297" s="904">
        <f>$F297</f>
        <v>20000</v>
      </c>
      <c r="W297" s="903">
        <f>$G297</f>
        <v>0.3679</v>
      </c>
      <c r="X297" s="905">
        <f>V297*W297*X$7</f>
        <v>228098</v>
      </c>
      <c r="Y297" s="904">
        <f>$F297</f>
        <v>20000</v>
      </c>
      <c r="Z297" s="903">
        <f>$G297</f>
        <v>0.3679</v>
      </c>
      <c r="AA297" s="905">
        <f>Y297*Z297*AA$7</f>
        <v>220740</v>
      </c>
      <c r="AB297" s="904">
        <f>$F297</f>
        <v>20000</v>
      </c>
      <c r="AC297" s="903">
        <f>$G297</f>
        <v>0.3679</v>
      </c>
      <c r="AD297" s="905">
        <f>AB297*AC297*AD$7</f>
        <v>228098</v>
      </c>
      <c r="AE297" s="904">
        <f>$F297</f>
        <v>20000</v>
      </c>
      <c r="AF297" s="903">
        <f>$G297</f>
        <v>0.3679</v>
      </c>
      <c r="AG297" s="905">
        <f>AE297*AF297*AG$7</f>
        <v>228098</v>
      </c>
      <c r="AH297" s="904">
        <f>$F297</f>
        <v>20000</v>
      </c>
      <c r="AI297" s="903">
        <f>$G297</f>
        <v>0.3679</v>
      </c>
      <c r="AJ297" s="905">
        <f>AH297*AI297*AJ$7</f>
        <v>220740</v>
      </c>
      <c r="AK297" s="904">
        <f>$F297</f>
        <v>20000</v>
      </c>
      <c r="AL297" s="903">
        <f>$G297</f>
        <v>0.3679</v>
      </c>
      <c r="AM297" s="905">
        <f>AK297*AL297*AM$7</f>
        <v>228098</v>
      </c>
      <c r="AN297" s="904">
        <f>$F297</f>
        <v>20000</v>
      </c>
      <c r="AO297" s="903">
        <f>$G297</f>
        <v>0.3679</v>
      </c>
      <c r="AP297" s="905">
        <f>AN297*AO297*AP$7</f>
        <v>220740</v>
      </c>
      <c r="AQ297" s="904">
        <f>$F297</f>
        <v>20000</v>
      </c>
      <c r="AR297" s="903">
        <f>$G297</f>
        <v>0.3679</v>
      </c>
      <c r="AS297" s="905">
        <f>AQ297*AR297*AS$7</f>
        <v>228098</v>
      </c>
      <c r="AT297" s="905"/>
      <c r="AV297" s="823">
        <f>AS297+AP297+AM297+AJ297+AG297+AD297+AA297+X297+U297+R297+O297+L297</f>
        <v>2251548</v>
      </c>
      <c r="AW297" s="910"/>
      <c r="AX297" s="907">
        <f>AV297</f>
        <v>2251548</v>
      </c>
      <c r="AY297" s="910"/>
      <c r="AZ297" s="907"/>
      <c r="BA297" s="907"/>
      <c r="BB297" s="910"/>
      <c r="BC297" s="907"/>
      <c r="BD297" s="33">
        <f>AX297</f>
        <v>2251548</v>
      </c>
    </row>
    <row r="298" spans="1:58" x14ac:dyDescent="0.2">
      <c r="A298" s="933"/>
      <c r="B298" s="925"/>
      <c r="D298" s="5"/>
      <c r="E298" s="926"/>
      <c r="F298" s="943"/>
      <c r="G298" s="883"/>
      <c r="H298" s="29"/>
      <c r="I298" s="884"/>
      <c r="J298" s="885"/>
      <c r="K298" s="884"/>
      <c r="L298" s="879"/>
      <c r="M298" s="885"/>
      <c r="N298" s="884"/>
      <c r="O298" s="879"/>
      <c r="P298" s="885"/>
      <c r="Q298" s="884"/>
      <c r="R298" s="879"/>
      <c r="S298" s="885"/>
      <c r="T298" s="884"/>
      <c r="U298" s="879"/>
      <c r="V298" s="885"/>
      <c r="W298" s="884"/>
      <c r="X298" s="879"/>
      <c r="Y298" s="885"/>
      <c r="Z298" s="884"/>
      <c r="AA298" s="879"/>
      <c r="AB298" s="885"/>
      <c r="AC298" s="884"/>
      <c r="AD298" s="879"/>
      <c r="AE298" s="885"/>
      <c r="AF298" s="884"/>
      <c r="AG298" s="879"/>
      <c r="AH298" s="885"/>
      <c r="AI298" s="884"/>
      <c r="AJ298" s="879"/>
      <c r="AK298" s="885"/>
      <c r="AL298" s="884"/>
      <c r="AM298" s="879"/>
      <c r="AN298" s="885"/>
      <c r="AO298" s="884"/>
      <c r="AP298" s="879"/>
      <c r="AQ298" s="885"/>
      <c r="AR298" s="884"/>
      <c r="AS298" s="879"/>
      <c r="AT298" s="879"/>
      <c r="AV298" s="33"/>
      <c r="AW298" s="886"/>
      <c r="AY298" s="886"/>
      <c r="BB298" s="886"/>
    </row>
    <row r="299" spans="1:58" x14ac:dyDescent="0.2">
      <c r="A299" s="933"/>
      <c r="B299" s="925"/>
      <c r="D299" s="5"/>
      <c r="E299" s="926"/>
      <c r="F299" s="943"/>
      <c r="G299" s="883"/>
      <c r="H299" s="29"/>
      <c r="I299" s="884"/>
      <c r="J299" s="885"/>
      <c r="K299" s="884"/>
      <c r="L299" s="879"/>
      <c r="M299" s="885"/>
      <c r="N299" s="884"/>
      <c r="O299" s="879"/>
      <c r="P299" s="885"/>
      <c r="Q299" s="884"/>
      <c r="R299" s="879"/>
      <c r="S299" s="885"/>
      <c r="T299" s="884"/>
      <c r="U299" s="879"/>
      <c r="V299" s="885"/>
      <c r="W299" s="884"/>
      <c r="X299" s="879"/>
      <c r="Y299" s="885"/>
      <c r="Z299" s="884"/>
      <c r="AA299" s="879"/>
      <c r="AB299" s="885"/>
      <c r="AC299" s="884"/>
      <c r="AD299" s="879"/>
      <c r="AE299" s="885"/>
      <c r="AF299" s="884"/>
      <c r="AG299" s="879"/>
      <c r="AH299" s="885"/>
      <c r="AI299" s="884"/>
      <c r="AJ299" s="879"/>
      <c r="AK299" s="885"/>
      <c r="AL299" s="884"/>
      <c r="AM299" s="879"/>
      <c r="AN299" s="885"/>
      <c r="AO299" s="884"/>
      <c r="AP299" s="879"/>
      <c r="AQ299" s="885"/>
      <c r="AR299" s="884"/>
      <c r="AS299" s="879"/>
      <c r="AT299" s="879"/>
      <c r="AV299" s="33"/>
      <c r="AW299" s="886"/>
      <c r="AY299" s="886"/>
      <c r="BB299" s="886"/>
    </row>
    <row r="300" spans="1:58" x14ac:dyDescent="0.2">
      <c r="A300" s="933"/>
      <c r="B300" s="925"/>
      <c r="D300" s="5"/>
      <c r="E300" s="926"/>
      <c r="F300" s="943"/>
      <c r="G300" s="883"/>
      <c r="H300" s="29"/>
      <c r="I300" s="884"/>
      <c r="J300" s="885"/>
      <c r="K300" s="884"/>
      <c r="L300" s="879"/>
      <c r="M300" s="885"/>
      <c r="N300" s="884"/>
      <c r="O300" s="879"/>
      <c r="P300" s="885"/>
      <c r="Q300" s="884"/>
      <c r="R300" s="879"/>
      <c r="S300" s="885"/>
      <c r="T300" s="884"/>
      <c r="U300" s="879"/>
      <c r="V300" s="885"/>
      <c r="W300" s="884"/>
      <c r="X300" s="879"/>
      <c r="Y300" s="885"/>
      <c r="Z300" s="884"/>
      <c r="AA300" s="879"/>
      <c r="AB300" s="885"/>
      <c r="AC300" s="884"/>
      <c r="AD300" s="879"/>
      <c r="AE300" s="885"/>
      <c r="AF300" s="884"/>
      <c r="AG300" s="879"/>
      <c r="AH300" s="885"/>
      <c r="AI300" s="884"/>
      <c r="AJ300" s="879"/>
      <c r="AK300" s="885"/>
      <c r="AL300" s="884"/>
      <c r="AM300" s="879"/>
      <c r="AN300" s="885"/>
      <c r="AO300" s="884"/>
      <c r="AP300" s="879"/>
      <c r="AQ300" s="885"/>
      <c r="AR300" s="884"/>
      <c r="AS300" s="879"/>
      <c r="AT300" s="879"/>
      <c r="AV300" s="33"/>
      <c r="AW300" s="886"/>
      <c r="AY300" s="886"/>
      <c r="BB300" s="886"/>
    </row>
    <row r="301" spans="1:58" x14ac:dyDescent="0.2">
      <c r="A301" s="895" t="s">
        <v>739</v>
      </c>
      <c r="B301" s="925"/>
      <c r="D301" s="5"/>
      <c r="E301" s="926"/>
      <c r="F301" s="943"/>
      <c r="G301" s="171"/>
      <c r="H301" s="171"/>
      <c r="I301" s="884"/>
      <c r="J301" s="885"/>
      <c r="K301" s="884"/>
      <c r="L301" s="879"/>
      <c r="M301" s="885"/>
      <c r="N301" s="884"/>
      <c r="O301" s="879"/>
      <c r="P301" s="885"/>
      <c r="Q301" s="884"/>
      <c r="R301" s="879"/>
      <c r="S301" s="885"/>
      <c r="T301" s="884"/>
      <c r="U301" s="879"/>
      <c r="V301" s="885"/>
      <c r="W301" s="884"/>
      <c r="X301" s="879"/>
      <c r="Y301" s="885"/>
      <c r="Z301" s="884"/>
      <c r="AA301" s="879"/>
      <c r="AB301" s="885"/>
      <c r="AC301" s="884"/>
      <c r="AD301" s="879"/>
      <c r="AE301" s="885"/>
      <c r="AF301" s="884"/>
      <c r="AG301" s="879"/>
      <c r="AH301" s="885"/>
      <c r="AI301" s="884"/>
      <c r="AJ301" s="879"/>
      <c r="AK301" s="885"/>
      <c r="AL301" s="884"/>
      <c r="AM301" s="879"/>
      <c r="AN301" s="885"/>
      <c r="AO301" s="884"/>
      <c r="AP301" s="879"/>
      <c r="AQ301" s="885"/>
      <c r="AR301" s="884"/>
      <c r="AS301" s="879"/>
      <c r="AT301" s="879"/>
      <c r="AV301" s="33"/>
      <c r="AW301" s="886"/>
      <c r="AX301" s="11"/>
      <c r="AY301" s="886"/>
      <c r="BB301" s="886"/>
    </row>
    <row r="302" spans="1:58" x14ac:dyDescent="0.2">
      <c r="A302" s="933">
        <v>25071</v>
      </c>
      <c r="B302" s="925" t="s">
        <v>297</v>
      </c>
      <c r="C302">
        <v>2001</v>
      </c>
      <c r="D302" s="5"/>
      <c r="E302" s="926">
        <v>39782</v>
      </c>
      <c r="F302" s="941">
        <v>-60000</v>
      </c>
      <c r="G302" s="883">
        <v>0.15640000000000001</v>
      </c>
      <c r="H302" s="29">
        <v>1.8599999999999998E-2</v>
      </c>
      <c r="I302" s="884">
        <f>SUM(G302:H302)</f>
        <v>0.17500000000000002</v>
      </c>
      <c r="J302" s="885">
        <f>$F302</f>
        <v>-60000</v>
      </c>
      <c r="K302" s="884">
        <f>$G302</f>
        <v>0.15640000000000001</v>
      </c>
      <c r="L302" s="879">
        <f>J302*K302*L$7</f>
        <v>-290904</v>
      </c>
      <c r="M302" s="885">
        <f>$F302</f>
        <v>-60000</v>
      </c>
      <c r="N302" s="884">
        <f>$G302</f>
        <v>0.15640000000000001</v>
      </c>
      <c r="O302" s="879">
        <f>M302*N302*O$7</f>
        <v>-262752</v>
      </c>
      <c r="P302" s="885">
        <f>$F302</f>
        <v>-60000</v>
      </c>
      <c r="Q302" s="884">
        <f>$G302</f>
        <v>0.15640000000000001</v>
      </c>
      <c r="R302" s="879">
        <f>P302*Q302*R$7</f>
        <v>-290904</v>
      </c>
      <c r="S302" s="885">
        <f>$F302</f>
        <v>-60000</v>
      </c>
      <c r="T302" s="884">
        <f>$G302</f>
        <v>0.15640000000000001</v>
      </c>
      <c r="U302" s="879">
        <f>S302*T302*U$7</f>
        <v>-281520</v>
      </c>
      <c r="V302" s="885">
        <f>$F302</f>
        <v>-60000</v>
      </c>
      <c r="W302" s="884">
        <f>$G302</f>
        <v>0.15640000000000001</v>
      </c>
      <c r="X302" s="879">
        <f>V302*W302*X$7</f>
        <v>-290904</v>
      </c>
      <c r="Y302" s="885">
        <f>$F302</f>
        <v>-60000</v>
      </c>
      <c r="Z302" s="884">
        <f>$G302</f>
        <v>0.15640000000000001</v>
      </c>
      <c r="AA302" s="879">
        <f>Y302*Z302*AA$7</f>
        <v>-281520</v>
      </c>
      <c r="AB302" s="885">
        <f>$F302</f>
        <v>-60000</v>
      </c>
      <c r="AC302" s="884">
        <f>$G302</f>
        <v>0.15640000000000001</v>
      </c>
      <c r="AD302" s="879">
        <f>AB302*AC302*AD$7</f>
        <v>-290904</v>
      </c>
      <c r="AE302" s="885">
        <f>$F302</f>
        <v>-60000</v>
      </c>
      <c r="AF302" s="884">
        <f>$G302</f>
        <v>0.15640000000000001</v>
      </c>
      <c r="AG302" s="879">
        <f>AE302*AF302*AG$7</f>
        <v>-290904</v>
      </c>
      <c r="AH302" s="885">
        <f>$F302</f>
        <v>-60000</v>
      </c>
      <c r="AI302" s="884">
        <f>$G302</f>
        <v>0.15640000000000001</v>
      </c>
      <c r="AJ302" s="879">
        <f>AH302*AI302*AJ$7</f>
        <v>-281520</v>
      </c>
      <c r="AK302" s="885">
        <f>$F302</f>
        <v>-60000</v>
      </c>
      <c r="AL302" s="884">
        <f>$G302</f>
        <v>0.15640000000000001</v>
      </c>
      <c r="AM302" s="879">
        <f>AK302*AL302*AM$7</f>
        <v>-290904</v>
      </c>
      <c r="AN302" s="885">
        <f>$F302</f>
        <v>-60000</v>
      </c>
      <c r="AO302" s="884">
        <f>$G302</f>
        <v>0.15640000000000001</v>
      </c>
      <c r="AP302" s="879">
        <f>AN302*AO302*AP$7</f>
        <v>-281520</v>
      </c>
      <c r="AQ302" s="885">
        <f>$F302</f>
        <v>-60000</v>
      </c>
      <c r="AR302" s="884">
        <v>0.16139999999999999</v>
      </c>
      <c r="AS302" s="879">
        <f>AQ302*AR302*AS$7</f>
        <v>-300204</v>
      </c>
      <c r="AT302" s="879"/>
      <c r="AV302" s="823">
        <f>AS302+AP302+AM302+AJ302+AG302+AD302+AA302+X302+U302+R302+O302+L302</f>
        <v>-3434460</v>
      </c>
      <c r="AW302" s="910"/>
      <c r="AX302" s="11"/>
      <c r="AY302" s="910"/>
      <c r="BB302" s="910"/>
    </row>
    <row r="303" spans="1:58" x14ac:dyDescent="0.2">
      <c r="A303" s="175">
        <v>25071</v>
      </c>
      <c r="B303" s="175" t="s">
        <v>297</v>
      </c>
      <c r="C303">
        <v>2002</v>
      </c>
      <c r="D303" s="181" t="s">
        <v>327</v>
      </c>
      <c r="E303" s="181">
        <v>39782</v>
      </c>
      <c r="F303" s="182">
        <v>60000</v>
      </c>
      <c r="G303" s="170">
        <v>0.16139999999999999</v>
      </c>
      <c r="H303" s="170">
        <v>1.8599999999999998E-2</v>
      </c>
      <c r="I303" s="884">
        <f>SUM(G303:H303)</f>
        <v>0.18</v>
      </c>
      <c r="J303" s="885">
        <f>$F303</f>
        <v>60000</v>
      </c>
      <c r="K303" s="884">
        <f>$G303</f>
        <v>0.16139999999999999</v>
      </c>
      <c r="L303" s="879">
        <f>J303*K303*L$7</f>
        <v>300204</v>
      </c>
      <c r="M303" s="885">
        <f>$F303</f>
        <v>60000</v>
      </c>
      <c r="N303" s="884">
        <f>$G303</f>
        <v>0.16139999999999999</v>
      </c>
      <c r="O303" s="879">
        <f>M303*N303*O$7</f>
        <v>271152</v>
      </c>
      <c r="P303" s="885">
        <f>$F303</f>
        <v>60000</v>
      </c>
      <c r="Q303" s="884">
        <f>$G303</f>
        <v>0.16139999999999999</v>
      </c>
      <c r="R303" s="879">
        <f>P303*Q303*R$7</f>
        <v>300204</v>
      </c>
      <c r="S303" s="885">
        <f>$F303</f>
        <v>60000</v>
      </c>
      <c r="T303" s="884">
        <f>$G303</f>
        <v>0.16139999999999999</v>
      </c>
      <c r="U303" s="879">
        <f>S303*T303*U$7</f>
        <v>290520</v>
      </c>
      <c r="V303" s="885">
        <f>$F303</f>
        <v>60000</v>
      </c>
      <c r="W303" s="884">
        <f>$G303</f>
        <v>0.16139999999999999</v>
      </c>
      <c r="X303" s="879">
        <f>V303*W303*X$7</f>
        <v>300204</v>
      </c>
      <c r="Y303" s="885">
        <f>$F303</f>
        <v>60000</v>
      </c>
      <c r="Z303" s="884">
        <f>$G303</f>
        <v>0.16139999999999999</v>
      </c>
      <c r="AA303" s="879">
        <f>Y303*Z303*AA$7</f>
        <v>290520</v>
      </c>
      <c r="AB303" s="885">
        <f>$F303</f>
        <v>60000</v>
      </c>
      <c r="AC303" s="884">
        <f>$G303</f>
        <v>0.16139999999999999</v>
      </c>
      <c r="AD303" s="879">
        <f>AB303*AC303*AD$7</f>
        <v>300204</v>
      </c>
      <c r="AE303" s="885">
        <f>$F303</f>
        <v>60000</v>
      </c>
      <c r="AF303" s="884">
        <f>$G303</f>
        <v>0.16139999999999999</v>
      </c>
      <c r="AG303" s="879">
        <f>AE303*AF303*AG$7</f>
        <v>300204</v>
      </c>
      <c r="AH303" s="885">
        <f>$F303</f>
        <v>60000</v>
      </c>
      <c r="AI303" s="884">
        <f>$G303</f>
        <v>0.16139999999999999</v>
      </c>
      <c r="AJ303" s="879">
        <f>AH303*AI303*AJ$7</f>
        <v>290520</v>
      </c>
      <c r="AK303" s="885">
        <f>$F303</f>
        <v>60000</v>
      </c>
      <c r="AL303" s="884">
        <f>$G303</f>
        <v>0.16139999999999999</v>
      </c>
      <c r="AM303" s="879">
        <f>AK303*AL303*AM$7</f>
        <v>300204</v>
      </c>
      <c r="AN303" s="885">
        <f>$F303</f>
        <v>60000</v>
      </c>
      <c r="AO303" s="884">
        <f>$G303</f>
        <v>0.16139999999999999</v>
      </c>
      <c r="AP303" s="879">
        <f>AN303*AO303*AP$7</f>
        <v>290520</v>
      </c>
      <c r="AQ303" s="885">
        <f>$F303</f>
        <v>60000</v>
      </c>
      <c r="AR303" s="884">
        <f>$G303</f>
        <v>0.16139999999999999</v>
      </c>
      <c r="AS303" s="879">
        <f>AQ303*AR303*AS$7</f>
        <v>300204</v>
      </c>
      <c r="AT303" s="879"/>
      <c r="AV303" s="823">
        <f>AS303+AP303+AM303+AJ303+AG303+AD303+AA303+X303+U303+R303+O303+L303</f>
        <v>3534660</v>
      </c>
      <c r="AW303" s="910"/>
      <c r="AX303" s="33">
        <f>SUM(AV302:AV303)</f>
        <v>100200</v>
      </c>
      <c r="AY303" s="910"/>
      <c r="BB303" s="910"/>
      <c r="BD303" s="33">
        <f>AX303</f>
        <v>100200</v>
      </c>
    </row>
    <row r="304" spans="1:58" x14ac:dyDescent="0.2">
      <c r="A304" s="933"/>
      <c r="B304" s="925"/>
      <c r="D304" s="5"/>
      <c r="E304" s="926"/>
      <c r="F304" s="941"/>
      <c r="G304" s="883"/>
      <c r="H304" s="29"/>
      <c r="I304" s="884"/>
      <c r="J304" s="885"/>
      <c r="K304" s="884"/>
      <c r="L304" s="879"/>
      <c r="M304" s="885"/>
      <c r="N304" s="884"/>
      <c r="O304" s="879"/>
      <c r="P304" s="885"/>
      <c r="Q304" s="884"/>
      <c r="R304" s="879"/>
      <c r="S304" s="885"/>
      <c r="T304" s="884"/>
      <c r="U304" s="879"/>
      <c r="V304" s="885"/>
      <c r="W304" s="884"/>
      <c r="X304" s="879"/>
      <c r="Y304" s="885"/>
      <c r="Z304" s="884"/>
      <c r="AA304" s="879"/>
      <c r="AB304" s="885"/>
      <c r="AC304" s="884"/>
      <c r="AD304" s="879"/>
      <c r="AE304" s="885"/>
      <c r="AF304" s="884"/>
      <c r="AG304" s="879"/>
      <c r="AH304" s="885"/>
      <c r="AI304" s="884"/>
      <c r="AJ304" s="879"/>
      <c r="AK304" s="885"/>
      <c r="AL304" s="884"/>
      <c r="AM304" s="879"/>
      <c r="AN304" s="885"/>
      <c r="AO304" s="884"/>
      <c r="AP304" s="879"/>
      <c r="AQ304" s="885"/>
      <c r="AR304" s="884"/>
      <c r="AS304" s="879"/>
      <c r="AT304" s="879"/>
      <c r="AV304" s="33"/>
      <c r="AW304" s="886"/>
      <c r="AX304" s="11"/>
      <c r="AY304" s="886"/>
      <c r="BB304" s="886"/>
    </row>
    <row r="305" spans="1:55" x14ac:dyDescent="0.2">
      <c r="A305" s="933"/>
      <c r="B305" s="925"/>
      <c r="D305" s="5"/>
      <c r="E305" s="926"/>
      <c r="F305" s="941"/>
      <c r="G305" s="883"/>
      <c r="H305" s="29"/>
      <c r="I305" s="884"/>
      <c r="J305" s="885"/>
      <c r="K305" s="884"/>
      <c r="L305" s="879"/>
      <c r="M305" s="885"/>
      <c r="N305" s="884"/>
      <c r="O305" s="879"/>
      <c r="P305" s="885"/>
      <c r="Q305" s="884"/>
      <c r="R305" s="879"/>
      <c r="S305" s="885"/>
      <c r="T305" s="884"/>
      <c r="U305" s="879"/>
      <c r="V305" s="885"/>
      <c r="W305" s="884"/>
      <c r="X305" s="879"/>
      <c r="Y305" s="885"/>
      <c r="Z305" s="884"/>
      <c r="AA305" s="879"/>
      <c r="AB305" s="885"/>
      <c r="AC305" s="884"/>
      <c r="AD305" s="879"/>
      <c r="AE305" s="885"/>
      <c r="AF305" s="884"/>
      <c r="AG305" s="879"/>
      <c r="AH305" s="885"/>
      <c r="AI305" s="884"/>
      <c r="AJ305" s="879"/>
      <c r="AK305" s="885"/>
      <c r="AL305" s="884"/>
      <c r="AM305" s="879"/>
      <c r="AN305" s="885"/>
      <c r="AO305" s="884"/>
      <c r="AP305" s="879"/>
      <c r="AQ305" s="885"/>
      <c r="AR305" s="884"/>
      <c r="AS305" s="879"/>
      <c r="AT305" s="879"/>
      <c r="AV305" s="33"/>
      <c r="AW305" s="886"/>
      <c r="AX305" s="11"/>
      <c r="AY305" s="886"/>
      <c r="BB305" s="886"/>
    </row>
    <row r="306" spans="1:55" x14ac:dyDescent="0.2">
      <c r="A306" s="933"/>
      <c r="B306" s="925"/>
      <c r="D306" s="5"/>
      <c r="E306" s="926"/>
      <c r="F306" s="941"/>
      <c r="G306" s="883"/>
      <c r="H306" s="29"/>
      <c r="I306" s="884"/>
      <c r="J306" s="885"/>
      <c r="K306" s="884"/>
      <c r="L306" s="879"/>
      <c r="M306" s="885"/>
      <c r="N306" s="884"/>
      <c r="O306" s="879"/>
      <c r="P306" s="885"/>
      <c r="Q306" s="884"/>
      <c r="R306" s="879"/>
      <c r="S306" s="885"/>
      <c r="T306" s="884"/>
      <c r="U306" s="879"/>
      <c r="V306" s="885"/>
      <c r="W306" s="884"/>
      <c r="X306" s="879"/>
      <c r="Y306" s="885"/>
      <c r="Z306" s="884"/>
      <c r="AA306" s="879"/>
      <c r="AB306" s="885"/>
      <c r="AC306" s="884"/>
      <c r="AD306" s="879"/>
      <c r="AE306" s="885"/>
      <c r="AF306" s="884"/>
      <c r="AG306" s="879"/>
      <c r="AH306" s="885"/>
      <c r="AI306" s="884"/>
      <c r="AJ306" s="879"/>
      <c r="AK306" s="885"/>
      <c r="AL306" s="884"/>
      <c r="AM306" s="879"/>
      <c r="AN306" s="885"/>
      <c r="AO306" s="884"/>
      <c r="AP306" s="879"/>
      <c r="AQ306" s="885"/>
      <c r="AR306" s="884"/>
      <c r="AS306" s="879"/>
      <c r="AT306" s="879"/>
      <c r="AV306" s="33"/>
      <c r="AW306" s="886"/>
      <c r="AX306" s="11"/>
      <c r="AY306" s="886"/>
      <c r="BB306" s="886"/>
    </row>
    <row r="307" spans="1:55" x14ac:dyDescent="0.2">
      <c r="A307" s="933"/>
      <c r="B307" s="925"/>
      <c r="D307" s="5"/>
      <c r="E307" s="926"/>
      <c r="F307" s="941"/>
      <c r="G307" s="883"/>
      <c r="H307" s="29"/>
      <c r="I307" s="884"/>
      <c r="J307" s="885"/>
      <c r="K307" s="884"/>
      <c r="L307" s="879"/>
      <c r="M307" s="885"/>
      <c r="N307" s="884"/>
      <c r="O307" s="879"/>
      <c r="P307" s="885"/>
      <c r="Q307" s="884"/>
      <c r="R307" s="879"/>
      <c r="S307" s="885"/>
      <c r="T307" s="884"/>
      <c r="U307" s="879"/>
      <c r="V307" s="885"/>
      <c r="W307" s="884"/>
      <c r="X307" s="879"/>
      <c r="Y307" s="885"/>
      <c r="Z307" s="884"/>
      <c r="AA307" s="879"/>
      <c r="AB307" s="885"/>
      <c r="AC307" s="884"/>
      <c r="AD307" s="879"/>
      <c r="AE307" s="885"/>
      <c r="AF307" s="884"/>
      <c r="AG307" s="879"/>
      <c r="AH307" s="885"/>
      <c r="AI307" s="884"/>
      <c r="AJ307" s="879"/>
      <c r="AK307" s="885"/>
      <c r="AL307" s="884"/>
      <c r="AM307" s="879"/>
      <c r="AN307" s="885"/>
      <c r="AO307" s="884"/>
      <c r="AP307" s="879"/>
      <c r="AQ307" s="885"/>
      <c r="AR307" s="884"/>
      <c r="AS307" s="879"/>
      <c r="AT307" s="879"/>
      <c r="AV307" s="33"/>
      <c r="AW307" s="886"/>
      <c r="AX307" s="33"/>
      <c r="AY307" s="886"/>
      <c r="BB307" s="886"/>
    </row>
    <row r="308" spans="1:55" x14ac:dyDescent="0.2">
      <c r="A308" s="895" t="s">
        <v>740</v>
      </c>
      <c r="B308" s="925"/>
      <c r="D308" s="5"/>
      <c r="E308" s="926"/>
      <c r="F308" s="943"/>
      <c r="G308" s="171"/>
      <c r="H308" s="171"/>
      <c r="I308" s="884"/>
      <c r="J308" s="885"/>
      <c r="K308" s="884"/>
      <c r="L308" s="879"/>
      <c r="M308" s="885"/>
      <c r="N308" s="884"/>
      <c r="O308" s="879"/>
      <c r="P308" s="885"/>
      <c r="Q308" s="884"/>
      <c r="R308" s="879"/>
      <c r="S308" s="885"/>
      <c r="T308" s="884"/>
      <c r="U308" s="879"/>
      <c r="V308" s="885"/>
      <c r="W308" s="884"/>
      <c r="X308" s="879"/>
      <c r="Y308" s="885"/>
      <c r="Z308" s="884"/>
      <c r="AA308" s="879"/>
      <c r="AB308" s="885"/>
      <c r="AC308" s="884"/>
      <c r="AD308" s="879"/>
      <c r="AE308" s="885"/>
      <c r="AF308" s="884"/>
      <c r="AG308" s="879"/>
      <c r="AH308" s="885"/>
      <c r="AI308" s="884"/>
      <c r="AJ308" s="879"/>
      <c r="AK308" s="885"/>
      <c r="AL308" s="884"/>
      <c r="AM308" s="879"/>
      <c r="AN308" s="885"/>
      <c r="AO308" s="884"/>
      <c r="AP308" s="879"/>
      <c r="AQ308" s="885"/>
      <c r="AR308" s="884"/>
      <c r="AS308" s="879"/>
      <c r="AT308" s="879"/>
      <c r="AV308" s="33"/>
      <c r="AW308" s="886"/>
      <c r="AY308" s="886"/>
      <c r="BB308" s="886"/>
    </row>
    <row r="309" spans="1:55" x14ac:dyDescent="0.2">
      <c r="A309" s="933">
        <v>20715</v>
      </c>
      <c r="B309" s="925" t="s">
        <v>285</v>
      </c>
      <c r="C309">
        <v>2001</v>
      </c>
      <c r="D309" s="5"/>
      <c r="E309" s="926">
        <v>38656</v>
      </c>
      <c r="F309" s="941">
        <v>-200000</v>
      </c>
      <c r="G309" s="883">
        <v>0.1052</v>
      </c>
      <c r="H309" s="29">
        <v>1.1000000000000001E-3</v>
      </c>
      <c r="I309" s="884">
        <f>SUM(G309:H309)</f>
        <v>0.10630000000000001</v>
      </c>
      <c r="J309" s="885">
        <f>$F309</f>
        <v>-200000</v>
      </c>
      <c r="K309" s="884">
        <f>$G309</f>
        <v>0.1052</v>
      </c>
      <c r="L309" s="879">
        <f>J309*K309*L$7</f>
        <v>-652240</v>
      </c>
      <c r="M309" s="885">
        <f>$F309</f>
        <v>-200000</v>
      </c>
      <c r="N309" s="884">
        <f>$G309</f>
        <v>0.1052</v>
      </c>
      <c r="O309" s="879">
        <f>M309*N309*O$7</f>
        <v>-589120</v>
      </c>
      <c r="P309" s="885">
        <f>$F309</f>
        <v>-200000</v>
      </c>
      <c r="Q309" s="884">
        <f>$G309</f>
        <v>0.1052</v>
      </c>
      <c r="R309" s="879">
        <f>P309*Q309*R$7</f>
        <v>-652240</v>
      </c>
      <c r="S309" s="885">
        <f>$F309</f>
        <v>-200000</v>
      </c>
      <c r="T309" s="884">
        <f>$G309</f>
        <v>0.1052</v>
      </c>
      <c r="U309" s="879">
        <f>S309*T309*U$7</f>
        <v>-631200</v>
      </c>
      <c r="V309" s="885">
        <f>$F309</f>
        <v>-200000</v>
      </c>
      <c r="W309" s="884">
        <f>$G309</f>
        <v>0.1052</v>
      </c>
      <c r="X309" s="879">
        <f>V309*W309*X$7</f>
        <v>-652240</v>
      </c>
      <c r="Y309" s="885">
        <f>$F309</f>
        <v>-200000</v>
      </c>
      <c r="Z309" s="884">
        <f>$G309</f>
        <v>0.1052</v>
      </c>
      <c r="AA309" s="879">
        <f>Y309*Z309*AA$7</f>
        <v>-631200</v>
      </c>
      <c r="AB309" s="885">
        <f>$F309</f>
        <v>-200000</v>
      </c>
      <c r="AC309" s="884">
        <f>$G309</f>
        <v>0.1052</v>
      </c>
      <c r="AD309" s="879">
        <f>AB309*AC309*AD$7</f>
        <v>-652240</v>
      </c>
      <c r="AE309" s="885">
        <f>$F309</f>
        <v>-200000</v>
      </c>
      <c r="AF309" s="884">
        <f>$G309</f>
        <v>0.1052</v>
      </c>
      <c r="AG309" s="879">
        <f>AE309*AF309*AG$7</f>
        <v>-652240</v>
      </c>
      <c r="AH309" s="885">
        <f>$F309</f>
        <v>-200000</v>
      </c>
      <c r="AI309" s="884">
        <f>$G309</f>
        <v>0.1052</v>
      </c>
      <c r="AJ309" s="879">
        <f>AH309*AI309*AJ$7</f>
        <v>-631200</v>
      </c>
      <c r="AK309" s="885">
        <f>$F309</f>
        <v>-200000</v>
      </c>
      <c r="AL309" s="884">
        <f>$G309</f>
        <v>0.1052</v>
      </c>
      <c r="AM309" s="879">
        <f>AK309*AL309*AM$7</f>
        <v>-652240</v>
      </c>
      <c r="AN309" s="885">
        <f>$F309</f>
        <v>-200000</v>
      </c>
      <c r="AO309" s="884">
        <f>$G309+0.0022</f>
        <v>0.1074</v>
      </c>
      <c r="AP309" s="879">
        <f>AN309*AO309*AP$7</f>
        <v>-644400</v>
      </c>
      <c r="AQ309" s="885">
        <f>$F309</f>
        <v>-200000</v>
      </c>
      <c r="AR309" s="884">
        <f>$G309+0.0022</f>
        <v>0.1074</v>
      </c>
      <c r="AS309" s="879">
        <f>AQ309*AR309*AS$7</f>
        <v>-665880</v>
      </c>
      <c r="AT309" s="879"/>
      <c r="AV309" s="823">
        <f>AS309+AP309+AM309+AJ309+AG309+AD309+AA309+X309+U309+R309+O309+L309</f>
        <v>-7706440</v>
      </c>
      <c r="AW309" s="910"/>
      <c r="AY309" s="910"/>
      <c r="BB309" s="910"/>
    </row>
    <row r="310" spans="1:55" s="11" customFormat="1" x14ac:dyDescent="0.2">
      <c r="A310" s="175">
        <v>20715</v>
      </c>
      <c r="B310" s="175" t="s">
        <v>285</v>
      </c>
      <c r="C310" s="11">
        <v>2002</v>
      </c>
      <c r="D310" s="579" t="s">
        <v>8</v>
      </c>
      <c r="E310" s="181">
        <v>38656</v>
      </c>
      <c r="F310" s="733">
        <v>200000</v>
      </c>
      <c r="G310" s="170">
        <v>0.1052</v>
      </c>
      <c r="H310" s="565">
        <v>1.1000000000000001E-3</v>
      </c>
      <c r="I310" s="909">
        <f>SUM(G310:H310)</f>
        <v>0.10630000000000001</v>
      </c>
      <c r="J310" s="885">
        <f>$F310</f>
        <v>200000</v>
      </c>
      <c r="K310" s="909">
        <f>$G310</f>
        <v>0.1052</v>
      </c>
      <c r="L310" s="891">
        <f>J310*K310*L$7</f>
        <v>652240</v>
      </c>
      <c r="M310" s="885">
        <f>$F310</f>
        <v>200000</v>
      </c>
      <c r="N310" s="909">
        <f>$G310</f>
        <v>0.1052</v>
      </c>
      <c r="O310" s="891">
        <f>M310*N310*O$7</f>
        <v>589120</v>
      </c>
      <c r="P310" s="885">
        <f>$F310</f>
        <v>200000</v>
      </c>
      <c r="Q310" s="909">
        <f>$G310</f>
        <v>0.1052</v>
      </c>
      <c r="R310" s="891">
        <f>P310*Q310*R$7</f>
        <v>652240</v>
      </c>
      <c r="S310" s="885">
        <f>$F310</f>
        <v>200000</v>
      </c>
      <c r="T310" s="909">
        <f>$G310</f>
        <v>0.1052</v>
      </c>
      <c r="U310" s="891">
        <f>S310*T310*U$7</f>
        <v>631200</v>
      </c>
      <c r="V310" s="885">
        <f>$F310</f>
        <v>200000</v>
      </c>
      <c r="W310" s="909">
        <f>$G310</f>
        <v>0.1052</v>
      </c>
      <c r="X310" s="891">
        <f>V310*W310*X$7</f>
        <v>652240</v>
      </c>
      <c r="Y310" s="885">
        <f>$F310</f>
        <v>200000</v>
      </c>
      <c r="Z310" s="909">
        <f>$G310</f>
        <v>0.1052</v>
      </c>
      <c r="AA310" s="891">
        <f>Y310*Z310*AA$7</f>
        <v>631200</v>
      </c>
      <c r="AB310" s="885">
        <f>$F310</f>
        <v>200000</v>
      </c>
      <c r="AC310" s="909">
        <f>$G310</f>
        <v>0.1052</v>
      </c>
      <c r="AD310" s="891">
        <f>AB310*AC310*AD$7</f>
        <v>652240</v>
      </c>
      <c r="AE310" s="885">
        <f>$F310</f>
        <v>200000</v>
      </c>
      <c r="AF310" s="909">
        <f>$G310</f>
        <v>0.1052</v>
      </c>
      <c r="AG310" s="891">
        <f>AE310*AF310*AG$7</f>
        <v>652240</v>
      </c>
      <c r="AH310" s="885">
        <f>$F310</f>
        <v>200000</v>
      </c>
      <c r="AI310" s="909">
        <f>$G310</f>
        <v>0.1052</v>
      </c>
      <c r="AJ310" s="891">
        <f>AH310*AI310*AJ$7</f>
        <v>631200</v>
      </c>
      <c r="AK310" s="885">
        <f>$F310</f>
        <v>200000</v>
      </c>
      <c r="AL310" s="909">
        <f>$G310</f>
        <v>0.1052</v>
      </c>
      <c r="AM310" s="891">
        <f>AK310*AL310*AM$7</f>
        <v>652240</v>
      </c>
      <c r="AN310" s="885">
        <f>$F310</f>
        <v>200000</v>
      </c>
      <c r="AO310" s="909">
        <f>$G310</f>
        <v>0.1052</v>
      </c>
      <c r="AP310" s="891">
        <f>AN310*AO310*AP$7</f>
        <v>631200</v>
      </c>
      <c r="AQ310" s="885">
        <f>$F310</f>
        <v>200000</v>
      </c>
      <c r="AR310" s="909">
        <f>$G310</f>
        <v>0.1052</v>
      </c>
      <c r="AS310" s="891">
        <f>AQ310*AR310*AS$7</f>
        <v>652240</v>
      </c>
      <c r="AT310" s="891"/>
      <c r="AV310" s="823">
        <f>AS310+AP310+AM310+AJ310+AG310+AD310+AA310+X310+U310+R310+O310+L310</f>
        <v>7679600</v>
      </c>
      <c r="AW310" s="910"/>
      <c r="AX310" s="823"/>
      <c r="AY310" s="910"/>
      <c r="BB310" s="910"/>
    </row>
    <row r="311" spans="1:55" s="11" customFormat="1" x14ac:dyDescent="0.2">
      <c r="A311" s="617">
        <v>20715</v>
      </c>
      <c r="B311" s="617" t="s">
        <v>285</v>
      </c>
      <c r="C311" s="11">
        <v>2002</v>
      </c>
      <c r="D311" s="529"/>
      <c r="E311" s="913" t="s">
        <v>655</v>
      </c>
      <c r="F311" s="934">
        <v>200000</v>
      </c>
      <c r="G311" s="911">
        <f>0.1074-0.1052</f>
        <v>2.1999999999999936E-3</v>
      </c>
      <c r="H311" s="1117" t="s">
        <v>647</v>
      </c>
      <c r="I311" s="1117"/>
      <c r="J311" s="885">
        <v>0</v>
      </c>
      <c r="K311" s="909">
        <v>0</v>
      </c>
      <c r="L311" s="891">
        <v>13640</v>
      </c>
      <c r="M311" s="885">
        <v>0</v>
      </c>
      <c r="N311" s="909">
        <v>0</v>
      </c>
      <c r="O311" s="891">
        <v>12320</v>
      </c>
      <c r="P311" s="885">
        <v>0</v>
      </c>
      <c r="Q311" s="909">
        <v>0</v>
      </c>
      <c r="R311" s="891">
        <v>13640</v>
      </c>
      <c r="S311" s="885">
        <v>0</v>
      </c>
      <c r="T311" s="909">
        <v>0</v>
      </c>
      <c r="U311" s="891">
        <v>13200</v>
      </c>
      <c r="V311" s="885">
        <v>0</v>
      </c>
      <c r="W311" s="909">
        <v>0</v>
      </c>
      <c r="X311" s="891">
        <v>13640</v>
      </c>
      <c r="Y311" s="885">
        <v>0</v>
      </c>
      <c r="Z311" s="909">
        <v>0</v>
      </c>
      <c r="AA311" s="891">
        <v>13200</v>
      </c>
      <c r="AB311" s="885">
        <v>0</v>
      </c>
      <c r="AC311" s="909">
        <v>0</v>
      </c>
      <c r="AD311" s="891">
        <v>13640</v>
      </c>
      <c r="AE311" s="885">
        <v>0</v>
      </c>
      <c r="AF311" s="909">
        <v>0</v>
      </c>
      <c r="AG311" s="891">
        <v>13640</v>
      </c>
      <c r="AH311" s="885">
        <v>0</v>
      </c>
      <c r="AI311" s="909">
        <v>0</v>
      </c>
      <c r="AJ311" s="891">
        <v>13200</v>
      </c>
      <c r="AK311" s="885">
        <v>0</v>
      </c>
      <c r="AL311" s="909">
        <v>0</v>
      </c>
      <c r="AM311" s="891">
        <v>13640</v>
      </c>
      <c r="AN311" s="885">
        <v>0</v>
      </c>
      <c r="AO311" s="909">
        <v>0</v>
      </c>
      <c r="AP311" s="891">
        <v>26400</v>
      </c>
      <c r="AQ311" s="885">
        <v>0</v>
      </c>
      <c r="AR311" s="909">
        <v>0</v>
      </c>
      <c r="AS311" s="891">
        <v>27280</v>
      </c>
      <c r="AT311" s="891"/>
      <c r="AV311" s="823">
        <f>AS311+AP311+AM311+AJ311+AG311+AD311+AA311+X311+U311+R311+O311+L311</f>
        <v>187440</v>
      </c>
      <c r="AW311" s="910"/>
      <c r="AX311" s="823">
        <f>SUM(AV309:AV311)</f>
        <v>160600</v>
      </c>
      <c r="AY311" s="910"/>
      <c r="AZ311" s="823">
        <f>AX311</f>
        <v>160600</v>
      </c>
      <c r="BA311" s="823"/>
      <c r="BB311" s="910"/>
      <c r="BC311" s="823"/>
    </row>
    <row r="312" spans="1:55" x14ac:dyDescent="0.2">
      <c r="A312" s="933"/>
      <c r="B312" s="925"/>
      <c r="D312" s="5"/>
      <c r="E312" s="926"/>
      <c r="F312" s="941"/>
      <c r="G312" s="883"/>
      <c r="H312" s="29"/>
      <c r="I312" s="884"/>
      <c r="J312" s="885"/>
      <c r="K312" s="884"/>
      <c r="L312" s="879"/>
      <c r="M312" s="885"/>
      <c r="N312" s="884"/>
      <c r="O312" s="879"/>
      <c r="P312" s="885"/>
      <c r="Q312" s="884"/>
      <c r="R312" s="879"/>
      <c r="S312" s="885"/>
      <c r="T312" s="884"/>
      <c r="U312" s="879"/>
      <c r="V312" s="885"/>
      <c r="W312" s="884"/>
      <c r="X312" s="879"/>
      <c r="Y312" s="885"/>
      <c r="Z312" s="884"/>
      <c r="AA312" s="879"/>
      <c r="AB312" s="885"/>
      <c r="AC312" s="884"/>
      <c r="AD312" s="879"/>
      <c r="AE312" s="885"/>
      <c r="AF312" s="884"/>
      <c r="AG312" s="879"/>
      <c r="AH312" s="885"/>
      <c r="AI312" s="884"/>
      <c r="AJ312" s="879"/>
      <c r="AK312" s="885"/>
      <c r="AL312" s="884"/>
      <c r="AM312" s="879"/>
      <c r="AN312" s="885"/>
      <c r="AO312" s="884"/>
      <c r="AP312" s="879"/>
      <c r="AQ312" s="885"/>
      <c r="AR312" s="884"/>
      <c r="AS312" s="879"/>
      <c r="AT312" s="879"/>
      <c r="AV312" s="33"/>
      <c r="AW312" s="886"/>
      <c r="AY312" s="886"/>
      <c r="BB312" s="886"/>
    </row>
    <row r="313" spans="1:55" x14ac:dyDescent="0.2">
      <c r="A313" s="933">
        <v>20834</v>
      </c>
      <c r="B313" s="925" t="s">
        <v>732</v>
      </c>
      <c r="C313">
        <v>2001</v>
      </c>
      <c r="D313" s="5"/>
      <c r="E313" s="926">
        <v>39141</v>
      </c>
      <c r="F313" s="941">
        <v>-25000</v>
      </c>
      <c r="G313" s="883">
        <v>0.1052</v>
      </c>
      <c r="H313" s="29">
        <v>1.1000000000000001E-3</v>
      </c>
      <c r="I313" s="884">
        <f>SUM(G313:H313)</f>
        <v>0.10630000000000001</v>
      </c>
      <c r="J313" s="885">
        <f>$F313</f>
        <v>-25000</v>
      </c>
      <c r="K313" s="884">
        <f>$G313</f>
        <v>0.1052</v>
      </c>
      <c r="L313" s="879">
        <f>J313*K313*L$7</f>
        <v>-81530</v>
      </c>
      <c r="M313" s="885">
        <f>$F313</f>
        <v>-25000</v>
      </c>
      <c r="N313" s="884">
        <f>$G313</f>
        <v>0.1052</v>
      </c>
      <c r="O313" s="879">
        <f>M313*N313*O$7</f>
        <v>-73640</v>
      </c>
      <c r="P313" s="885">
        <f>$F313</f>
        <v>-25000</v>
      </c>
      <c r="Q313" s="884">
        <f>$G313</f>
        <v>0.1052</v>
      </c>
      <c r="R313" s="879">
        <f>P313*Q313*R$7</f>
        <v>-81530</v>
      </c>
      <c r="S313" s="885">
        <f>$F313</f>
        <v>-25000</v>
      </c>
      <c r="T313" s="884">
        <f>$G313</f>
        <v>0.1052</v>
      </c>
      <c r="U313" s="879">
        <f>S313*T313*U$7</f>
        <v>-78900</v>
      </c>
      <c r="V313" s="885">
        <f>$F313</f>
        <v>-25000</v>
      </c>
      <c r="W313" s="884">
        <f>$G313</f>
        <v>0.1052</v>
      </c>
      <c r="X313" s="879">
        <f>V313*W313*X$7</f>
        <v>-81530</v>
      </c>
      <c r="Y313" s="885">
        <f>$F313</f>
        <v>-25000</v>
      </c>
      <c r="Z313" s="884">
        <f>$G313</f>
        <v>0.1052</v>
      </c>
      <c r="AA313" s="879">
        <f>Y313*Z313*AA$7</f>
        <v>-78900</v>
      </c>
      <c r="AB313" s="885">
        <f>$F313</f>
        <v>-25000</v>
      </c>
      <c r="AC313" s="884">
        <f>$G313</f>
        <v>0.1052</v>
      </c>
      <c r="AD313" s="879">
        <f>AB313*AC313*AD$7</f>
        <v>-81530</v>
      </c>
      <c r="AE313" s="885">
        <f>$F313</f>
        <v>-25000</v>
      </c>
      <c r="AF313" s="884">
        <f>$G313</f>
        <v>0.1052</v>
      </c>
      <c r="AG313" s="879">
        <f>AE313*AF313*AG$7</f>
        <v>-81530</v>
      </c>
      <c r="AH313" s="885">
        <f>$F313</f>
        <v>-25000</v>
      </c>
      <c r="AI313" s="884">
        <f>$G313</f>
        <v>0.1052</v>
      </c>
      <c r="AJ313" s="879">
        <f>AH313*AI313*AJ$7</f>
        <v>-78900</v>
      </c>
      <c r="AK313" s="885">
        <f>$F313</f>
        <v>-25000</v>
      </c>
      <c r="AL313" s="884">
        <f>$G313</f>
        <v>0.1052</v>
      </c>
      <c r="AM313" s="879">
        <f>AK313*AL313*AM$7</f>
        <v>-81530</v>
      </c>
      <c r="AN313" s="885">
        <f>$F313</f>
        <v>-25000</v>
      </c>
      <c r="AO313" s="884">
        <f>$G313+0.0022</f>
        <v>0.1074</v>
      </c>
      <c r="AP313" s="879">
        <f>AN313*AO313*AP$7</f>
        <v>-80550</v>
      </c>
      <c r="AQ313" s="885">
        <f>$F313</f>
        <v>-25000</v>
      </c>
      <c r="AR313" s="884">
        <f>$G313+0.0022</f>
        <v>0.1074</v>
      </c>
      <c r="AS313" s="879">
        <f>AQ313*AR313*AS$7</f>
        <v>-83235</v>
      </c>
      <c r="AT313" s="879"/>
      <c r="AV313" s="823">
        <f>AS313+AP313+AM313+AJ313+AG313+AD313+AA313+X313+U313+R313+O313+L313</f>
        <v>-963305</v>
      </c>
      <c r="AW313" s="910"/>
      <c r="AY313" s="910"/>
      <c r="BB313" s="910"/>
    </row>
    <row r="314" spans="1:55" s="11" customFormat="1" x14ac:dyDescent="0.2">
      <c r="A314" s="175">
        <v>26519</v>
      </c>
      <c r="B314" s="175" t="s">
        <v>543</v>
      </c>
      <c r="C314" s="11">
        <v>2002</v>
      </c>
      <c r="D314" s="579" t="s">
        <v>535</v>
      </c>
      <c r="E314" s="181">
        <v>39141</v>
      </c>
      <c r="F314" s="733">
        <v>25000</v>
      </c>
      <c r="G314" s="170">
        <v>0.1052</v>
      </c>
      <c r="H314" s="565">
        <v>1.1000000000000001E-3</v>
      </c>
      <c r="I314" s="909">
        <f>SUM(G314:H314)</f>
        <v>0.10630000000000001</v>
      </c>
      <c r="J314" s="885">
        <f>$F314</f>
        <v>25000</v>
      </c>
      <c r="K314" s="909">
        <f>$G314</f>
        <v>0.1052</v>
      </c>
      <c r="L314" s="891">
        <f>J314*K314*L$7</f>
        <v>81530</v>
      </c>
      <c r="M314" s="885">
        <f>$F314</f>
        <v>25000</v>
      </c>
      <c r="N314" s="909">
        <f>$G314</f>
        <v>0.1052</v>
      </c>
      <c r="O314" s="891">
        <f>M314*N314*O$7</f>
        <v>73640</v>
      </c>
      <c r="P314" s="885">
        <f>$F314</f>
        <v>25000</v>
      </c>
      <c r="Q314" s="909">
        <f>$G314</f>
        <v>0.1052</v>
      </c>
      <c r="R314" s="891">
        <f>P314*Q314*R$7</f>
        <v>81530</v>
      </c>
      <c r="S314" s="885">
        <f>$F314</f>
        <v>25000</v>
      </c>
      <c r="T314" s="909">
        <f>$G314</f>
        <v>0.1052</v>
      </c>
      <c r="U314" s="891">
        <f>S314*T314*U$7</f>
        <v>78900</v>
      </c>
      <c r="V314" s="885">
        <f>$F314</f>
        <v>25000</v>
      </c>
      <c r="W314" s="909">
        <f>$G314</f>
        <v>0.1052</v>
      </c>
      <c r="X314" s="891">
        <f>V314*W314*X$7</f>
        <v>81530</v>
      </c>
      <c r="Y314" s="885">
        <f>$F314</f>
        <v>25000</v>
      </c>
      <c r="Z314" s="909">
        <f>$G314</f>
        <v>0.1052</v>
      </c>
      <c r="AA314" s="891">
        <f>Y314*Z314*AA$7</f>
        <v>78900</v>
      </c>
      <c r="AB314" s="885">
        <f>$F314</f>
        <v>25000</v>
      </c>
      <c r="AC314" s="909">
        <f>$G314</f>
        <v>0.1052</v>
      </c>
      <c r="AD314" s="891">
        <f>AB314*AC314*AD$7</f>
        <v>81530</v>
      </c>
      <c r="AE314" s="885">
        <f>$F314</f>
        <v>25000</v>
      </c>
      <c r="AF314" s="909">
        <f>$G314</f>
        <v>0.1052</v>
      </c>
      <c r="AG314" s="891">
        <f>AE314*AF314*AG$7</f>
        <v>81530</v>
      </c>
      <c r="AH314" s="885">
        <f>$F314</f>
        <v>25000</v>
      </c>
      <c r="AI314" s="909">
        <f>$G314</f>
        <v>0.1052</v>
      </c>
      <c r="AJ314" s="891">
        <f>AH314*AI314*AJ$7</f>
        <v>78900</v>
      </c>
      <c r="AK314" s="885">
        <f>$F314</f>
        <v>25000</v>
      </c>
      <c r="AL314" s="909">
        <f>$G314</f>
        <v>0.1052</v>
      </c>
      <c r="AM314" s="891">
        <f>AK314*AL314*AM$7</f>
        <v>81530</v>
      </c>
      <c r="AN314" s="885">
        <f>$F314</f>
        <v>25000</v>
      </c>
      <c r="AO314" s="909">
        <f>$G314</f>
        <v>0.1052</v>
      </c>
      <c r="AP314" s="891">
        <f>AN314*AO314*AP$7</f>
        <v>78900</v>
      </c>
      <c r="AQ314" s="885">
        <f>$F314</f>
        <v>25000</v>
      </c>
      <c r="AR314" s="909">
        <f>$G314</f>
        <v>0.1052</v>
      </c>
      <c r="AS314" s="891">
        <f>AQ314*AR314*AS$7</f>
        <v>81530</v>
      </c>
      <c r="AT314" s="891"/>
      <c r="AV314" s="823">
        <f>AS314+AP314+AM314+AJ314+AG314+AD314+AA314+X314+U314+R314+O314+L314</f>
        <v>959950</v>
      </c>
      <c r="AW314" s="910"/>
      <c r="AX314" s="823"/>
      <c r="AY314" s="910"/>
      <c r="BB314" s="910"/>
    </row>
    <row r="315" spans="1:55" s="11" customFormat="1" x14ac:dyDescent="0.2">
      <c r="A315" s="617">
        <v>20834</v>
      </c>
      <c r="B315" s="617" t="s">
        <v>652</v>
      </c>
      <c r="C315" s="11">
        <v>2002</v>
      </c>
      <c r="D315" s="529"/>
      <c r="E315" s="913">
        <v>39141</v>
      </c>
      <c r="F315" s="934">
        <v>25000</v>
      </c>
      <c r="G315" s="911">
        <f>0.1074-0.1052</f>
        <v>2.1999999999999936E-3</v>
      </c>
      <c r="H315" s="1117" t="s">
        <v>647</v>
      </c>
      <c r="I315" s="1117"/>
      <c r="J315" s="885">
        <v>0</v>
      </c>
      <c r="K315" s="909">
        <v>0</v>
      </c>
      <c r="L315" s="891">
        <v>1705</v>
      </c>
      <c r="M315" s="885">
        <v>0</v>
      </c>
      <c r="N315" s="909">
        <v>0</v>
      </c>
      <c r="O315" s="891">
        <v>1540</v>
      </c>
      <c r="P315" s="885">
        <v>0</v>
      </c>
      <c r="Q315" s="909">
        <v>0</v>
      </c>
      <c r="R315" s="891">
        <v>1705</v>
      </c>
      <c r="S315" s="885">
        <v>0</v>
      </c>
      <c r="T315" s="909">
        <v>0</v>
      </c>
      <c r="U315" s="891">
        <v>1650</v>
      </c>
      <c r="V315" s="885">
        <v>0</v>
      </c>
      <c r="W315" s="909">
        <v>0</v>
      </c>
      <c r="X315" s="891">
        <v>1705</v>
      </c>
      <c r="Y315" s="885">
        <v>0</v>
      </c>
      <c r="Z315" s="909">
        <v>0</v>
      </c>
      <c r="AA315" s="891">
        <v>1650</v>
      </c>
      <c r="AB315" s="885">
        <v>0</v>
      </c>
      <c r="AC315" s="909">
        <v>0</v>
      </c>
      <c r="AD315" s="891">
        <v>1705</v>
      </c>
      <c r="AE315" s="885">
        <v>0</v>
      </c>
      <c r="AF315" s="909">
        <v>0</v>
      </c>
      <c r="AG315" s="891">
        <v>1705</v>
      </c>
      <c r="AH315" s="885">
        <v>0</v>
      </c>
      <c r="AI315" s="909">
        <v>0</v>
      </c>
      <c r="AJ315" s="891">
        <v>1650</v>
      </c>
      <c r="AK315" s="885">
        <v>0</v>
      </c>
      <c r="AL315" s="909">
        <v>0</v>
      </c>
      <c r="AM315" s="891">
        <v>1705</v>
      </c>
      <c r="AN315" s="885">
        <v>0</v>
      </c>
      <c r="AO315" s="909">
        <v>0</v>
      </c>
      <c r="AP315" s="891">
        <v>3300</v>
      </c>
      <c r="AQ315" s="885">
        <v>0</v>
      </c>
      <c r="AR315" s="909">
        <v>0</v>
      </c>
      <c r="AS315" s="891">
        <v>3410</v>
      </c>
      <c r="AT315" s="891"/>
      <c r="AV315" s="823">
        <f>AS315+AP315+AM315+AJ315+AG315+AD315+AA315+X315+U315+R315+O315+L315</f>
        <v>23430</v>
      </c>
      <c r="AW315" s="910"/>
      <c r="AX315" s="823">
        <f>SUM(AV313:AV315)</f>
        <v>20075</v>
      </c>
      <c r="AY315" s="910"/>
      <c r="AZ315" s="823">
        <f>AX315</f>
        <v>20075</v>
      </c>
      <c r="BA315" s="823"/>
      <c r="BB315" s="910"/>
      <c r="BC315" s="823"/>
    </row>
    <row r="316" spans="1:55" x14ac:dyDescent="0.2">
      <c r="A316" s="933"/>
      <c r="B316" s="925"/>
      <c r="D316" s="5"/>
      <c r="E316" s="926"/>
      <c r="F316" s="941"/>
      <c r="G316" s="883"/>
      <c r="H316" s="29"/>
      <c r="I316" s="884"/>
      <c r="J316" s="885"/>
      <c r="K316" s="884"/>
      <c r="L316" s="879"/>
      <c r="M316" s="885"/>
      <c r="N316" s="884"/>
      <c r="O316" s="879"/>
      <c r="P316" s="885"/>
      <c r="Q316" s="884"/>
      <c r="R316" s="879"/>
      <c r="S316" s="885"/>
      <c r="T316" s="884"/>
      <c r="U316" s="879"/>
      <c r="V316" s="885"/>
      <c r="W316" s="884"/>
      <c r="X316" s="879"/>
      <c r="Y316" s="885"/>
      <c r="Z316" s="884"/>
      <c r="AA316" s="879"/>
      <c r="AB316" s="885"/>
      <c r="AC316" s="884"/>
      <c r="AD316" s="879"/>
      <c r="AE316" s="885"/>
      <c r="AF316" s="884"/>
      <c r="AG316" s="879"/>
      <c r="AH316" s="885"/>
      <c r="AI316" s="884"/>
      <c r="AJ316" s="879"/>
      <c r="AK316" s="885"/>
      <c r="AL316" s="884"/>
      <c r="AM316" s="879"/>
      <c r="AN316" s="885"/>
      <c r="AO316" s="884"/>
      <c r="AP316" s="879"/>
      <c r="AQ316" s="885"/>
      <c r="AR316" s="884"/>
      <c r="AS316" s="879"/>
      <c r="AT316" s="879"/>
      <c r="AV316" s="33"/>
      <c r="AW316" s="886"/>
      <c r="AY316" s="886"/>
      <c r="BB316" s="886"/>
    </row>
    <row r="317" spans="1:55" x14ac:dyDescent="0.2">
      <c r="A317" s="933">
        <v>20835</v>
      </c>
      <c r="B317" s="925" t="s">
        <v>293</v>
      </c>
      <c r="C317">
        <v>2001</v>
      </c>
      <c r="D317" s="5"/>
      <c r="E317" s="926">
        <v>37315</v>
      </c>
      <c r="F317" s="941">
        <v>-20000</v>
      </c>
      <c r="G317" s="883">
        <v>0.1052</v>
      </c>
      <c r="H317" s="29">
        <v>1.1000000000000001E-3</v>
      </c>
      <c r="I317" s="884">
        <f>SUM(G317:H317)</f>
        <v>0.10630000000000001</v>
      </c>
      <c r="J317" s="885">
        <f>$F317</f>
        <v>-20000</v>
      </c>
      <c r="K317" s="884">
        <f>$G317</f>
        <v>0.1052</v>
      </c>
      <c r="L317" s="879">
        <f>J317*K317*L$7</f>
        <v>-65224</v>
      </c>
      <c r="M317" s="885">
        <f>$F317</f>
        <v>-20000</v>
      </c>
      <c r="N317" s="884">
        <f>$G317</f>
        <v>0.1052</v>
      </c>
      <c r="O317" s="879">
        <f>M317*N317*O$7</f>
        <v>-58912</v>
      </c>
      <c r="P317" s="885">
        <f>$F317</f>
        <v>-20000</v>
      </c>
      <c r="Q317" s="884">
        <f>$G317</f>
        <v>0.1052</v>
      </c>
      <c r="R317" s="879">
        <f>P317*Q317*R$7</f>
        <v>-65224</v>
      </c>
      <c r="S317" s="885">
        <f>$F317</f>
        <v>-20000</v>
      </c>
      <c r="T317" s="884">
        <f>$G317</f>
        <v>0.1052</v>
      </c>
      <c r="U317" s="879">
        <f>S317*T317*U$7</f>
        <v>-63120</v>
      </c>
      <c r="V317" s="885">
        <f>$F317</f>
        <v>-20000</v>
      </c>
      <c r="W317" s="884">
        <f>$G317</f>
        <v>0.1052</v>
      </c>
      <c r="X317" s="879">
        <f>V317*W317*X$7</f>
        <v>-65224</v>
      </c>
      <c r="Y317" s="885">
        <f>$F317</f>
        <v>-20000</v>
      </c>
      <c r="Z317" s="884">
        <f>$G317</f>
        <v>0.1052</v>
      </c>
      <c r="AA317" s="879">
        <f>Y317*Z317*AA$7</f>
        <v>-63120</v>
      </c>
      <c r="AB317" s="885">
        <f>$F317</f>
        <v>-20000</v>
      </c>
      <c r="AC317" s="884">
        <f>$G317</f>
        <v>0.1052</v>
      </c>
      <c r="AD317" s="879">
        <f>AB317*AC317*AD$7</f>
        <v>-65224</v>
      </c>
      <c r="AE317" s="885">
        <f>$F317</f>
        <v>-20000</v>
      </c>
      <c r="AF317" s="884">
        <f>$G317</f>
        <v>0.1052</v>
      </c>
      <c r="AG317" s="879">
        <f>AE317*AF317*AG$7</f>
        <v>-65224</v>
      </c>
      <c r="AH317" s="885">
        <f>$F317</f>
        <v>-20000</v>
      </c>
      <c r="AI317" s="884">
        <f>$G317</f>
        <v>0.1052</v>
      </c>
      <c r="AJ317" s="879">
        <f>AH317*AI317*AJ$7</f>
        <v>-63120</v>
      </c>
      <c r="AK317" s="885">
        <f>$F317</f>
        <v>-20000</v>
      </c>
      <c r="AL317" s="884">
        <f>$G317</f>
        <v>0.1052</v>
      </c>
      <c r="AM317" s="879">
        <f>AK317*AL317*AM$7</f>
        <v>-65224</v>
      </c>
      <c r="AN317" s="885">
        <f>$F317</f>
        <v>-20000</v>
      </c>
      <c r="AO317" s="884">
        <f>$G317+0.0022</f>
        <v>0.1074</v>
      </c>
      <c r="AP317" s="879">
        <f>AN317*AO317*AP$7</f>
        <v>-64440</v>
      </c>
      <c r="AQ317" s="885">
        <f>$F317</f>
        <v>-20000</v>
      </c>
      <c r="AR317" s="884">
        <f>$G317+0.0022</f>
        <v>0.1074</v>
      </c>
      <c r="AS317" s="879">
        <f>AQ317*AR317*AS$7</f>
        <v>-66588</v>
      </c>
      <c r="AT317" s="879"/>
      <c r="AV317" s="823">
        <f>AS317+AP317+AM317+AJ317+AG317+AD317+AA317+X317+U317+R317+O317+L317</f>
        <v>-770644</v>
      </c>
      <c r="AW317" s="910"/>
      <c r="AY317" s="910"/>
      <c r="BB317" s="910"/>
    </row>
    <row r="318" spans="1:55" s="11" customFormat="1" x14ac:dyDescent="0.2">
      <c r="A318" s="175">
        <v>20835</v>
      </c>
      <c r="B318" s="175" t="s">
        <v>293</v>
      </c>
      <c r="C318" s="11">
        <v>2002</v>
      </c>
      <c r="D318" s="579" t="s">
        <v>535</v>
      </c>
      <c r="E318" s="181">
        <v>37315</v>
      </c>
      <c r="F318" s="733">
        <v>20000</v>
      </c>
      <c r="G318" s="170">
        <v>0.1052</v>
      </c>
      <c r="H318" s="565">
        <v>1.1000000000000001E-3</v>
      </c>
      <c r="I318" s="909">
        <f>SUM(G318:H318)</f>
        <v>0.10630000000000001</v>
      </c>
      <c r="J318" s="885">
        <f>$F318</f>
        <v>20000</v>
      </c>
      <c r="K318" s="909">
        <f>$G318</f>
        <v>0.1052</v>
      </c>
      <c r="L318" s="891">
        <f>J318*K318*L$7</f>
        <v>65224</v>
      </c>
      <c r="M318" s="885">
        <f>$F318</f>
        <v>20000</v>
      </c>
      <c r="N318" s="909">
        <f>$G318</f>
        <v>0.1052</v>
      </c>
      <c r="O318" s="891">
        <f>M318*N318*O$7</f>
        <v>58912</v>
      </c>
      <c r="P318" s="885">
        <f>$F318</f>
        <v>20000</v>
      </c>
      <c r="Q318" s="909">
        <f>$G318</f>
        <v>0.1052</v>
      </c>
      <c r="R318" s="891">
        <f>P318*Q318*R$7</f>
        <v>65224</v>
      </c>
      <c r="S318" s="885">
        <f>$F318</f>
        <v>20000</v>
      </c>
      <c r="T318" s="909">
        <f>$G318</f>
        <v>0.1052</v>
      </c>
      <c r="U318" s="891">
        <f>S318*T318*U$7</f>
        <v>63120</v>
      </c>
      <c r="V318" s="885">
        <f>$F318</f>
        <v>20000</v>
      </c>
      <c r="W318" s="909">
        <f>$G318</f>
        <v>0.1052</v>
      </c>
      <c r="X318" s="891">
        <f>V318*W318*X$7</f>
        <v>65224</v>
      </c>
      <c r="Y318" s="885">
        <f>$F318</f>
        <v>20000</v>
      </c>
      <c r="Z318" s="909">
        <f>$G318</f>
        <v>0.1052</v>
      </c>
      <c r="AA318" s="891">
        <f>Y318*Z318*AA$7</f>
        <v>63120</v>
      </c>
      <c r="AB318" s="885">
        <f>$F318</f>
        <v>20000</v>
      </c>
      <c r="AC318" s="909">
        <f>$G318</f>
        <v>0.1052</v>
      </c>
      <c r="AD318" s="891">
        <f>AB318*AC318*AD$7</f>
        <v>65224</v>
      </c>
      <c r="AE318" s="885">
        <f>$F318</f>
        <v>20000</v>
      </c>
      <c r="AF318" s="909">
        <f>$G318</f>
        <v>0.1052</v>
      </c>
      <c r="AG318" s="891">
        <f>AE318*AF318*AG$7</f>
        <v>65224</v>
      </c>
      <c r="AH318" s="885">
        <f>$F318</f>
        <v>20000</v>
      </c>
      <c r="AI318" s="909">
        <f>$G318</f>
        <v>0.1052</v>
      </c>
      <c r="AJ318" s="891">
        <f>AH318*AI318*AJ$7</f>
        <v>63120</v>
      </c>
      <c r="AK318" s="885">
        <f>$F318</f>
        <v>20000</v>
      </c>
      <c r="AL318" s="909">
        <f>$G318</f>
        <v>0.1052</v>
      </c>
      <c r="AM318" s="891">
        <f>AK318*AL318*AM$7</f>
        <v>65224</v>
      </c>
      <c r="AN318" s="885">
        <f>$F318</f>
        <v>20000</v>
      </c>
      <c r="AO318" s="909">
        <f>$G318</f>
        <v>0.1052</v>
      </c>
      <c r="AP318" s="891">
        <f>AN318*AO318*AP$7</f>
        <v>63120</v>
      </c>
      <c r="AQ318" s="885">
        <f>$F318</f>
        <v>20000</v>
      </c>
      <c r="AR318" s="909">
        <f>$G318</f>
        <v>0.1052</v>
      </c>
      <c r="AS318" s="891">
        <f>AQ318*AR318*AS$7</f>
        <v>65224</v>
      </c>
      <c r="AT318" s="891"/>
      <c r="AV318" s="823">
        <f>AS318+AP318+AM318+AJ318+AG318+AD318+AA318+X318+U318+R318+O318+L318</f>
        <v>767960</v>
      </c>
      <c r="AW318" s="910"/>
      <c r="AX318" s="823"/>
      <c r="AY318" s="910"/>
      <c r="BB318" s="910"/>
    </row>
    <row r="319" spans="1:55" s="11" customFormat="1" x14ac:dyDescent="0.2">
      <c r="A319" s="617">
        <v>20835</v>
      </c>
      <c r="B319" s="617" t="s">
        <v>649</v>
      </c>
      <c r="C319" s="11">
        <v>2002</v>
      </c>
      <c r="D319" s="529"/>
      <c r="E319" s="913">
        <v>37315</v>
      </c>
      <c r="F319" s="934">
        <v>20000</v>
      </c>
      <c r="G319" s="911">
        <f>0.1074-0.1052</f>
        <v>2.1999999999999936E-3</v>
      </c>
      <c r="H319" s="1117" t="s">
        <v>647</v>
      </c>
      <c r="I319" s="1117"/>
      <c r="J319" s="885">
        <v>0</v>
      </c>
      <c r="K319" s="909">
        <v>0</v>
      </c>
      <c r="L319" s="891">
        <v>1364</v>
      </c>
      <c r="M319" s="885">
        <v>0</v>
      </c>
      <c r="N319" s="909">
        <v>0</v>
      </c>
      <c r="O319" s="891">
        <v>1232</v>
      </c>
      <c r="P319" s="885">
        <v>0</v>
      </c>
      <c r="Q319" s="909">
        <v>0</v>
      </c>
      <c r="R319" s="891">
        <v>0</v>
      </c>
      <c r="S319" s="885">
        <v>0</v>
      </c>
      <c r="T319" s="909">
        <v>0</v>
      </c>
      <c r="U319" s="891">
        <v>0</v>
      </c>
      <c r="V319" s="885">
        <v>0</v>
      </c>
      <c r="W319" s="909">
        <v>0</v>
      </c>
      <c r="X319" s="891">
        <v>0</v>
      </c>
      <c r="Y319" s="885">
        <v>0</v>
      </c>
      <c r="Z319" s="909">
        <v>0</v>
      </c>
      <c r="AA319" s="891">
        <v>0</v>
      </c>
      <c r="AB319" s="885">
        <v>0</v>
      </c>
      <c r="AC319" s="909">
        <v>0</v>
      </c>
      <c r="AD319" s="891">
        <v>0</v>
      </c>
      <c r="AE319" s="885">
        <v>0</v>
      </c>
      <c r="AF319" s="909">
        <v>0</v>
      </c>
      <c r="AG319" s="891">
        <v>0</v>
      </c>
      <c r="AH319" s="885">
        <v>0</v>
      </c>
      <c r="AI319" s="909">
        <v>0</v>
      </c>
      <c r="AJ319" s="891">
        <v>0</v>
      </c>
      <c r="AK319" s="885">
        <v>0</v>
      </c>
      <c r="AL319" s="909">
        <v>0</v>
      </c>
      <c r="AM319" s="891">
        <v>0</v>
      </c>
      <c r="AN319" s="885">
        <v>0</v>
      </c>
      <c r="AO319" s="909">
        <v>0</v>
      </c>
      <c r="AP319" s="891">
        <v>0</v>
      </c>
      <c r="AQ319" s="885">
        <v>0</v>
      </c>
      <c r="AR319" s="909">
        <v>0</v>
      </c>
      <c r="AS319" s="891">
        <v>0</v>
      </c>
      <c r="AT319" s="891"/>
      <c r="AV319" s="823">
        <f>AS319+AP319+AM319+AJ319+AG319+AD319+AA319+X319+U319+R319+O319+L319</f>
        <v>2596</v>
      </c>
      <c r="AW319" s="910"/>
      <c r="AX319" s="823">
        <f>SUM(AV317:AV319)</f>
        <v>-88</v>
      </c>
      <c r="AY319" s="910"/>
      <c r="AZ319" s="823">
        <f>AX319</f>
        <v>-88</v>
      </c>
      <c r="BA319" s="823"/>
      <c r="BB319" s="910"/>
      <c r="BC319" s="823"/>
    </row>
    <row r="320" spans="1:55" x14ac:dyDescent="0.2">
      <c r="AW320" s="389"/>
      <c r="AY320" s="389"/>
      <c r="BB320" s="389"/>
    </row>
    <row r="321" spans="1:55" x14ac:dyDescent="0.2">
      <c r="A321" s="933">
        <v>26677</v>
      </c>
      <c r="B321" s="925" t="s">
        <v>733</v>
      </c>
      <c r="C321">
        <v>2001</v>
      </c>
      <c r="D321" s="5"/>
      <c r="E321" s="926">
        <v>39172</v>
      </c>
      <c r="F321" s="941">
        <v>-25000</v>
      </c>
      <c r="G321" s="883">
        <v>0.1052</v>
      </c>
      <c r="H321" s="29">
        <v>1.1000000000000001E-3</v>
      </c>
      <c r="I321" s="884">
        <f>SUM(G321:H321)</f>
        <v>0.10630000000000001</v>
      </c>
      <c r="J321" s="885">
        <f>$F321</f>
        <v>-25000</v>
      </c>
      <c r="K321" s="884">
        <f>$G321</f>
        <v>0.1052</v>
      </c>
      <c r="L321" s="879">
        <f>J321*K321*L$7</f>
        <v>-81530</v>
      </c>
      <c r="M321" s="885">
        <f>$F321</f>
        <v>-25000</v>
      </c>
      <c r="N321" s="884">
        <f>$G321</f>
        <v>0.1052</v>
      </c>
      <c r="O321" s="879">
        <f>M321*N321*O$7</f>
        <v>-73640</v>
      </c>
      <c r="P321" s="885">
        <f>$F321</f>
        <v>-25000</v>
      </c>
      <c r="Q321" s="884">
        <f>$G321</f>
        <v>0.1052</v>
      </c>
      <c r="R321" s="879">
        <f>P321*Q321*R$7</f>
        <v>-81530</v>
      </c>
      <c r="S321" s="885">
        <f>$F321</f>
        <v>-25000</v>
      </c>
      <c r="T321" s="884">
        <f>$G321</f>
        <v>0.1052</v>
      </c>
      <c r="U321" s="879">
        <f>S321*T321*U$7</f>
        <v>-78900</v>
      </c>
      <c r="V321" s="885">
        <f>$F321</f>
        <v>-25000</v>
      </c>
      <c r="W321" s="884">
        <f>$G321</f>
        <v>0.1052</v>
      </c>
      <c r="X321" s="879">
        <f>V321*W321*X$7</f>
        <v>-81530</v>
      </c>
      <c r="Y321" s="885">
        <f>$F321</f>
        <v>-25000</v>
      </c>
      <c r="Z321" s="884">
        <f>$G321</f>
        <v>0.1052</v>
      </c>
      <c r="AA321" s="879">
        <f>Y321*Z321*AA$7</f>
        <v>-78900</v>
      </c>
      <c r="AB321" s="885">
        <f>$F321</f>
        <v>-25000</v>
      </c>
      <c r="AC321" s="884">
        <f>$G321</f>
        <v>0.1052</v>
      </c>
      <c r="AD321" s="879">
        <f>AB321*AC321*AD$7</f>
        <v>-81530</v>
      </c>
      <c r="AE321" s="885">
        <f>$F321</f>
        <v>-25000</v>
      </c>
      <c r="AF321" s="884">
        <f>$G321</f>
        <v>0.1052</v>
      </c>
      <c r="AG321" s="879">
        <f>AE321*AF321*AG$7</f>
        <v>-81530</v>
      </c>
      <c r="AH321" s="885">
        <f>$F321</f>
        <v>-25000</v>
      </c>
      <c r="AI321" s="884">
        <f>$G321</f>
        <v>0.1052</v>
      </c>
      <c r="AJ321" s="879">
        <f>AH321*AI321*AJ$7</f>
        <v>-78900</v>
      </c>
      <c r="AK321" s="885">
        <f>$F321</f>
        <v>-25000</v>
      </c>
      <c r="AL321" s="884">
        <f>$G321</f>
        <v>0.1052</v>
      </c>
      <c r="AM321" s="879">
        <f>AK321*AL321*AM$7</f>
        <v>-81530</v>
      </c>
      <c r="AN321" s="885">
        <f>$F321</f>
        <v>-25000</v>
      </c>
      <c r="AO321" s="884">
        <f>$G321+0.0022</f>
        <v>0.1074</v>
      </c>
      <c r="AP321" s="879">
        <f>AN321*AO321*AP$7</f>
        <v>-80550</v>
      </c>
      <c r="AQ321" s="885">
        <f>$F321</f>
        <v>-25000</v>
      </c>
      <c r="AR321" s="884">
        <f>$G321+0.0022</f>
        <v>0.1074</v>
      </c>
      <c r="AS321" s="879">
        <f>AQ321*AR321*AS$7</f>
        <v>-83235</v>
      </c>
      <c r="AT321" s="879"/>
      <c r="AV321" s="823">
        <f>AS321+AP321+AM321+AJ321+AG321+AD321+AA321+X321+U321+R321+O321+L321</f>
        <v>-963305</v>
      </c>
      <c r="AW321" s="910"/>
      <c r="AY321" s="910"/>
      <c r="BB321" s="910"/>
    </row>
    <row r="322" spans="1:55" s="11" customFormat="1" x14ac:dyDescent="0.2">
      <c r="A322" s="175">
        <v>26677</v>
      </c>
      <c r="B322" s="510" t="s">
        <v>544</v>
      </c>
      <c r="C322" s="11">
        <v>2002</v>
      </c>
      <c r="D322" s="579" t="s">
        <v>535</v>
      </c>
      <c r="E322" s="181">
        <v>39172</v>
      </c>
      <c r="F322" s="733">
        <v>25000</v>
      </c>
      <c r="G322" s="170">
        <v>0.1052</v>
      </c>
      <c r="H322" s="565">
        <v>1.1000000000000001E-3</v>
      </c>
      <c r="I322" s="909">
        <f>SUM(G322:H322)</f>
        <v>0.10630000000000001</v>
      </c>
      <c r="J322" s="885">
        <f>$F322</f>
        <v>25000</v>
      </c>
      <c r="K322" s="909">
        <f>$G322</f>
        <v>0.1052</v>
      </c>
      <c r="L322" s="891">
        <f>J322*K322*L$7</f>
        <v>81530</v>
      </c>
      <c r="M322" s="885">
        <f>$F322</f>
        <v>25000</v>
      </c>
      <c r="N322" s="909">
        <f>$G322</f>
        <v>0.1052</v>
      </c>
      <c r="O322" s="891">
        <f>M322*N322*O$7</f>
        <v>73640</v>
      </c>
      <c r="P322" s="885">
        <f>$F322</f>
        <v>25000</v>
      </c>
      <c r="Q322" s="909">
        <f>$G322</f>
        <v>0.1052</v>
      </c>
      <c r="R322" s="891">
        <f>P322*Q322*R$7</f>
        <v>81530</v>
      </c>
      <c r="S322" s="885">
        <f>$F322</f>
        <v>25000</v>
      </c>
      <c r="T322" s="909">
        <f>$G322</f>
        <v>0.1052</v>
      </c>
      <c r="U322" s="891">
        <f>S322*T322*U$7</f>
        <v>78900</v>
      </c>
      <c r="V322" s="885">
        <f>$F322</f>
        <v>25000</v>
      </c>
      <c r="W322" s="909">
        <f>$G322</f>
        <v>0.1052</v>
      </c>
      <c r="X322" s="891">
        <f>V322*W322*X$7</f>
        <v>81530</v>
      </c>
      <c r="Y322" s="885">
        <f>$F322</f>
        <v>25000</v>
      </c>
      <c r="Z322" s="909">
        <f>$G322</f>
        <v>0.1052</v>
      </c>
      <c r="AA322" s="891">
        <f>Y322*Z322*AA$7</f>
        <v>78900</v>
      </c>
      <c r="AB322" s="885">
        <f>$F322</f>
        <v>25000</v>
      </c>
      <c r="AC322" s="909">
        <f>$G322</f>
        <v>0.1052</v>
      </c>
      <c r="AD322" s="891">
        <f>AB322*AC322*AD$7</f>
        <v>81530</v>
      </c>
      <c r="AE322" s="885">
        <f>$F322</f>
        <v>25000</v>
      </c>
      <c r="AF322" s="909">
        <f>$G322</f>
        <v>0.1052</v>
      </c>
      <c r="AG322" s="891">
        <f>AE322*AF322*AG$7</f>
        <v>81530</v>
      </c>
      <c r="AH322" s="885">
        <f>$F322</f>
        <v>25000</v>
      </c>
      <c r="AI322" s="909">
        <f>$G322</f>
        <v>0.1052</v>
      </c>
      <c r="AJ322" s="891">
        <f>AH322*AI322*AJ$7</f>
        <v>78900</v>
      </c>
      <c r="AK322" s="885">
        <f>$F322</f>
        <v>25000</v>
      </c>
      <c r="AL322" s="909">
        <f>$G322</f>
        <v>0.1052</v>
      </c>
      <c r="AM322" s="891">
        <f>AK322*AL322*AM$7</f>
        <v>81530</v>
      </c>
      <c r="AN322" s="885">
        <f>$F322</f>
        <v>25000</v>
      </c>
      <c r="AO322" s="909">
        <f>$G322</f>
        <v>0.1052</v>
      </c>
      <c r="AP322" s="891">
        <f>AN322*AO322*AP$7</f>
        <v>78900</v>
      </c>
      <c r="AQ322" s="885">
        <f>$F322</f>
        <v>25000</v>
      </c>
      <c r="AR322" s="909">
        <f>$G322</f>
        <v>0.1052</v>
      </c>
      <c r="AS322" s="891">
        <f>AQ322*AR322*AS$7</f>
        <v>81530</v>
      </c>
      <c r="AT322" s="891"/>
      <c r="AV322" s="823">
        <f>AS322+AP322+AM322+AJ322+AG322+AD322+AA322+X322+U322+R322+O322+L322</f>
        <v>959950</v>
      </c>
      <c r="AW322" s="910"/>
      <c r="AX322" s="823"/>
      <c r="AY322" s="910"/>
      <c r="BB322" s="910"/>
    </row>
    <row r="323" spans="1:55" s="11" customFormat="1" x14ac:dyDescent="0.2">
      <c r="A323" s="617">
        <v>26678</v>
      </c>
      <c r="B323" s="617" t="s">
        <v>650</v>
      </c>
      <c r="C323" s="11">
        <v>2002</v>
      </c>
      <c r="D323" s="529"/>
      <c r="E323" s="913">
        <v>39172</v>
      </c>
      <c r="F323" s="934">
        <v>25000</v>
      </c>
      <c r="G323" s="911">
        <f>0.1074-0.1052</f>
        <v>2.1999999999999936E-3</v>
      </c>
      <c r="H323" s="1117" t="s">
        <v>647</v>
      </c>
      <c r="I323" s="1117"/>
      <c r="J323" s="885">
        <v>0</v>
      </c>
      <c r="K323" s="909">
        <v>0</v>
      </c>
      <c r="L323" s="891">
        <v>1705</v>
      </c>
      <c r="M323" s="885">
        <v>0</v>
      </c>
      <c r="N323" s="909">
        <v>0</v>
      </c>
      <c r="O323" s="891">
        <v>1540</v>
      </c>
      <c r="P323" s="885">
        <v>0</v>
      </c>
      <c r="Q323" s="909">
        <v>0</v>
      </c>
      <c r="R323" s="891">
        <v>1705</v>
      </c>
      <c r="S323" s="885">
        <v>0</v>
      </c>
      <c r="T323" s="909">
        <v>0</v>
      </c>
      <c r="U323" s="891">
        <v>1650</v>
      </c>
      <c r="V323" s="885">
        <v>0</v>
      </c>
      <c r="W323" s="909">
        <v>0</v>
      </c>
      <c r="X323" s="891">
        <v>1705</v>
      </c>
      <c r="Y323" s="885">
        <v>0</v>
      </c>
      <c r="Z323" s="909">
        <v>0</v>
      </c>
      <c r="AA323" s="891">
        <v>1650</v>
      </c>
      <c r="AB323" s="885">
        <v>0</v>
      </c>
      <c r="AC323" s="909">
        <v>0</v>
      </c>
      <c r="AD323" s="891">
        <v>1705</v>
      </c>
      <c r="AE323" s="885">
        <v>0</v>
      </c>
      <c r="AF323" s="909">
        <v>0</v>
      </c>
      <c r="AG323" s="891">
        <v>1705</v>
      </c>
      <c r="AH323" s="885">
        <v>0</v>
      </c>
      <c r="AI323" s="909">
        <v>0</v>
      </c>
      <c r="AJ323" s="891">
        <v>1650</v>
      </c>
      <c r="AK323" s="885">
        <v>0</v>
      </c>
      <c r="AL323" s="909">
        <v>0</v>
      </c>
      <c r="AM323" s="891">
        <v>1705</v>
      </c>
      <c r="AN323" s="885">
        <v>0</v>
      </c>
      <c r="AO323" s="909">
        <v>0</v>
      </c>
      <c r="AP323" s="891">
        <v>3300</v>
      </c>
      <c r="AQ323" s="885">
        <v>0</v>
      </c>
      <c r="AR323" s="909">
        <v>0</v>
      </c>
      <c r="AS323" s="891">
        <v>3410</v>
      </c>
      <c r="AT323" s="891"/>
      <c r="AV323" s="823">
        <f>AS323+AP323+AM323+AJ323+AG323+AD323+AA323+X323+U323+R323+O323+L323</f>
        <v>23430</v>
      </c>
      <c r="AW323" s="910"/>
      <c r="AX323" s="823">
        <f>SUM(AV321:AV323)</f>
        <v>20075</v>
      </c>
      <c r="AY323" s="910"/>
      <c r="AZ323" s="823">
        <f>AX323</f>
        <v>20075</v>
      </c>
      <c r="BA323" s="823"/>
      <c r="BB323" s="910"/>
      <c r="BC323" s="823"/>
    </row>
    <row r="324" spans="1:55" x14ac:dyDescent="0.2">
      <c r="A324" s="933"/>
      <c r="B324" s="925"/>
      <c r="D324" s="5"/>
      <c r="E324" s="926"/>
      <c r="F324" s="941"/>
      <c r="G324" s="883"/>
      <c r="H324" s="29"/>
      <c r="I324" s="884"/>
      <c r="J324" s="885"/>
      <c r="K324" s="884"/>
      <c r="L324" s="879"/>
      <c r="M324" s="885"/>
      <c r="N324" s="884"/>
      <c r="O324" s="879"/>
      <c r="P324" s="885"/>
      <c r="Q324" s="884"/>
      <c r="R324" s="879"/>
      <c r="S324" s="885"/>
      <c r="T324" s="884"/>
      <c r="U324" s="879"/>
      <c r="V324" s="885"/>
      <c r="W324" s="884"/>
      <c r="X324" s="879"/>
      <c r="Y324" s="885"/>
      <c r="Z324" s="884"/>
      <c r="AA324" s="879"/>
      <c r="AB324" s="885"/>
      <c r="AC324" s="884"/>
      <c r="AD324" s="879"/>
      <c r="AE324" s="885"/>
      <c r="AF324" s="884"/>
      <c r="AG324" s="879"/>
      <c r="AH324" s="885"/>
      <c r="AI324" s="884"/>
      <c r="AJ324" s="879"/>
      <c r="AK324" s="885"/>
      <c r="AL324" s="884"/>
      <c r="AM324" s="879"/>
      <c r="AN324" s="885"/>
      <c r="AO324" s="884"/>
      <c r="AP324" s="879"/>
      <c r="AQ324" s="885"/>
      <c r="AR324" s="884"/>
      <c r="AS324" s="879"/>
      <c r="AT324" s="879"/>
      <c r="AV324" s="33"/>
      <c r="AW324" s="886"/>
      <c r="AY324" s="886"/>
      <c r="BB324" s="886"/>
    </row>
    <row r="325" spans="1:55" x14ac:dyDescent="0.2">
      <c r="A325" s="933">
        <v>26371</v>
      </c>
      <c r="B325" s="925" t="s">
        <v>734</v>
      </c>
      <c r="C325">
        <v>2001</v>
      </c>
      <c r="D325" s="5"/>
      <c r="E325" s="926">
        <v>39172</v>
      </c>
      <c r="F325" s="941">
        <v>-25000</v>
      </c>
      <c r="G325" s="883">
        <v>0.1052</v>
      </c>
      <c r="H325" s="29">
        <v>1.1000000000000001E-3</v>
      </c>
      <c r="I325" s="884">
        <f>SUM(G325:H325)</f>
        <v>0.10630000000000001</v>
      </c>
      <c r="J325" s="885">
        <f>$F325</f>
        <v>-25000</v>
      </c>
      <c r="K325" s="884">
        <f>$G325</f>
        <v>0.1052</v>
      </c>
      <c r="L325" s="879">
        <f>J325*K325*L$7</f>
        <v>-81530</v>
      </c>
      <c r="M325" s="885">
        <f>$F325</f>
        <v>-25000</v>
      </c>
      <c r="N325" s="884">
        <f>$G325</f>
        <v>0.1052</v>
      </c>
      <c r="O325" s="879">
        <f>M325*N325*O$7</f>
        <v>-73640</v>
      </c>
      <c r="P325" s="885">
        <f>$F325</f>
        <v>-25000</v>
      </c>
      <c r="Q325" s="884">
        <f>$G325</f>
        <v>0.1052</v>
      </c>
      <c r="R325" s="879">
        <f>P325*Q325*R$7</f>
        <v>-81530</v>
      </c>
      <c r="S325" s="885">
        <f>$F325</f>
        <v>-25000</v>
      </c>
      <c r="T325" s="884">
        <f>$G325</f>
        <v>0.1052</v>
      </c>
      <c r="U325" s="879">
        <f>S325*T325*U$7</f>
        <v>-78900</v>
      </c>
      <c r="V325" s="885">
        <f>$F325</f>
        <v>-25000</v>
      </c>
      <c r="W325" s="884">
        <f>$G325</f>
        <v>0.1052</v>
      </c>
      <c r="X325" s="879">
        <f>V325*W325*X$7</f>
        <v>-81530</v>
      </c>
      <c r="Y325" s="885">
        <f>$F325</f>
        <v>-25000</v>
      </c>
      <c r="Z325" s="884">
        <f>$G325</f>
        <v>0.1052</v>
      </c>
      <c r="AA325" s="879">
        <f>Y325*Z325*AA$7</f>
        <v>-78900</v>
      </c>
      <c r="AB325" s="885">
        <f>$F325</f>
        <v>-25000</v>
      </c>
      <c r="AC325" s="884">
        <f>$G325</f>
        <v>0.1052</v>
      </c>
      <c r="AD325" s="879">
        <f>AB325*AC325*AD$7</f>
        <v>-81530</v>
      </c>
      <c r="AE325" s="885">
        <f>$F325</f>
        <v>-25000</v>
      </c>
      <c r="AF325" s="884">
        <f>$G325</f>
        <v>0.1052</v>
      </c>
      <c r="AG325" s="879">
        <f>AE325*AF325*AG$7</f>
        <v>-81530</v>
      </c>
      <c r="AH325" s="885">
        <f>$F325</f>
        <v>-25000</v>
      </c>
      <c r="AI325" s="884">
        <f>$G325</f>
        <v>0.1052</v>
      </c>
      <c r="AJ325" s="879">
        <f>AH325*AI325*AJ$7</f>
        <v>-78900</v>
      </c>
      <c r="AK325" s="885">
        <f>$F325</f>
        <v>-25000</v>
      </c>
      <c r="AL325" s="884">
        <f>$G325</f>
        <v>0.1052</v>
      </c>
      <c r="AM325" s="879">
        <f>AK325*AL325*AM$7</f>
        <v>-81530</v>
      </c>
      <c r="AN325" s="885">
        <f>$F325</f>
        <v>-25000</v>
      </c>
      <c r="AO325" s="884">
        <f>$G325+0.0022</f>
        <v>0.1074</v>
      </c>
      <c r="AP325" s="879">
        <f>AN325*AO325*AP$7</f>
        <v>-80550</v>
      </c>
      <c r="AQ325" s="885">
        <f>$F325</f>
        <v>-25000</v>
      </c>
      <c r="AR325" s="884">
        <f>$G325+0.0022</f>
        <v>0.1074</v>
      </c>
      <c r="AS325" s="879">
        <f>AQ325*AR325*AS$7</f>
        <v>-83235</v>
      </c>
      <c r="AT325" s="879"/>
      <c r="AV325" s="823">
        <f>AS325+AP325+AM325+AJ325+AG325+AD325+AA325+X325+U325+R325+O325+L325</f>
        <v>-963305</v>
      </c>
      <c r="AW325" s="910"/>
      <c r="AY325" s="910"/>
      <c r="BB325" s="910"/>
    </row>
    <row r="326" spans="1:55" s="11" customFormat="1" x14ac:dyDescent="0.2">
      <c r="A326" s="175">
        <v>26371</v>
      </c>
      <c r="B326" s="510" t="s">
        <v>542</v>
      </c>
      <c r="C326" s="11">
        <v>2002</v>
      </c>
      <c r="D326" s="579" t="s">
        <v>535</v>
      </c>
      <c r="E326" s="181">
        <v>39172</v>
      </c>
      <c r="F326" s="733">
        <v>25000</v>
      </c>
      <c r="G326" s="170">
        <v>0.1052</v>
      </c>
      <c r="H326" s="565">
        <v>1.1000000000000001E-3</v>
      </c>
      <c r="I326" s="909">
        <f>SUM(G326:H326)</f>
        <v>0.10630000000000001</v>
      </c>
      <c r="J326" s="885">
        <f>$F326</f>
        <v>25000</v>
      </c>
      <c r="K326" s="909">
        <f>$G326</f>
        <v>0.1052</v>
      </c>
      <c r="L326" s="891">
        <f>J326*K326*L$7</f>
        <v>81530</v>
      </c>
      <c r="M326" s="885">
        <f>$F326</f>
        <v>25000</v>
      </c>
      <c r="N326" s="909">
        <f>$G326</f>
        <v>0.1052</v>
      </c>
      <c r="O326" s="891">
        <f>M326*N326*O$7</f>
        <v>73640</v>
      </c>
      <c r="P326" s="885">
        <f>$F326</f>
        <v>25000</v>
      </c>
      <c r="Q326" s="909">
        <f>$G326</f>
        <v>0.1052</v>
      </c>
      <c r="R326" s="891">
        <f>P326*Q326*R$7</f>
        <v>81530</v>
      </c>
      <c r="S326" s="885">
        <f>$F326</f>
        <v>25000</v>
      </c>
      <c r="T326" s="909">
        <f>$G326</f>
        <v>0.1052</v>
      </c>
      <c r="U326" s="891">
        <f>S326*T326*U$7</f>
        <v>78900</v>
      </c>
      <c r="V326" s="885">
        <f>$F326</f>
        <v>25000</v>
      </c>
      <c r="W326" s="909">
        <f>$G326</f>
        <v>0.1052</v>
      </c>
      <c r="X326" s="891">
        <f>V326*W326*X$7</f>
        <v>81530</v>
      </c>
      <c r="Y326" s="885">
        <f>$F326</f>
        <v>25000</v>
      </c>
      <c r="Z326" s="909">
        <f>$G326</f>
        <v>0.1052</v>
      </c>
      <c r="AA326" s="891">
        <f>Y326*Z326*AA$7</f>
        <v>78900</v>
      </c>
      <c r="AB326" s="885">
        <f>$F326</f>
        <v>25000</v>
      </c>
      <c r="AC326" s="909">
        <f>$G326</f>
        <v>0.1052</v>
      </c>
      <c r="AD326" s="891">
        <f>AB326*AC326*AD$7</f>
        <v>81530</v>
      </c>
      <c r="AE326" s="885">
        <f>$F326</f>
        <v>25000</v>
      </c>
      <c r="AF326" s="909">
        <f>$G326</f>
        <v>0.1052</v>
      </c>
      <c r="AG326" s="891">
        <f>AE326*AF326*AG$7</f>
        <v>81530</v>
      </c>
      <c r="AH326" s="885">
        <f>$F326</f>
        <v>25000</v>
      </c>
      <c r="AI326" s="909">
        <f>$G326</f>
        <v>0.1052</v>
      </c>
      <c r="AJ326" s="891">
        <f>AH326*AI326*AJ$7</f>
        <v>78900</v>
      </c>
      <c r="AK326" s="885">
        <f>$F326</f>
        <v>25000</v>
      </c>
      <c r="AL326" s="909">
        <f>$G326</f>
        <v>0.1052</v>
      </c>
      <c r="AM326" s="891">
        <f>AK326*AL326*AM$7</f>
        <v>81530</v>
      </c>
      <c r="AN326" s="885">
        <f>$F326</f>
        <v>25000</v>
      </c>
      <c r="AO326" s="909">
        <f>$G326</f>
        <v>0.1052</v>
      </c>
      <c r="AP326" s="891">
        <f>AN326*AO326*AP$7</f>
        <v>78900</v>
      </c>
      <c r="AQ326" s="885">
        <f>$F326</f>
        <v>25000</v>
      </c>
      <c r="AR326" s="909">
        <f>$G326</f>
        <v>0.1052</v>
      </c>
      <c r="AS326" s="891">
        <f>AQ326*AR326*AS$7</f>
        <v>81530</v>
      </c>
      <c r="AT326" s="891"/>
      <c r="AV326" s="823">
        <f>AS326+AP326+AM326+AJ326+AG326+AD326+AA326+X326+U326+R326+O326+L326</f>
        <v>959950</v>
      </c>
      <c r="AW326" s="910"/>
      <c r="AX326" s="823"/>
      <c r="AY326" s="910"/>
      <c r="BB326" s="910"/>
    </row>
    <row r="327" spans="1:55" s="11" customFormat="1" x14ac:dyDescent="0.2">
      <c r="A327" s="617">
        <v>26372</v>
      </c>
      <c r="B327" s="617" t="s">
        <v>499</v>
      </c>
      <c r="C327" s="11">
        <v>2002</v>
      </c>
      <c r="D327" s="529"/>
      <c r="E327" s="913">
        <v>39172</v>
      </c>
      <c r="F327" s="934">
        <v>25000</v>
      </c>
      <c r="G327" s="911">
        <f>0.1074-0.1052</f>
        <v>2.1999999999999936E-3</v>
      </c>
      <c r="H327" s="1117" t="s">
        <v>647</v>
      </c>
      <c r="I327" s="1117"/>
      <c r="J327" s="885">
        <v>0</v>
      </c>
      <c r="K327" s="909">
        <v>0</v>
      </c>
      <c r="L327" s="891">
        <v>1705</v>
      </c>
      <c r="M327" s="885">
        <v>0</v>
      </c>
      <c r="N327" s="909">
        <v>0</v>
      </c>
      <c r="O327" s="891">
        <v>1540</v>
      </c>
      <c r="P327" s="885">
        <v>0</v>
      </c>
      <c r="Q327" s="909">
        <v>0</v>
      </c>
      <c r="R327" s="891">
        <v>1705</v>
      </c>
      <c r="S327" s="885">
        <v>0</v>
      </c>
      <c r="T327" s="909">
        <v>0</v>
      </c>
      <c r="U327" s="891">
        <v>1650</v>
      </c>
      <c r="V327" s="885">
        <v>0</v>
      </c>
      <c r="W327" s="909">
        <v>0</v>
      </c>
      <c r="X327" s="891">
        <v>1705</v>
      </c>
      <c r="Y327" s="885">
        <v>0</v>
      </c>
      <c r="Z327" s="909">
        <v>0</v>
      </c>
      <c r="AA327" s="891">
        <v>1650</v>
      </c>
      <c r="AB327" s="885">
        <v>0</v>
      </c>
      <c r="AC327" s="909">
        <v>0</v>
      </c>
      <c r="AD327" s="891">
        <v>1705</v>
      </c>
      <c r="AE327" s="885">
        <v>0</v>
      </c>
      <c r="AF327" s="909">
        <v>0</v>
      </c>
      <c r="AG327" s="891">
        <v>1705</v>
      </c>
      <c r="AH327" s="885">
        <v>0</v>
      </c>
      <c r="AI327" s="909">
        <v>0</v>
      </c>
      <c r="AJ327" s="891">
        <v>1650</v>
      </c>
      <c r="AK327" s="885">
        <v>0</v>
      </c>
      <c r="AL327" s="909">
        <v>0</v>
      </c>
      <c r="AM327" s="891">
        <v>1705</v>
      </c>
      <c r="AN327" s="885">
        <v>0</v>
      </c>
      <c r="AO327" s="909">
        <v>0</v>
      </c>
      <c r="AP327" s="891">
        <v>3300</v>
      </c>
      <c r="AQ327" s="885">
        <v>0</v>
      </c>
      <c r="AR327" s="909">
        <v>0</v>
      </c>
      <c r="AS327" s="891">
        <v>3410</v>
      </c>
      <c r="AT327" s="891"/>
      <c r="AV327" s="823">
        <f>AS327+AP327+AM327+AJ327+AG327+AD327+AA327+X327+U327+R327+O327+L327</f>
        <v>23430</v>
      </c>
      <c r="AW327" s="910"/>
      <c r="AX327" s="823">
        <f>SUM(AV325:AV327)</f>
        <v>20075</v>
      </c>
      <c r="AY327" s="910"/>
      <c r="AZ327" s="823">
        <f>AX327</f>
        <v>20075</v>
      </c>
      <c r="BA327" s="823"/>
      <c r="BB327" s="910"/>
      <c r="BC327" s="823"/>
    </row>
    <row r="328" spans="1:55" x14ac:dyDescent="0.2">
      <c r="A328" s="933"/>
      <c r="B328" s="925"/>
      <c r="D328" s="5"/>
      <c r="E328" s="926"/>
      <c r="F328" s="941"/>
      <c r="G328" s="883"/>
      <c r="H328" s="29"/>
      <c r="I328" s="884"/>
      <c r="J328" s="885"/>
      <c r="K328" s="884"/>
      <c r="L328" s="879"/>
      <c r="M328" s="885"/>
      <c r="N328" s="884"/>
      <c r="O328" s="879"/>
      <c r="P328" s="885"/>
      <c r="Q328" s="884"/>
      <c r="R328" s="879"/>
      <c r="S328" s="885"/>
      <c r="T328" s="884"/>
      <c r="U328" s="879"/>
      <c r="V328" s="885"/>
      <c r="W328" s="884"/>
      <c r="X328" s="879"/>
      <c r="Y328" s="885"/>
      <c r="Z328" s="884"/>
      <c r="AA328" s="879"/>
      <c r="AB328" s="885"/>
      <c r="AC328" s="884"/>
      <c r="AD328" s="879"/>
      <c r="AE328" s="885"/>
      <c r="AF328" s="884"/>
      <c r="AG328" s="879"/>
      <c r="AH328" s="885"/>
      <c r="AI328" s="884"/>
      <c r="AJ328" s="879"/>
      <c r="AK328" s="885"/>
      <c r="AL328" s="884"/>
      <c r="AM328" s="879"/>
      <c r="AN328" s="885"/>
      <c r="AO328" s="884"/>
      <c r="AP328" s="879"/>
      <c r="AQ328" s="885"/>
      <c r="AR328" s="884"/>
      <c r="AS328" s="879"/>
      <c r="AT328" s="879"/>
      <c r="AV328" s="33"/>
      <c r="AW328" s="886"/>
      <c r="AY328" s="886"/>
      <c r="BB328" s="886"/>
    </row>
    <row r="329" spans="1:55" x14ac:dyDescent="0.2">
      <c r="A329" s="933">
        <v>21175</v>
      </c>
      <c r="B329" s="925" t="s">
        <v>286</v>
      </c>
      <c r="C329">
        <v>2001</v>
      </c>
      <c r="D329" s="5"/>
      <c r="E329" s="926">
        <v>39172</v>
      </c>
      <c r="F329" s="941">
        <v>-150000</v>
      </c>
      <c r="G329" s="883">
        <v>0.1052</v>
      </c>
      <c r="H329" s="29">
        <v>1.1000000000000001E-3</v>
      </c>
      <c r="I329" s="884">
        <f>SUM(G329:H329)</f>
        <v>0.10630000000000001</v>
      </c>
      <c r="J329" s="885">
        <f>$F329</f>
        <v>-150000</v>
      </c>
      <c r="K329" s="884">
        <f>$G329</f>
        <v>0.1052</v>
      </c>
      <c r="L329" s="879">
        <f>J329*K329*L$7</f>
        <v>-489180</v>
      </c>
      <c r="M329" s="885">
        <f>$F329</f>
        <v>-150000</v>
      </c>
      <c r="N329" s="884">
        <f>$G329</f>
        <v>0.1052</v>
      </c>
      <c r="O329" s="879">
        <f>M329*N329*O$7</f>
        <v>-441840</v>
      </c>
      <c r="P329" s="885">
        <f>$F329</f>
        <v>-150000</v>
      </c>
      <c r="Q329" s="884">
        <f>$G329</f>
        <v>0.1052</v>
      </c>
      <c r="R329" s="879">
        <f>P329*Q329*R$7</f>
        <v>-489180</v>
      </c>
      <c r="S329" s="885">
        <f>$F329</f>
        <v>-150000</v>
      </c>
      <c r="T329" s="884">
        <f>$G329</f>
        <v>0.1052</v>
      </c>
      <c r="U329" s="879">
        <f>S329*T329*U$7</f>
        <v>-473400</v>
      </c>
      <c r="V329" s="885">
        <f>$F329</f>
        <v>-150000</v>
      </c>
      <c r="W329" s="884">
        <f>$G329</f>
        <v>0.1052</v>
      </c>
      <c r="X329" s="879">
        <f>V329*W329*X$7</f>
        <v>-489180</v>
      </c>
      <c r="Y329" s="885">
        <f>$F329</f>
        <v>-150000</v>
      </c>
      <c r="Z329" s="884">
        <f>$G329</f>
        <v>0.1052</v>
      </c>
      <c r="AA329" s="879">
        <f>Y329*Z329*AA$7</f>
        <v>-473400</v>
      </c>
      <c r="AB329" s="885">
        <f>$F329</f>
        <v>-150000</v>
      </c>
      <c r="AC329" s="884">
        <f>$G329</f>
        <v>0.1052</v>
      </c>
      <c r="AD329" s="879">
        <f>AB329*AC329*AD$7</f>
        <v>-489180</v>
      </c>
      <c r="AE329" s="885">
        <f>$F329</f>
        <v>-150000</v>
      </c>
      <c r="AF329" s="884">
        <f>$G329</f>
        <v>0.1052</v>
      </c>
      <c r="AG329" s="879">
        <f>AE329*AF329*AG$7</f>
        <v>-489180</v>
      </c>
      <c r="AH329" s="885">
        <f>$F329</f>
        <v>-150000</v>
      </c>
      <c r="AI329" s="884">
        <f>$G329</f>
        <v>0.1052</v>
      </c>
      <c r="AJ329" s="879">
        <f>AH329*AI329*AJ$7</f>
        <v>-473400</v>
      </c>
      <c r="AK329" s="885">
        <f>$F329</f>
        <v>-150000</v>
      </c>
      <c r="AL329" s="884">
        <f>$G329</f>
        <v>0.1052</v>
      </c>
      <c r="AM329" s="879">
        <f>AK329*AL329*AM$7</f>
        <v>-489180</v>
      </c>
      <c r="AN329" s="885">
        <f>$F329</f>
        <v>-150000</v>
      </c>
      <c r="AO329" s="884">
        <f>$G329+0.0022</f>
        <v>0.1074</v>
      </c>
      <c r="AP329" s="879">
        <f>AN329*AO329*AP$7</f>
        <v>-483300</v>
      </c>
      <c r="AQ329" s="885">
        <f>$F329</f>
        <v>-150000</v>
      </c>
      <c r="AR329" s="884">
        <f>$G329+0.0022</f>
        <v>0.1074</v>
      </c>
      <c r="AS329" s="879">
        <f>AQ329*AR329*AS$7</f>
        <v>-499410</v>
      </c>
      <c r="AT329" s="879"/>
      <c r="AV329" s="823">
        <f>AS329+AP329+AM329+AJ329+AG329+AD329+AA329+X329+U329+R329+O329+L329</f>
        <v>-5779830</v>
      </c>
      <c r="AW329" s="910"/>
      <c r="AY329" s="910"/>
      <c r="BB329" s="910"/>
    </row>
    <row r="330" spans="1:55" s="11" customFormat="1" x14ac:dyDescent="0.2">
      <c r="A330" s="175">
        <v>21175</v>
      </c>
      <c r="B330" s="175" t="s">
        <v>536</v>
      </c>
      <c r="C330" s="11">
        <v>2002</v>
      </c>
      <c r="D330" s="579" t="s">
        <v>535</v>
      </c>
      <c r="E330" s="181">
        <v>39172</v>
      </c>
      <c r="F330" s="733">
        <v>150000</v>
      </c>
      <c r="G330" s="170">
        <v>0.1052</v>
      </c>
      <c r="H330" s="565">
        <v>1.1000000000000001E-3</v>
      </c>
      <c r="I330" s="909">
        <f>SUM(G330:H330)</f>
        <v>0.10630000000000001</v>
      </c>
      <c r="J330" s="885">
        <f>$F330</f>
        <v>150000</v>
      </c>
      <c r="K330" s="909">
        <f>$G330</f>
        <v>0.1052</v>
      </c>
      <c r="L330" s="891">
        <f>J330*K330*L$7</f>
        <v>489180</v>
      </c>
      <c r="M330" s="885">
        <f>$F330</f>
        <v>150000</v>
      </c>
      <c r="N330" s="909">
        <f>$G330</f>
        <v>0.1052</v>
      </c>
      <c r="O330" s="891">
        <f>M330*N330*O$7</f>
        <v>441840</v>
      </c>
      <c r="P330" s="885">
        <f>$F330</f>
        <v>150000</v>
      </c>
      <c r="Q330" s="909">
        <f>$G330</f>
        <v>0.1052</v>
      </c>
      <c r="R330" s="891">
        <f>P330*Q330*R$7</f>
        <v>489180</v>
      </c>
      <c r="S330" s="885">
        <f>$F330</f>
        <v>150000</v>
      </c>
      <c r="T330" s="909">
        <f>$G330</f>
        <v>0.1052</v>
      </c>
      <c r="U330" s="891">
        <f>S330*T330*U$7</f>
        <v>473400</v>
      </c>
      <c r="V330" s="885">
        <f>$F330</f>
        <v>150000</v>
      </c>
      <c r="W330" s="909">
        <f>$G330</f>
        <v>0.1052</v>
      </c>
      <c r="X330" s="891">
        <f>V330*W330*X$7</f>
        <v>489180</v>
      </c>
      <c r="Y330" s="885">
        <f>$F330</f>
        <v>150000</v>
      </c>
      <c r="Z330" s="909">
        <f>$G330</f>
        <v>0.1052</v>
      </c>
      <c r="AA330" s="891">
        <f>Y330*Z330*AA$7</f>
        <v>473400</v>
      </c>
      <c r="AB330" s="885">
        <f>$F330</f>
        <v>150000</v>
      </c>
      <c r="AC330" s="909">
        <f>$G330</f>
        <v>0.1052</v>
      </c>
      <c r="AD330" s="891">
        <f>AB330*AC330*AD$7</f>
        <v>489180</v>
      </c>
      <c r="AE330" s="885">
        <f>$F330</f>
        <v>150000</v>
      </c>
      <c r="AF330" s="909">
        <f>$G330</f>
        <v>0.1052</v>
      </c>
      <c r="AG330" s="891">
        <f>AE330*AF330*AG$7</f>
        <v>489180</v>
      </c>
      <c r="AH330" s="885">
        <f>$F330</f>
        <v>150000</v>
      </c>
      <c r="AI330" s="909">
        <f>$G330</f>
        <v>0.1052</v>
      </c>
      <c r="AJ330" s="891">
        <f>AH330*AI330*AJ$7</f>
        <v>473400</v>
      </c>
      <c r="AK330" s="885">
        <f>$F330</f>
        <v>150000</v>
      </c>
      <c r="AL330" s="909">
        <f>$G330</f>
        <v>0.1052</v>
      </c>
      <c r="AM330" s="891">
        <f>AK330*AL330*AM$7</f>
        <v>489180</v>
      </c>
      <c r="AN330" s="885">
        <f>$F330</f>
        <v>150000</v>
      </c>
      <c r="AO330" s="909">
        <f>$G330</f>
        <v>0.1052</v>
      </c>
      <c r="AP330" s="891">
        <f>AN330*AO330*AP$7</f>
        <v>473400</v>
      </c>
      <c r="AQ330" s="885">
        <f>$F330</f>
        <v>150000</v>
      </c>
      <c r="AR330" s="909">
        <f>$G330</f>
        <v>0.1052</v>
      </c>
      <c r="AS330" s="891">
        <f>AQ330*AR330*AS$7</f>
        <v>489180</v>
      </c>
      <c r="AT330" s="891"/>
      <c r="AV330" s="823">
        <f>AS330+AP330+AM330+AJ330+AG330+AD330+AA330+X330+U330+R330+O330+L330</f>
        <v>5759700</v>
      </c>
      <c r="AW330" s="910"/>
      <c r="AX330" s="823"/>
      <c r="AY330" s="910"/>
      <c r="BB330" s="910"/>
    </row>
    <row r="331" spans="1:55" s="11" customFormat="1" x14ac:dyDescent="0.2">
      <c r="A331" s="617">
        <v>21165</v>
      </c>
      <c r="B331" s="617" t="s">
        <v>286</v>
      </c>
      <c r="C331" s="11">
        <v>2002</v>
      </c>
      <c r="D331" s="529"/>
      <c r="E331" s="913">
        <v>39172</v>
      </c>
      <c r="F331" s="934">
        <v>150000</v>
      </c>
      <c r="G331" s="911">
        <f>0.1074-0.1052</f>
        <v>2.1999999999999936E-3</v>
      </c>
      <c r="H331" s="1117" t="s">
        <v>647</v>
      </c>
      <c r="I331" s="1117"/>
      <c r="J331" s="885">
        <v>0</v>
      </c>
      <c r="K331" s="909">
        <v>0</v>
      </c>
      <c r="L331" s="891">
        <v>10230</v>
      </c>
      <c r="M331" s="885">
        <v>0</v>
      </c>
      <c r="N331" s="909">
        <v>0</v>
      </c>
      <c r="O331" s="891">
        <v>9240</v>
      </c>
      <c r="P331" s="885">
        <v>0</v>
      </c>
      <c r="Q331" s="909">
        <v>0</v>
      </c>
      <c r="R331" s="891">
        <v>10230</v>
      </c>
      <c r="S331" s="885">
        <v>0</v>
      </c>
      <c r="T331" s="909">
        <v>0</v>
      </c>
      <c r="U331" s="891">
        <v>9900</v>
      </c>
      <c r="V331" s="885">
        <v>0</v>
      </c>
      <c r="W331" s="909">
        <v>0</v>
      </c>
      <c r="X331" s="891">
        <v>10230</v>
      </c>
      <c r="Y331" s="885">
        <v>0</v>
      </c>
      <c r="Z331" s="909">
        <v>0</v>
      </c>
      <c r="AA331" s="891">
        <v>9900</v>
      </c>
      <c r="AB331" s="885">
        <v>0</v>
      </c>
      <c r="AC331" s="909">
        <v>0</v>
      </c>
      <c r="AD331" s="891">
        <v>10230</v>
      </c>
      <c r="AE331" s="885">
        <v>0</v>
      </c>
      <c r="AF331" s="909">
        <v>0</v>
      </c>
      <c r="AG331" s="891">
        <v>10230</v>
      </c>
      <c r="AH331" s="885">
        <v>0</v>
      </c>
      <c r="AI331" s="909">
        <v>0</v>
      </c>
      <c r="AJ331" s="891">
        <v>9900</v>
      </c>
      <c r="AK331" s="885">
        <v>0</v>
      </c>
      <c r="AL331" s="909">
        <v>0</v>
      </c>
      <c r="AM331" s="891">
        <v>10230</v>
      </c>
      <c r="AN331" s="885">
        <v>0</v>
      </c>
      <c r="AO331" s="909">
        <v>0</v>
      </c>
      <c r="AP331" s="891">
        <v>19800</v>
      </c>
      <c r="AQ331" s="885">
        <v>0</v>
      </c>
      <c r="AR331" s="909">
        <v>0</v>
      </c>
      <c r="AS331" s="891">
        <v>20460</v>
      </c>
      <c r="AT331" s="891"/>
      <c r="AV331" s="823">
        <f>AS331+AP331+AM331+AJ331+AG331+AD331+AA331+X331+U331+R331+O331+L331</f>
        <v>140580</v>
      </c>
      <c r="AW331" s="910"/>
      <c r="AX331" s="823">
        <f>SUM(AV329:AV331)</f>
        <v>120450</v>
      </c>
      <c r="AY331" s="910"/>
      <c r="AZ331" s="823">
        <f>AX331</f>
        <v>120450</v>
      </c>
      <c r="BA331" s="823"/>
      <c r="BB331" s="910"/>
      <c r="BC331" s="823"/>
    </row>
    <row r="332" spans="1:55" x14ac:dyDescent="0.2">
      <c r="A332" s="933"/>
      <c r="B332" s="925"/>
      <c r="D332" s="5"/>
      <c r="E332" s="926"/>
      <c r="F332" s="941"/>
      <c r="G332" s="883"/>
      <c r="H332" s="29"/>
      <c r="I332" s="884"/>
      <c r="J332" s="885"/>
      <c r="K332" s="884"/>
      <c r="L332" s="879"/>
      <c r="M332" s="885"/>
      <c r="N332" s="884"/>
      <c r="O332" s="879"/>
      <c r="P332" s="885"/>
      <c r="Q332" s="884"/>
      <c r="R332" s="879"/>
      <c r="S332" s="885"/>
      <c r="T332" s="884"/>
      <c r="U332" s="879"/>
      <c r="V332" s="885"/>
      <c r="W332" s="884"/>
      <c r="X332" s="879"/>
      <c r="Y332" s="885"/>
      <c r="Z332" s="884"/>
      <c r="AA332" s="879"/>
      <c r="AB332" s="885"/>
      <c r="AC332" s="884"/>
      <c r="AD332" s="879"/>
      <c r="AE332" s="885"/>
      <c r="AF332" s="884"/>
      <c r="AG332" s="879"/>
      <c r="AH332" s="885"/>
      <c r="AI332" s="884"/>
      <c r="AJ332" s="879"/>
      <c r="AK332" s="885"/>
      <c r="AL332" s="884"/>
      <c r="AM332" s="879"/>
      <c r="AN332" s="885"/>
      <c r="AO332" s="884"/>
      <c r="AP332" s="879"/>
      <c r="AQ332" s="885"/>
      <c r="AR332" s="884"/>
      <c r="AS332" s="879"/>
      <c r="AT332" s="879"/>
      <c r="AV332" s="33"/>
      <c r="AW332" s="886"/>
      <c r="AY332" s="886"/>
      <c r="BB332" s="886"/>
    </row>
    <row r="333" spans="1:55" x14ac:dyDescent="0.2">
      <c r="A333" s="933">
        <v>21375</v>
      </c>
      <c r="B333" s="925" t="s">
        <v>301</v>
      </c>
      <c r="C333">
        <v>2001</v>
      </c>
      <c r="D333" s="5"/>
      <c r="E333" s="926">
        <v>39141</v>
      </c>
      <c r="F333" s="941">
        <v>-20000</v>
      </c>
      <c r="G333" s="883">
        <v>0.1052</v>
      </c>
      <c r="H333" s="29">
        <v>1.1000000000000001E-3</v>
      </c>
      <c r="I333" s="884">
        <f>SUM(G333:H333)</f>
        <v>0.10630000000000001</v>
      </c>
      <c r="J333" s="885">
        <f>$F333</f>
        <v>-20000</v>
      </c>
      <c r="K333" s="884">
        <f>$G333</f>
        <v>0.1052</v>
      </c>
      <c r="L333" s="879">
        <f>J333*K333*L$7</f>
        <v>-65224</v>
      </c>
      <c r="M333" s="885">
        <f>$F333</f>
        <v>-20000</v>
      </c>
      <c r="N333" s="884">
        <f>$G333</f>
        <v>0.1052</v>
      </c>
      <c r="O333" s="879">
        <f>M333*N333*O$7</f>
        <v>-58912</v>
      </c>
      <c r="P333" s="885">
        <f>$F333</f>
        <v>-20000</v>
      </c>
      <c r="Q333" s="884">
        <f>$G333</f>
        <v>0.1052</v>
      </c>
      <c r="R333" s="879">
        <f>P333*Q333*R$7</f>
        <v>-65224</v>
      </c>
      <c r="S333" s="885">
        <f>$F333</f>
        <v>-20000</v>
      </c>
      <c r="T333" s="884">
        <f>$G333</f>
        <v>0.1052</v>
      </c>
      <c r="U333" s="879">
        <f>S333*T333*U$7</f>
        <v>-63120</v>
      </c>
      <c r="V333" s="885">
        <f>$F333</f>
        <v>-20000</v>
      </c>
      <c r="W333" s="884">
        <f>$G333</f>
        <v>0.1052</v>
      </c>
      <c r="X333" s="879">
        <f>V333*W333*X$7</f>
        <v>-65224</v>
      </c>
      <c r="Y333" s="885">
        <f>$F333</f>
        <v>-20000</v>
      </c>
      <c r="Z333" s="884">
        <f>$G333</f>
        <v>0.1052</v>
      </c>
      <c r="AA333" s="879">
        <f>Y333*Z333*AA$7</f>
        <v>-63120</v>
      </c>
      <c r="AB333" s="885">
        <f>$F333</f>
        <v>-20000</v>
      </c>
      <c r="AC333" s="884">
        <f>$G333</f>
        <v>0.1052</v>
      </c>
      <c r="AD333" s="879">
        <f>AB333*AC333*AD$7</f>
        <v>-65224</v>
      </c>
      <c r="AE333" s="885">
        <f>$F333</f>
        <v>-20000</v>
      </c>
      <c r="AF333" s="884">
        <f>$G333</f>
        <v>0.1052</v>
      </c>
      <c r="AG333" s="879">
        <f>AE333*AF333*AG$7</f>
        <v>-65224</v>
      </c>
      <c r="AH333" s="885">
        <f>$F333</f>
        <v>-20000</v>
      </c>
      <c r="AI333" s="884">
        <f>$G333</f>
        <v>0.1052</v>
      </c>
      <c r="AJ333" s="879">
        <f>AH333*AI333*AJ$7</f>
        <v>-63120</v>
      </c>
      <c r="AK333" s="885">
        <f>$F333</f>
        <v>-20000</v>
      </c>
      <c r="AL333" s="884">
        <f>$G333</f>
        <v>0.1052</v>
      </c>
      <c r="AM333" s="879">
        <f>AK333*AL333*AM$7</f>
        <v>-65224</v>
      </c>
      <c r="AN333" s="885">
        <f>$F333</f>
        <v>-20000</v>
      </c>
      <c r="AO333" s="884">
        <f>$G333+0.0022</f>
        <v>0.1074</v>
      </c>
      <c r="AP333" s="879">
        <f>AN333*AO333*AP$7</f>
        <v>-64440</v>
      </c>
      <c r="AQ333" s="885">
        <f>$F333</f>
        <v>-20000</v>
      </c>
      <c r="AR333" s="884">
        <f>$G333+0.0022</f>
        <v>0.1074</v>
      </c>
      <c r="AS333" s="879">
        <f>AQ333*AR333*AS$7</f>
        <v>-66588</v>
      </c>
      <c r="AT333" s="879"/>
      <c r="AV333" s="823">
        <f>AS333+AP333+AM333+AJ333+AG333+AD333+AA333+X333+U333+R333+O333+L333</f>
        <v>-770644</v>
      </c>
      <c r="AW333" s="910"/>
      <c r="AX333" s="33"/>
      <c r="AY333" s="910"/>
      <c r="BB333" s="910"/>
    </row>
    <row r="334" spans="1:55" s="11" customFormat="1" x14ac:dyDescent="0.2">
      <c r="A334" s="175">
        <v>21375</v>
      </c>
      <c r="B334" s="175" t="s">
        <v>301</v>
      </c>
      <c r="C334" s="11">
        <v>2002</v>
      </c>
      <c r="D334" s="579" t="s">
        <v>535</v>
      </c>
      <c r="E334" s="181">
        <v>39141</v>
      </c>
      <c r="F334" s="733">
        <v>20000</v>
      </c>
      <c r="G334" s="170">
        <v>0.1052</v>
      </c>
      <c r="H334" s="565">
        <v>1.1000000000000001E-3</v>
      </c>
      <c r="I334" s="909">
        <f>SUM(G334:H334)</f>
        <v>0.10630000000000001</v>
      </c>
      <c r="J334" s="885">
        <f>$F334</f>
        <v>20000</v>
      </c>
      <c r="K334" s="909">
        <f>$G334</f>
        <v>0.1052</v>
      </c>
      <c r="L334" s="891">
        <f>J334*K334*L$7</f>
        <v>65224</v>
      </c>
      <c r="M334" s="885">
        <f>$F334</f>
        <v>20000</v>
      </c>
      <c r="N334" s="909">
        <f>$G334</f>
        <v>0.1052</v>
      </c>
      <c r="O334" s="891">
        <f>M334*N334*O$7</f>
        <v>58912</v>
      </c>
      <c r="P334" s="885">
        <f>$F334</f>
        <v>20000</v>
      </c>
      <c r="Q334" s="909">
        <f>$G334</f>
        <v>0.1052</v>
      </c>
      <c r="R334" s="891">
        <f>P334*Q334*R$7</f>
        <v>65224</v>
      </c>
      <c r="S334" s="885">
        <f>$F334</f>
        <v>20000</v>
      </c>
      <c r="T334" s="909">
        <f>$G334</f>
        <v>0.1052</v>
      </c>
      <c r="U334" s="891">
        <f>S334*T334*U$7</f>
        <v>63120</v>
      </c>
      <c r="V334" s="885">
        <f>$F334</f>
        <v>20000</v>
      </c>
      <c r="W334" s="909">
        <f>$G334</f>
        <v>0.1052</v>
      </c>
      <c r="X334" s="891">
        <f>V334*W334*X$7</f>
        <v>65224</v>
      </c>
      <c r="Y334" s="885">
        <f>$F334</f>
        <v>20000</v>
      </c>
      <c r="Z334" s="909">
        <f>$G334</f>
        <v>0.1052</v>
      </c>
      <c r="AA334" s="891">
        <f>Y334*Z334*AA$7</f>
        <v>63120</v>
      </c>
      <c r="AB334" s="885">
        <f>$F334</f>
        <v>20000</v>
      </c>
      <c r="AC334" s="909">
        <f>$G334</f>
        <v>0.1052</v>
      </c>
      <c r="AD334" s="891">
        <f>AB334*AC334*AD$7</f>
        <v>65224</v>
      </c>
      <c r="AE334" s="885">
        <f>$F334</f>
        <v>20000</v>
      </c>
      <c r="AF334" s="909">
        <f>$G334</f>
        <v>0.1052</v>
      </c>
      <c r="AG334" s="891">
        <f>AE334*AF334*AG$7</f>
        <v>65224</v>
      </c>
      <c r="AH334" s="885">
        <f>$F334</f>
        <v>20000</v>
      </c>
      <c r="AI334" s="909">
        <f>$G334</f>
        <v>0.1052</v>
      </c>
      <c r="AJ334" s="891">
        <f>AH334*AI334*AJ$7</f>
        <v>63120</v>
      </c>
      <c r="AK334" s="885">
        <f>$F334</f>
        <v>20000</v>
      </c>
      <c r="AL334" s="909">
        <f>$G334</f>
        <v>0.1052</v>
      </c>
      <c r="AM334" s="891">
        <f>AK334*AL334*AM$7</f>
        <v>65224</v>
      </c>
      <c r="AN334" s="885">
        <f>$F334</f>
        <v>20000</v>
      </c>
      <c r="AO334" s="909">
        <f>$G334</f>
        <v>0.1052</v>
      </c>
      <c r="AP334" s="891">
        <f>AN334*AO334*AP$7</f>
        <v>63120</v>
      </c>
      <c r="AQ334" s="885">
        <f>$F334</f>
        <v>20000</v>
      </c>
      <c r="AR334" s="909">
        <f>$G334</f>
        <v>0.1052</v>
      </c>
      <c r="AS334" s="891">
        <f>AQ334*AR334*AS$7</f>
        <v>65224</v>
      </c>
      <c r="AT334" s="891"/>
      <c r="AV334" s="823">
        <f>AS334+AP334+AM334+AJ334+AG334+AD334+AA334+X334+U334+R334+O334+L334</f>
        <v>767960</v>
      </c>
      <c r="AW334" s="910"/>
      <c r="AX334" s="823"/>
      <c r="AY334" s="910"/>
      <c r="BB334" s="910"/>
    </row>
    <row r="335" spans="1:55" s="11" customFormat="1" x14ac:dyDescent="0.2">
      <c r="A335" s="617">
        <v>25924</v>
      </c>
      <c r="B335" s="617" t="s">
        <v>651</v>
      </c>
      <c r="C335" s="11">
        <v>2002</v>
      </c>
      <c r="D335" s="529"/>
      <c r="E335" s="913">
        <v>38837</v>
      </c>
      <c r="F335" s="934">
        <v>20000</v>
      </c>
      <c r="G335" s="911">
        <f>0.1074-0.1052</f>
        <v>2.1999999999999936E-3</v>
      </c>
      <c r="H335" s="1117" t="s">
        <v>647</v>
      </c>
      <c r="I335" s="1117"/>
      <c r="J335" s="885">
        <v>0</v>
      </c>
      <c r="K335" s="909">
        <v>0</v>
      </c>
      <c r="L335" s="891">
        <v>1364</v>
      </c>
      <c r="M335" s="885">
        <v>0</v>
      </c>
      <c r="N335" s="909">
        <v>0</v>
      </c>
      <c r="O335" s="891">
        <v>1232</v>
      </c>
      <c r="P335" s="885">
        <v>0</v>
      </c>
      <c r="Q335" s="909">
        <v>0</v>
      </c>
      <c r="R335" s="891">
        <v>1364</v>
      </c>
      <c r="S335" s="885">
        <v>0</v>
      </c>
      <c r="T335" s="909">
        <v>0</v>
      </c>
      <c r="U335" s="891">
        <v>1320</v>
      </c>
      <c r="V335" s="885">
        <v>0</v>
      </c>
      <c r="W335" s="909">
        <v>0</v>
      </c>
      <c r="X335" s="891">
        <v>1364</v>
      </c>
      <c r="Y335" s="885">
        <v>0</v>
      </c>
      <c r="Z335" s="909">
        <v>0</v>
      </c>
      <c r="AA335" s="891">
        <v>1320</v>
      </c>
      <c r="AB335" s="885">
        <v>0</v>
      </c>
      <c r="AC335" s="909">
        <v>0</v>
      </c>
      <c r="AD335" s="891">
        <v>1364</v>
      </c>
      <c r="AE335" s="885">
        <v>0</v>
      </c>
      <c r="AF335" s="909">
        <v>0</v>
      </c>
      <c r="AG335" s="891">
        <v>1364</v>
      </c>
      <c r="AH335" s="885">
        <v>0</v>
      </c>
      <c r="AI335" s="909">
        <v>0</v>
      </c>
      <c r="AJ335" s="891">
        <v>1320</v>
      </c>
      <c r="AK335" s="885">
        <v>0</v>
      </c>
      <c r="AL335" s="909">
        <v>0</v>
      </c>
      <c r="AM335" s="891">
        <v>1364</v>
      </c>
      <c r="AN335" s="885">
        <v>0</v>
      </c>
      <c r="AO335" s="909">
        <v>0</v>
      </c>
      <c r="AP335" s="891">
        <v>2640</v>
      </c>
      <c r="AQ335" s="885">
        <v>0</v>
      </c>
      <c r="AR335" s="909">
        <v>0</v>
      </c>
      <c r="AS335" s="891">
        <v>2728</v>
      </c>
      <c r="AT335" s="891"/>
      <c r="AV335" s="823">
        <f>AS335+AP335+AM335+AJ335+AG335+AD335+AA335+X335+U335+R335+O335+L335</f>
        <v>18744</v>
      </c>
      <c r="AW335" s="910"/>
      <c r="AX335" s="823">
        <f>SUM(AV333:AV335)</f>
        <v>16060</v>
      </c>
      <c r="AY335" s="910"/>
      <c r="AZ335" s="823">
        <f>AX335</f>
        <v>16060</v>
      </c>
      <c r="BA335" s="823"/>
      <c r="BB335" s="910"/>
      <c r="BC335" s="823"/>
    </row>
    <row r="336" spans="1:55" s="11" customFormat="1" ht="13.5" customHeight="1" x14ac:dyDescent="0.2">
      <c r="A336" s="175"/>
      <c r="B336" s="175"/>
      <c r="D336" s="579"/>
      <c r="E336" s="181"/>
      <c r="F336" s="733"/>
      <c r="G336" s="170"/>
      <c r="H336" s="565"/>
      <c r="I336" s="909"/>
      <c r="J336" s="885"/>
      <c r="K336" s="909"/>
      <c r="L336" s="891"/>
      <c r="M336" s="885"/>
      <c r="N336" s="909"/>
      <c r="O336" s="891"/>
      <c r="P336" s="885"/>
      <c r="Q336" s="909"/>
      <c r="R336" s="891"/>
      <c r="S336" s="885"/>
      <c r="T336" s="909"/>
      <c r="U336" s="891"/>
      <c r="V336" s="885"/>
      <c r="W336" s="909"/>
      <c r="X336" s="891"/>
      <c r="Y336" s="885"/>
      <c r="Z336" s="909"/>
      <c r="AA336" s="891"/>
      <c r="AB336" s="885"/>
      <c r="AC336" s="909"/>
      <c r="AD336" s="891"/>
      <c r="AE336" s="885"/>
      <c r="AF336" s="909"/>
      <c r="AG336" s="891"/>
      <c r="AH336" s="885"/>
      <c r="AI336" s="909"/>
      <c r="AJ336" s="891"/>
      <c r="AK336" s="885"/>
      <c r="AL336" s="909"/>
      <c r="AM336" s="891"/>
      <c r="AN336" s="885"/>
      <c r="AO336" s="909"/>
      <c r="AP336" s="891"/>
      <c r="AQ336" s="885"/>
      <c r="AR336" s="909"/>
      <c r="AS336" s="891"/>
      <c r="AT336" s="891"/>
      <c r="AV336" s="823"/>
      <c r="AW336" s="910"/>
      <c r="AX336" s="823"/>
      <c r="AY336" s="910"/>
      <c r="BB336" s="910"/>
    </row>
    <row r="337" spans="1:59" s="11" customFormat="1" x14ac:dyDescent="0.2">
      <c r="A337" s="504">
        <v>21372</v>
      </c>
      <c r="B337" s="504" t="s">
        <v>539</v>
      </c>
      <c r="C337" s="11">
        <v>2002</v>
      </c>
      <c r="D337" s="584" t="s">
        <v>540</v>
      </c>
      <c r="E337" s="489">
        <v>34393</v>
      </c>
      <c r="F337" s="733">
        <v>1346</v>
      </c>
      <c r="G337" s="534"/>
      <c r="H337" s="585"/>
      <c r="I337" s="909">
        <f>SUM(G337:H337)</f>
        <v>0</v>
      </c>
      <c r="J337" s="885">
        <f>$F337</f>
        <v>1346</v>
      </c>
      <c r="K337" s="909">
        <f>$G337</f>
        <v>0</v>
      </c>
      <c r="L337" s="891">
        <f>J337*K337*L$7</f>
        <v>0</v>
      </c>
      <c r="M337" s="885">
        <f>$F337</f>
        <v>1346</v>
      </c>
      <c r="N337" s="909">
        <f>$G337</f>
        <v>0</v>
      </c>
      <c r="O337" s="891">
        <f>M337*N337*O$7</f>
        <v>0</v>
      </c>
      <c r="P337" s="885">
        <f>$F337</f>
        <v>1346</v>
      </c>
      <c r="Q337" s="909">
        <f>$G337</f>
        <v>0</v>
      </c>
      <c r="R337" s="891">
        <f>P337*Q337*R$7</f>
        <v>0</v>
      </c>
      <c r="S337" s="885">
        <f>$F337</f>
        <v>1346</v>
      </c>
      <c r="T337" s="909">
        <f>$G337</f>
        <v>0</v>
      </c>
      <c r="U337" s="891">
        <f>S337*T337*U$7</f>
        <v>0</v>
      </c>
      <c r="V337" s="885">
        <f>$F337</f>
        <v>1346</v>
      </c>
      <c r="W337" s="909">
        <f>$G337</f>
        <v>0</v>
      </c>
      <c r="X337" s="891">
        <f>V337*W337*X$7</f>
        <v>0</v>
      </c>
      <c r="Y337" s="885">
        <f>$F337</f>
        <v>1346</v>
      </c>
      <c r="Z337" s="909">
        <f>$G337</f>
        <v>0</v>
      </c>
      <c r="AA337" s="891">
        <f>Y337*Z337*AA$7</f>
        <v>0</v>
      </c>
      <c r="AB337" s="885">
        <f>$F337</f>
        <v>1346</v>
      </c>
      <c r="AC337" s="909">
        <f>$G337</f>
        <v>0</v>
      </c>
      <c r="AD337" s="891">
        <f>AB337*AC337*AD$7</f>
        <v>0</v>
      </c>
      <c r="AE337" s="885">
        <f>$F337</f>
        <v>1346</v>
      </c>
      <c r="AF337" s="909">
        <f>$G337</f>
        <v>0</v>
      </c>
      <c r="AG337" s="891">
        <f>AE337*AF337*AG$7</f>
        <v>0</v>
      </c>
      <c r="AH337" s="885">
        <f>$F337</f>
        <v>1346</v>
      </c>
      <c r="AI337" s="909">
        <f>$G337</f>
        <v>0</v>
      </c>
      <c r="AJ337" s="891">
        <f>AH337*AI337*AJ$7</f>
        <v>0</v>
      </c>
      <c r="AK337" s="885">
        <f>$F337</f>
        <v>1346</v>
      </c>
      <c r="AL337" s="909">
        <f>$G337</f>
        <v>0</v>
      </c>
      <c r="AM337" s="891">
        <f>AK337*AL337*AM$7</f>
        <v>0</v>
      </c>
      <c r="AN337" s="885">
        <f>$F337</f>
        <v>1346</v>
      </c>
      <c r="AO337" s="909">
        <f>$G337</f>
        <v>0</v>
      </c>
      <c r="AP337" s="891">
        <f>AN337*AO337*AP$7</f>
        <v>0</v>
      </c>
      <c r="AQ337" s="885">
        <f>$F337</f>
        <v>1346</v>
      </c>
      <c r="AR337" s="909">
        <f>$G337</f>
        <v>0</v>
      </c>
      <c r="AS337" s="891">
        <f>AQ337*AR337*AS$7</f>
        <v>0</v>
      </c>
      <c r="AT337" s="891"/>
      <c r="AV337" s="823">
        <f>AS337+AP337+AM337+AJ337+AG337+AD337+AA337+X337+U337+R337+O337+L337</f>
        <v>0</v>
      </c>
      <c r="AW337" s="910"/>
      <c r="AX337" s="823">
        <f>AV337</f>
        <v>0</v>
      </c>
      <c r="AY337" s="910"/>
      <c r="BB337" s="910"/>
      <c r="BD337" s="33">
        <f>AX337</f>
        <v>0</v>
      </c>
    </row>
    <row r="338" spans="1:59" x14ac:dyDescent="0.2">
      <c r="AW338" s="389"/>
      <c r="AY338" s="389"/>
      <c r="BB338" s="389"/>
    </row>
    <row r="339" spans="1:59" s="11" customFormat="1" x14ac:dyDescent="0.2">
      <c r="A339" s="175">
        <v>27534</v>
      </c>
      <c r="B339" s="175" t="s">
        <v>290</v>
      </c>
      <c r="C339" s="11">
        <v>2002</v>
      </c>
      <c r="D339" s="181">
        <v>37257</v>
      </c>
      <c r="E339" s="181">
        <v>37986</v>
      </c>
      <c r="F339" s="733">
        <v>32500</v>
      </c>
      <c r="G339" s="170">
        <v>0.105</v>
      </c>
      <c r="H339" s="565">
        <v>1.1000000000000001E-3</v>
      </c>
      <c r="I339" s="909">
        <f>SUM(G339:H339)</f>
        <v>0.1061</v>
      </c>
      <c r="J339" s="885">
        <f>$F339</f>
        <v>32500</v>
      </c>
      <c r="K339" s="909">
        <f>$G339</f>
        <v>0.105</v>
      </c>
      <c r="L339" s="891">
        <f>J339*K339*L$7</f>
        <v>105787.5</v>
      </c>
      <c r="M339" s="885">
        <f>$F339</f>
        <v>32500</v>
      </c>
      <c r="N339" s="909">
        <f>$G339</f>
        <v>0.105</v>
      </c>
      <c r="O339" s="891">
        <f>M339*N339*O$7</f>
        <v>95550</v>
      </c>
      <c r="P339" s="885">
        <f>$F339</f>
        <v>32500</v>
      </c>
      <c r="Q339" s="909">
        <f>$G339</f>
        <v>0.105</v>
      </c>
      <c r="R339" s="891">
        <f>P339*Q339*R$7</f>
        <v>105787.5</v>
      </c>
      <c r="S339" s="885">
        <f>$F339</f>
        <v>32500</v>
      </c>
      <c r="T339" s="909">
        <f>$G339</f>
        <v>0.105</v>
      </c>
      <c r="U339" s="891">
        <f>S339*T339*U$7</f>
        <v>102375</v>
      </c>
      <c r="V339" s="885">
        <f>$F339</f>
        <v>32500</v>
      </c>
      <c r="W339" s="909">
        <f>$G339</f>
        <v>0.105</v>
      </c>
      <c r="X339" s="891">
        <f>V339*W339*X$7</f>
        <v>105787.5</v>
      </c>
      <c r="Y339" s="885">
        <f>$F339</f>
        <v>32500</v>
      </c>
      <c r="Z339" s="909">
        <f>$G339</f>
        <v>0.105</v>
      </c>
      <c r="AA339" s="891">
        <f>Y339*Z339*AA$7</f>
        <v>102375</v>
      </c>
      <c r="AB339" s="885">
        <f>$F339</f>
        <v>32500</v>
      </c>
      <c r="AC339" s="909">
        <f>$G339</f>
        <v>0.105</v>
      </c>
      <c r="AD339" s="891">
        <f>AB339*AC339*AD$7</f>
        <v>105787.5</v>
      </c>
      <c r="AE339" s="885">
        <f>$F339</f>
        <v>32500</v>
      </c>
      <c r="AF339" s="909">
        <f>$G339</f>
        <v>0.105</v>
      </c>
      <c r="AG339" s="891">
        <f>AE339*AF339*AG$7</f>
        <v>105787.5</v>
      </c>
      <c r="AH339" s="885">
        <f>$F339</f>
        <v>32500</v>
      </c>
      <c r="AI339" s="909">
        <f>$G339</f>
        <v>0.105</v>
      </c>
      <c r="AJ339" s="891">
        <f>AH339*AI339*AJ$7</f>
        <v>102375</v>
      </c>
      <c r="AK339" s="885">
        <f>$F339</f>
        <v>32500</v>
      </c>
      <c r="AL339" s="909">
        <f>$G339</f>
        <v>0.105</v>
      </c>
      <c r="AM339" s="891">
        <f>AK339*AL339*AM$7</f>
        <v>105787.5</v>
      </c>
      <c r="AN339" s="885">
        <f>$F339</f>
        <v>32500</v>
      </c>
      <c r="AO339" s="909">
        <f>$G339</f>
        <v>0.105</v>
      </c>
      <c r="AP339" s="891">
        <f>AN339*AO339*AP$7</f>
        <v>102375</v>
      </c>
      <c r="AQ339" s="885">
        <f>$F339</f>
        <v>32500</v>
      </c>
      <c r="AR339" s="909">
        <f>$G339</f>
        <v>0.105</v>
      </c>
      <c r="AS339" s="891">
        <f>AQ339*AR339*AS$7</f>
        <v>105787.5</v>
      </c>
      <c r="AT339" s="891"/>
      <c r="AV339" s="823">
        <f>AS339+AP339+AM339+AJ339+AG339+AD339+AA339+X339+U339+R339+O339+L339</f>
        <v>1245562.5</v>
      </c>
      <c r="AW339" s="910"/>
      <c r="AX339" s="823">
        <f>AV339</f>
        <v>1245562.5</v>
      </c>
      <c r="AY339" s="910"/>
      <c r="BB339" s="910"/>
      <c r="BD339" s="33">
        <f>AX339</f>
        <v>1245562.5</v>
      </c>
    </row>
    <row r="340" spans="1:59" s="11" customFormat="1" x14ac:dyDescent="0.2">
      <c r="A340" s="175"/>
      <c r="B340" s="175"/>
      <c r="D340" s="181"/>
      <c r="E340" s="181"/>
      <c r="F340" s="182"/>
      <c r="G340" s="911"/>
      <c r="H340" s="909"/>
      <c r="I340" s="909"/>
      <c r="J340" s="885"/>
      <c r="K340" s="909"/>
      <c r="L340" s="891"/>
      <c r="M340" s="885"/>
      <c r="N340" s="909"/>
      <c r="O340" s="891"/>
      <c r="P340" s="885"/>
      <c r="Q340" s="909"/>
      <c r="R340" s="891"/>
      <c r="S340" s="885"/>
      <c r="T340" s="909"/>
      <c r="U340" s="891"/>
      <c r="V340" s="885"/>
      <c r="W340" s="909"/>
      <c r="X340" s="891"/>
      <c r="Y340" s="885"/>
      <c r="Z340" s="909"/>
      <c r="AA340" s="891"/>
      <c r="AB340" s="885"/>
      <c r="AC340" s="909"/>
      <c r="AD340" s="891"/>
      <c r="AE340" s="885"/>
      <c r="AF340" s="909"/>
      <c r="AG340" s="891"/>
      <c r="AH340" s="885"/>
      <c r="AI340" s="909"/>
      <c r="AJ340" s="891"/>
      <c r="AK340" s="885"/>
      <c r="AL340" s="909"/>
      <c r="AM340" s="891"/>
      <c r="AN340" s="885"/>
      <c r="AO340" s="909"/>
      <c r="AP340" s="891"/>
      <c r="AQ340" s="885"/>
      <c r="AR340" s="909"/>
      <c r="AS340" s="891"/>
      <c r="AT340" s="891"/>
      <c r="AV340" s="823"/>
      <c r="AW340" s="910"/>
      <c r="AX340" s="823"/>
      <c r="AY340" s="910"/>
      <c r="BB340" s="910"/>
    </row>
    <row r="341" spans="1:59" s="11" customFormat="1" x14ac:dyDescent="0.2">
      <c r="A341" s="646"/>
      <c r="B341" s="646"/>
      <c r="D341" s="478"/>
      <c r="E341" s="478"/>
      <c r="F341" s="756"/>
      <c r="G341" s="757"/>
      <c r="H341" s="757"/>
      <c r="I341" s="757"/>
      <c r="J341" s="773"/>
      <c r="K341" s="757"/>
      <c r="L341" s="482"/>
      <c r="M341" s="773"/>
      <c r="N341" s="757"/>
      <c r="O341" s="482"/>
      <c r="P341" s="773"/>
      <c r="Q341" s="757"/>
      <c r="R341" s="482"/>
      <c r="S341" s="773"/>
      <c r="T341" s="757"/>
      <c r="U341" s="482"/>
      <c r="V341" s="773"/>
      <c r="W341" s="757"/>
      <c r="X341" s="482"/>
      <c r="Y341" s="773"/>
      <c r="Z341" s="757"/>
      <c r="AA341" s="482"/>
      <c r="AB341" s="773"/>
      <c r="AC341" s="757"/>
      <c r="AD341" s="482"/>
      <c r="AE341" s="773"/>
      <c r="AF341" s="757"/>
      <c r="AG341" s="482"/>
      <c r="AH341" s="773"/>
      <c r="AI341" s="757"/>
      <c r="AJ341" s="482"/>
      <c r="AK341" s="773"/>
      <c r="AL341" s="757"/>
      <c r="AM341" s="482"/>
      <c r="AN341" s="773"/>
      <c r="AO341" s="757"/>
      <c r="AP341" s="482"/>
      <c r="AQ341" s="773"/>
      <c r="AR341" s="757"/>
      <c r="AS341" s="482"/>
      <c r="AW341" s="417"/>
      <c r="AY341" s="417"/>
      <c r="BB341" s="417"/>
    </row>
    <row r="342" spans="1:59" s="432" customFormat="1" x14ac:dyDescent="0.2">
      <c r="A342" s="759"/>
      <c r="B342" s="759"/>
      <c r="D342" s="52"/>
      <c r="E342" s="52"/>
      <c r="F342" s="760"/>
      <c r="G342" s="916"/>
      <c r="H342" s="916"/>
      <c r="I342" s="916"/>
      <c r="J342" s="774"/>
      <c r="K342" s="916"/>
      <c r="L342" s="915"/>
      <c r="M342" s="774"/>
      <c r="N342" s="916"/>
      <c r="O342" s="915"/>
      <c r="P342" s="774"/>
      <c r="Q342" s="916"/>
      <c r="R342" s="915"/>
      <c r="S342" s="774"/>
      <c r="T342" s="916"/>
      <c r="U342" s="915"/>
      <c r="V342" s="774"/>
      <c r="W342" s="916"/>
      <c r="X342" s="915"/>
      <c r="Y342" s="774"/>
      <c r="Z342" s="916"/>
      <c r="AA342" s="915"/>
      <c r="AB342" s="774"/>
      <c r="AC342" s="916"/>
      <c r="AD342" s="915"/>
      <c r="AE342" s="774"/>
      <c r="AF342" s="916"/>
      <c r="AG342" s="915"/>
      <c r="AH342" s="774"/>
      <c r="AI342" s="916"/>
      <c r="AJ342" s="915"/>
      <c r="AK342" s="774"/>
      <c r="AL342" s="916"/>
      <c r="AM342" s="915"/>
      <c r="AN342" s="774"/>
      <c r="AO342" s="916"/>
      <c r="AP342" s="915"/>
      <c r="AQ342" s="774"/>
      <c r="AR342" s="916"/>
      <c r="AS342" s="915"/>
      <c r="AT342" s="915"/>
      <c r="AW342" s="917"/>
      <c r="AY342" s="917"/>
      <c r="BB342" s="917"/>
    </row>
    <row r="343" spans="1:59" x14ac:dyDescent="0.2">
      <c r="A343" s="172"/>
      <c r="B343" s="172"/>
      <c r="D343" s="185"/>
      <c r="E343" s="185"/>
      <c r="F343" s="182"/>
      <c r="H343" s="884"/>
      <c r="I343" s="884"/>
      <c r="J343" s="885"/>
      <c r="K343" s="884"/>
      <c r="L343" s="879"/>
      <c r="M343" s="885"/>
      <c r="N343" s="884"/>
      <c r="O343" s="879"/>
      <c r="P343" s="885"/>
      <c r="Q343" s="884"/>
      <c r="R343" s="879"/>
      <c r="S343" s="885"/>
      <c r="T343" s="884"/>
      <c r="U343" s="879"/>
      <c r="V343" s="885"/>
      <c r="W343" s="884"/>
      <c r="X343" s="879"/>
      <c r="Y343" s="885"/>
      <c r="Z343" s="884"/>
      <c r="AA343" s="879"/>
      <c r="AB343" s="885"/>
      <c r="AC343" s="884"/>
      <c r="AD343" s="879"/>
      <c r="AE343" s="885"/>
      <c r="AF343" s="884"/>
      <c r="AG343" s="879"/>
      <c r="AH343" s="885"/>
      <c r="AI343" s="884"/>
      <c r="AJ343" s="879"/>
      <c r="AK343" s="885"/>
      <c r="AL343" s="884"/>
      <c r="AM343" s="879"/>
      <c r="AN343" s="885"/>
      <c r="AO343" s="884"/>
      <c r="AP343" s="879"/>
      <c r="AQ343" s="885"/>
      <c r="AR343" s="884"/>
      <c r="AS343" s="879"/>
      <c r="AT343" s="879"/>
      <c r="AV343" s="33"/>
      <c r="AW343" s="886"/>
      <c r="AX343" s="33"/>
      <c r="AY343" s="886"/>
      <c r="BB343" s="886"/>
    </row>
    <row r="344" spans="1:59" x14ac:dyDescent="0.2">
      <c r="A344" s="172"/>
      <c r="B344" s="172"/>
      <c r="D344" s="185"/>
      <c r="E344" s="185"/>
      <c r="F344" s="182"/>
      <c r="H344" s="884"/>
      <c r="I344" s="884"/>
      <c r="J344" s="918">
        <v>0</v>
      </c>
      <c r="K344" s="884">
        <f>IF(J344&gt;0,L344/J344/L$7,0)</f>
        <v>0</v>
      </c>
      <c r="L344" s="919">
        <v>0</v>
      </c>
      <c r="M344" s="918">
        <v>0</v>
      </c>
      <c r="N344" s="884">
        <f>IF(M344&gt;0,O344/M344/O$7,0)</f>
        <v>0</v>
      </c>
      <c r="O344" s="919">
        <v>0</v>
      </c>
      <c r="P344" s="918">
        <v>0</v>
      </c>
      <c r="Q344" s="884">
        <f>IF(P344&gt;0,R344/P344/R$7,0)</f>
        <v>0</v>
      </c>
      <c r="R344" s="919">
        <v>0</v>
      </c>
      <c r="S344" s="918">
        <v>0</v>
      </c>
      <c r="T344" s="884">
        <f>IF(S344&gt;0,U344/S344/U$7,0)</f>
        <v>0</v>
      </c>
      <c r="U344" s="919">
        <v>0</v>
      </c>
      <c r="V344" s="918">
        <v>0</v>
      </c>
      <c r="W344" s="884">
        <f>IF(V344&gt;0,X344/V344/X$7,0)</f>
        <v>0</v>
      </c>
      <c r="X344" s="919">
        <v>0</v>
      </c>
      <c r="Y344" s="918">
        <v>0</v>
      </c>
      <c r="Z344" s="884">
        <f>IF(Y344&gt;0,AA344/Y344/AA$7,0)</f>
        <v>0</v>
      </c>
      <c r="AA344" s="919">
        <v>0</v>
      </c>
      <c r="AB344" s="918">
        <v>0</v>
      </c>
      <c r="AC344" s="884">
        <f>IF(AB344&gt;0,AD344/AB344/AD$7,0)</f>
        <v>0</v>
      </c>
      <c r="AD344" s="919">
        <f>ROUND($F345*$G345*AD$7,0)</f>
        <v>0</v>
      </c>
      <c r="AE344" s="918">
        <v>0</v>
      </c>
      <c r="AF344" s="884">
        <f>IF(AE344&gt;0,AG344/AE344/AG$7,0)</f>
        <v>0</v>
      </c>
      <c r="AG344" s="919">
        <f>ROUND($F345*$G345*AG$7,0)</f>
        <v>0</v>
      </c>
      <c r="AH344" s="918">
        <v>0</v>
      </c>
      <c r="AI344" s="884">
        <f>IF(AH344&gt;0,AJ344/AH344/AJ$7,0)</f>
        <v>0</v>
      </c>
      <c r="AJ344" s="919">
        <f>ROUND($F345*$G345*AJ$7,0)</f>
        <v>0</v>
      </c>
      <c r="AK344" s="918">
        <v>0</v>
      </c>
      <c r="AL344" s="884">
        <f>IF(AK344&gt;0,AM344/AK344/AM$7,0)</f>
        <v>0</v>
      </c>
      <c r="AM344" s="919">
        <f>ROUND($F345*$G345*AM$7,0)</f>
        <v>0</v>
      </c>
      <c r="AN344" s="918">
        <v>0</v>
      </c>
      <c r="AO344" s="884">
        <f>IF(AN344&gt;0,AP344/AN344/AP$7,0)</f>
        <v>0</v>
      </c>
      <c r="AP344" s="919">
        <f>ROUND($F345*$G345*AP$7,0)</f>
        <v>0</v>
      </c>
      <c r="AQ344" s="918">
        <v>0</v>
      </c>
      <c r="AR344" s="884">
        <f>IF(AQ344&gt;0,AS344/AQ344/AS$7,0)</f>
        <v>0</v>
      </c>
      <c r="AS344" s="919">
        <f>ROUND($F345*$G345*AS$7,0)</f>
        <v>0</v>
      </c>
      <c r="AT344" s="879"/>
      <c r="AW344" s="389"/>
      <c r="AY344" s="389"/>
      <c r="BB344" s="389"/>
    </row>
    <row r="345" spans="1:59" x14ac:dyDescent="0.2">
      <c r="E345" s="745"/>
      <c r="F345" s="921"/>
      <c r="H345" s="884"/>
      <c r="I345" s="884"/>
      <c r="J345" s="795">
        <f>SUM(J171:J344)</f>
        <v>35146</v>
      </c>
      <c r="K345" s="818">
        <f>IF(J345&gt;0,L345/J345/L$7,0)</f>
        <v>0.30318278774439605</v>
      </c>
      <c r="L345" s="819">
        <f>SUM(L171:L344)</f>
        <v>330325.53000000084</v>
      </c>
      <c r="M345" s="795">
        <f>SUM(M171:M344)</f>
        <v>35146</v>
      </c>
      <c r="N345" s="818">
        <f>IF(M345&gt;0,O345/M345/O$7,0)</f>
        <v>0.22635833380754569</v>
      </c>
      <c r="O345" s="819">
        <f>SUM(O171:O344)</f>
        <v>222756.52000000002</v>
      </c>
      <c r="P345" s="795">
        <f>SUM(P171:P344)</f>
        <v>35146</v>
      </c>
      <c r="Q345" s="818">
        <f>IF(P345&gt;0,R345/P345/R$7,0)</f>
        <v>0.27750931138862295</v>
      </c>
      <c r="R345" s="819">
        <f>SUM(R171:R344)</f>
        <v>302353.6100000008</v>
      </c>
      <c r="S345" s="795">
        <f>SUM(S171:S344)</f>
        <v>49146</v>
      </c>
      <c r="T345" s="818">
        <f>IF(S345&gt;0,U345/S345/U$7,0)</f>
        <v>0.27664489480323967</v>
      </c>
      <c r="U345" s="819">
        <f>SUM(U171:U344)</f>
        <v>407879.70000000054</v>
      </c>
      <c r="V345" s="795">
        <f>SUM(V171:V344)</f>
        <v>49146</v>
      </c>
      <c r="W345" s="818">
        <f>IF(V345&gt;0,X345/V345/X$7,0)</f>
        <v>0.27492659134140152</v>
      </c>
      <c r="X345" s="819">
        <f>SUM(X171:X344)</f>
        <v>418857.81000000006</v>
      </c>
      <c r="Y345" s="795">
        <f>SUM(Y171:Y344)</f>
        <v>127846</v>
      </c>
      <c r="Z345" s="818">
        <f>IF(Y345&gt;0,AA345/Y345/AA$7,0)</f>
        <v>0.38982604070522359</v>
      </c>
      <c r="AA345" s="819">
        <f>SUM(AA171:AA344)</f>
        <v>1495131.0000000005</v>
      </c>
      <c r="AB345" s="795">
        <f>SUM(AB171:AB344)</f>
        <v>167846</v>
      </c>
      <c r="AC345" s="818">
        <f>IF(AB345&gt;0,AD345/AB345/AD$7,0)</f>
        <v>0.38166397923134615</v>
      </c>
      <c r="AD345" s="819">
        <f>SUM(AD171:AD344)</f>
        <v>1985883.9400000004</v>
      </c>
      <c r="AE345" s="795">
        <f>SUM(AE171:AE344)</f>
        <v>167846</v>
      </c>
      <c r="AF345" s="818">
        <f>IF(AE345&gt;0,AG345/AE345/AG$7,0)</f>
        <v>0.38153814960180477</v>
      </c>
      <c r="AG345" s="819">
        <f>SUM(AG171:AG344)</f>
        <v>1985229.2200000002</v>
      </c>
      <c r="AH345" s="795">
        <f>SUM(AH171:AH344)</f>
        <v>167846</v>
      </c>
      <c r="AI345" s="818">
        <f>IF(AH345&gt;0,AJ345/AH345/AJ$7,0)</f>
        <v>0.38183155988227313</v>
      </c>
      <c r="AJ345" s="819">
        <f>SUM(AJ171:AJ344)</f>
        <v>1922667.0000000005</v>
      </c>
      <c r="AK345" s="795">
        <f>SUM(AK171:AK344)</f>
        <v>167846</v>
      </c>
      <c r="AL345" s="818">
        <f>IF(AK345&gt;0,AM345/AK345/AM$7,0)</f>
        <v>0.38153814960180477</v>
      </c>
      <c r="AM345" s="819">
        <f>SUM(AM171:AM344)</f>
        <v>1985229.2200000002</v>
      </c>
      <c r="AN345" s="795">
        <f>SUM(AN171:AN344)</f>
        <v>153846</v>
      </c>
      <c r="AO345" s="818">
        <f>IF(AN345&gt;0,AP345/AN345/AP$7,0)</f>
        <v>0.73110232310232315</v>
      </c>
      <c r="AP345" s="819">
        <f>SUM(AP171:AP344)</f>
        <v>3374315.04</v>
      </c>
      <c r="AQ345" s="795">
        <f>SUM(AQ171:AQ344)</f>
        <v>153846</v>
      </c>
      <c r="AR345" s="818">
        <f>IF(AQ345&gt;0,AS345/AQ345/AS$7,0)</f>
        <v>0.72825849980688706</v>
      </c>
      <c r="AS345" s="819">
        <f>SUM(AS171:AS344)</f>
        <v>3473229.3720000004</v>
      </c>
      <c r="AT345" s="31"/>
      <c r="AU345" s="42"/>
      <c r="AV345" s="820"/>
      <c r="AW345" s="945"/>
      <c r="AX345" s="804"/>
      <c r="AY345" s="945"/>
      <c r="AZ345" s="804"/>
      <c r="BA345" s="804"/>
      <c r="BB345" s="945"/>
      <c r="BC345" s="804"/>
      <c r="BD345" s="804"/>
      <c r="BE345" s="804"/>
      <c r="BF345" s="804"/>
    </row>
    <row r="346" spans="1:59" s="42" customFormat="1" x14ac:dyDescent="0.2">
      <c r="A346" s="741" t="s">
        <v>670</v>
      </c>
      <c r="D346" s="3"/>
      <c r="E346" s="3"/>
      <c r="F346" s="829"/>
      <c r="G346" s="754"/>
      <c r="H346" s="754"/>
      <c r="I346" s="754"/>
      <c r="J346" s="768"/>
      <c r="K346" s="757"/>
      <c r="L346" s="482"/>
      <c r="M346" s="771"/>
      <c r="N346" s="482"/>
      <c r="O346" s="482"/>
      <c r="P346" s="771"/>
      <c r="Q346" s="482"/>
      <c r="R346" s="482"/>
      <c r="S346" s="771"/>
      <c r="T346" s="482"/>
      <c r="U346" s="482"/>
      <c r="V346" s="771"/>
      <c r="W346" s="482"/>
      <c r="X346" s="482"/>
      <c r="Y346" s="771"/>
      <c r="Z346" s="482"/>
      <c r="AA346" s="482"/>
      <c r="AB346" s="771"/>
      <c r="AC346" s="482"/>
      <c r="AD346" s="482"/>
      <c r="AE346" s="771"/>
      <c r="AF346" s="482"/>
      <c r="AG346" s="482"/>
      <c r="AH346" s="771"/>
      <c r="AI346" s="482"/>
      <c r="AJ346" s="482"/>
      <c r="AK346" s="771"/>
      <c r="AL346" s="482"/>
      <c r="AM346" s="482"/>
      <c r="AN346" s="771"/>
      <c r="AO346" s="482"/>
      <c r="AP346" s="482"/>
      <c r="AQ346" s="771"/>
      <c r="AR346" s="482"/>
      <c r="AS346" s="482"/>
      <c r="AT346"/>
      <c r="AU346"/>
      <c r="AV346" s="802">
        <f>SUM(AV171:AV345)</f>
        <v>17903857.961999997</v>
      </c>
      <c r="AW346" s="923"/>
      <c r="AX346" s="946">
        <f>SUM(AX171:AX345)</f>
        <v>17903857.961999997</v>
      </c>
      <c r="AY346" s="923"/>
      <c r="AZ346" s="946">
        <f>SUM(AZ171:AZ345)</f>
        <v>1594052.7</v>
      </c>
      <c r="BA346" s="946">
        <f>SUM(BA171:BA345)</f>
        <v>-9849022.3999999985</v>
      </c>
      <c r="BB346" s="923"/>
      <c r="BC346" s="946">
        <f>SUM(BC171:BC345)</f>
        <v>-201115</v>
      </c>
      <c r="BD346" s="946">
        <f>SUM(BD171:BD345)</f>
        <v>1789479.7699999998</v>
      </c>
      <c r="BE346" s="946">
        <f>SUM(BE171:BE345)</f>
        <v>10450215.52</v>
      </c>
      <c r="BF346" s="946">
        <f>SUM(BF171:BF345)</f>
        <v>13830911.471999997</v>
      </c>
    </row>
    <row r="347" spans="1:59" x14ac:dyDescent="0.2">
      <c r="A347" s="646"/>
      <c r="B347" s="478"/>
      <c r="C347" s="478"/>
      <c r="D347" s="478"/>
      <c r="E347" s="478"/>
      <c r="F347" s="827"/>
      <c r="G347" s="757"/>
      <c r="H347" s="757"/>
      <c r="I347" s="757"/>
      <c r="J347" s="768"/>
      <c r="K347" s="757"/>
      <c r="L347" s="482"/>
      <c r="M347" s="771"/>
      <c r="N347" s="482"/>
      <c r="O347" s="482"/>
      <c r="P347" s="771"/>
      <c r="Q347" s="482"/>
      <c r="R347" s="482"/>
      <c r="S347" s="771"/>
      <c r="T347" s="482"/>
      <c r="U347" s="482"/>
      <c r="V347" s="771"/>
      <c r="W347" s="482"/>
      <c r="X347" s="482"/>
      <c r="Y347" s="771"/>
      <c r="Z347" s="482"/>
      <c r="AA347" s="482"/>
      <c r="AB347" s="771"/>
      <c r="AC347" s="482"/>
      <c r="AD347" s="482"/>
      <c r="AE347" s="771"/>
      <c r="AF347" s="482"/>
      <c r="AG347" s="482"/>
      <c r="AH347" s="771"/>
      <c r="AI347" s="482"/>
      <c r="AJ347" s="482"/>
      <c r="AK347" s="771"/>
      <c r="AL347" s="482"/>
      <c r="AM347" s="482"/>
      <c r="AN347" s="771"/>
      <c r="AO347" s="482"/>
      <c r="AP347" s="482"/>
      <c r="AQ347" s="771"/>
      <c r="AR347" s="482"/>
      <c r="AS347" s="482"/>
      <c r="BG347" s="33">
        <f>SUM(AZ346:BF346)</f>
        <v>17614522.061999999</v>
      </c>
    </row>
    <row r="348" spans="1:59" x14ac:dyDescent="0.2">
      <c r="A348" s="646"/>
      <c r="B348" s="478"/>
      <c r="C348" s="478"/>
      <c r="D348" s="478"/>
      <c r="E348" s="478"/>
      <c r="F348" s="827"/>
      <c r="G348" s="757"/>
      <c r="H348" s="757"/>
      <c r="I348" s="757"/>
      <c r="J348" s="768"/>
      <c r="K348" s="757"/>
      <c r="L348" s="482"/>
      <c r="M348" s="771"/>
      <c r="N348" s="482"/>
      <c r="O348" s="482"/>
      <c r="P348" s="771"/>
      <c r="Q348" s="482"/>
      <c r="R348" s="482"/>
      <c r="S348" s="771"/>
      <c r="T348" s="482"/>
      <c r="U348" s="482"/>
      <c r="V348" s="771"/>
      <c r="W348" s="482"/>
      <c r="X348" s="482"/>
      <c r="Y348" s="771"/>
      <c r="Z348" s="482"/>
      <c r="AA348" s="482"/>
      <c r="AB348" s="771"/>
      <c r="AC348" s="482"/>
      <c r="AD348" s="482"/>
      <c r="AE348" s="771"/>
      <c r="AF348" s="482"/>
      <c r="AG348" s="482"/>
      <c r="AH348" s="771"/>
      <c r="AI348" s="482"/>
      <c r="AJ348" s="482"/>
      <c r="AK348" s="771"/>
      <c r="AL348" s="482"/>
      <c r="AM348" s="482"/>
      <c r="AN348" s="771"/>
      <c r="AO348" s="482"/>
      <c r="AP348" s="482"/>
      <c r="AQ348" s="771"/>
      <c r="AR348" s="482"/>
      <c r="AS348" s="482"/>
    </row>
    <row r="349" spans="1:59" x14ac:dyDescent="0.2">
      <c r="AX349" s="920" t="s">
        <v>689</v>
      </c>
    </row>
    <row r="350" spans="1:59" x14ac:dyDescent="0.2">
      <c r="AX350" s="922">
        <f>AS345+AP345+AM345+AJ345+AG345+AD345+AA345+X345+U345+R345+O345+L345</f>
        <v>17903857.962000005</v>
      </c>
    </row>
  </sheetData>
  <mergeCells count="43">
    <mergeCell ref="Y8:AA8"/>
    <mergeCell ref="AB8:AD8"/>
    <mergeCell ref="AQ8:AS8"/>
    <mergeCell ref="AE8:AG8"/>
    <mergeCell ref="AH8:AJ8"/>
    <mergeCell ref="AK8:AM8"/>
    <mergeCell ref="AN8:AP8"/>
    <mergeCell ref="F2:G2"/>
    <mergeCell ref="J8:L8"/>
    <mergeCell ref="M8:O8"/>
    <mergeCell ref="P8:R8"/>
    <mergeCell ref="S8:U8"/>
    <mergeCell ref="V8:X8"/>
    <mergeCell ref="H153:I153"/>
    <mergeCell ref="H154:I154"/>
    <mergeCell ref="H331:I331"/>
    <mergeCell ref="H323:I323"/>
    <mergeCell ref="H327:I327"/>
    <mergeCell ref="H335:I335"/>
    <mergeCell ref="H128:I128"/>
    <mergeCell ref="H150:I150"/>
    <mergeCell ref="H155:I155"/>
    <mergeCell ref="H156:I156"/>
    <mergeCell ref="H143:I143"/>
    <mergeCell ref="H319:I319"/>
    <mergeCell ref="H311:I311"/>
    <mergeCell ref="H315:I315"/>
    <mergeCell ref="H151:I151"/>
    <mergeCell ref="H152:I152"/>
    <mergeCell ref="H122:I122"/>
    <mergeCell ref="H123:I123"/>
    <mergeCell ref="H124:I124"/>
    <mergeCell ref="H125:I125"/>
    <mergeCell ref="H126:I126"/>
    <mergeCell ref="H127:I127"/>
    <mergeCell ref="H185:I185"/>
    <mergeCell ref="H237:I237"/>
    <mergeCell ref="H241:I241"/>
    <mergeCell ref="H257:I257"/>
    <mergeCell ref="H249:I249"/>
    <mergeCell ref="H253:I253"/>
    <mergeCell ref="H232:I232"/>
    <mergeCell ref="H245:I245"/>
  </mergeCells>
  <phoneticPr fontId="0" type="noConversion"/>
  <pageMargins left="0" right="0" top="0.5" bottom="0.5" header="0.25" footer="0.25"/>
  <pageSetup scale="60" fitToWidth="2" fitToHeight="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9"/>
  <sheetViews>
    <sheetView view="pageBreakPreview" topLeftCell="AI1" zoomScale="60" zoomScaleNormal="75" workbookViewId="0">
      <pane ySplit="7" topLeftCell="A103" activePane="bottomLeft" state="frozen"/>
      <selection activeCell="B1" sqref="B1"/>
      <selection pane="bottomLeft" activeCell="AY105" sqref="AY105"/>
    </sheetView>
  </sheetViews>
  <sheetFormatPr defaultRowHeight="12.75" x14ac:dyDescent="0.2"/>
  <cols>
    <col min="1" max="1" width="37.140625" bestFit="1" customWidth="1"/>
    <col min="2" max="3" width="14.140625" bestFit="1" customWidth="1"/>
    <col min="4" max="4" width="12.42578125" bestFit="1" customWidth="1"/>
    <col min="5" max="5" width="12.28515625" bestFit="1" customWidth="1"/>
    <col min="6" max="6" width="49.28515625" bestFit="1" customWidth="1"/>
    <col min="7" max="7" width="8.42578125" bestFit="1" customWidth="1"/>
    <col min="8" max="8" width="8.85546875" bestFit="1" customWidth="1"/>
    <col min="9" max="9" width="5.140625" bestFit="1" customWidth="1"/>
    <col min="10" max="10" width="9.7109375" style="55" bestFit="1" customWidth="1"/>
    <col min="11" max="11" width="10.140625" style="55" bestFit="1" customWidth="1"/>
    <col min="12" max="12" width="15.5703125" bestFit="1" customWidth="1"/>
    <col min="13" max="13" width="12.28515625" bestFit="1" customWidth="1"/>
    <col min="14" max="14" width="12" bestFit="1" customWidth="1"/>
    <col min="15" max="15" width="12.5703125" bestFit="1" customWidth="1"/>
    <col min="16" max="16" width="7" bestFit="1" customWidth="1"/>
    <col min="17" max="17" width="12.28515625" bestFit="1" customWidth="1"/>
    <col min="18" max="18" width="14.42578125" bestFit="1" customWidth="1"/>
    <col min="19" max="19" width="15.5703125" bestFit="1" customWidth="1"/>
    <col min="20" max="20" width="12.28515625" bestFit="1" customWidth="1"/>
    <col min="21" max="21" width="13.28515625" bestFit="1" customWidth="1"/>
    <col min="22" max="22" width="15.5703125" bestFit="1" customWidth="1"/>
    <col min="23" max="23" width="12.28515625" bestFit="1" customWidth="1"/>
    <col min="24" max="24" width="14.42578125" bestFit="1" customWidth="1"/>
    <col min="25" max="25" width="15.5703125" bestFit="1" customWidth="1"/>
    <col min="26" max="26" width="12.28515625" bestFit="1" customWidth="1"/>
    <col min="27" max="27" width="12" bestFit="1" customWidth="1"/>
    <col min="28" max="28" width="15.5703125" bestFit="1" customWidth="1"/>
    <col min="29" max="29" width="12.28515625" bestFit="1" customWidth="1"/>
    <col min="30" max="30" width="14.42578125" bestFit="1" customWidth="1"/>
    <col min="31" max="31" width="15.5703125" bestFit="1" customWidth="1"/>
    <col min="32" max="32" width="12.28515625" bestFit="1" customWidth="1"/>
    <col min="33" max="33" width="12" bestFit="1" customWidth="1"/>
    <col min="34" max="34" width="15.5703125" bestFit="1" customWidth="1"/>
    <col min="35" max="35" width="12.28515625" bestFit="1" customWidth="1"/>
    <col min="36" max="36" width="14.42578125" bestFit="1" customWidth="1"/>
    <col min="37" max="37" width="15.5703125" bestFit="1" customWidth="1"/>
    <col min="38" max="38" width="12.28515625" bestFit="1" customWidth="1"/>
    <col min="39" max="39" width="13.28515625" bestFit="1" customWidth="1"/>
    <col min="40" max="40" width="15.5703125" bestFit="1" customWidth="1"/>
    <col min="41" max="41" width="12.28515625" bestFit="1" customWidth="1"/>
    <col min="42" max="42" width="12" bestFit="1" customWidth="1"/>
    <col min="43" max="43" width="15.5703125" bestFit="1" customWidth="1"/>
    <col min="44" max="44" width="12.28515625" bestFit="1" customWidth="1"/>
    <col min="45" max="45" width="13.28515625" bestFit="1" customWidth="1"/>
    <col min="46" max="46" width="15.5703125" bestFit="1" customWidth="1"/>
    <col min="47" max="47" width="12.28515625" bestFit="1" customWidth="1"/>
    <col min="48" max="48" width="12" bestFit="1" customWidth="1"/>
    <col min="49" max="49" width="15.5703125" bestFit="1" customWidth="1"/>
    <col min="50" max="50" width="12.28515625" bestFit="1" customWidth="1"/>
    <col min="51" max="51" width="13.28515625" bestFit="1" customWidth="1"/>
    <col min="52" max="52" width="15.5703125" bestFit="1" customWidth="1"/>
    <col min="53" max="53" width="12.28515625" bestFit="1" customWidth="1"/>
    <col min="54" max="54" width="8.28515625" bestFit="1" customWidth="1"/>
    <col min="55" max="55" width="15.5703125" bestFit="1" customWidth="1"/>
    <col min="56" max="56" width="12.28515625" bestFit="1" customWidth="1"/>
    <col min="57" max="57" width="8.28515625" bestFit="1" customWidth="1"/>
    <col min="58" max="58" width="15.5703125" bestFit="1" customWidth="1"/>
    <col min="59" max="59" width="12.28515625" bestFit="1" customWidth="1"/>
    <col min="60" max="60" width="8.28515625" bestFit="1" customWidth="1"/>
    <col min="61" max="61" width="15.5703125" bestFit="1" customWidth="1"/>
    <col min="62" max="62" width="12.28515625" bestFit="1" customWidth="1"/>
    <col min="63" max="63" width="8.28515625" bestFit="1" customWidth="1"/>
    <col min="64" max="64" width="15.5703125" bestFit="1" customWidth="1"/>
    <col min="65" max="65" width="12.28515625" bestFit="1" customWidth="1"/>
    <col min="66" max="66" width="8.28515625" bestFit="1" customWidth="1"/>
    <col min="67" max="67" width="15.5703125" bestFit="1" customWidth="1"/>
    <col min="68" max="68" width="12.28515625" bestFit="1" customWidth="1"/>
    <col min="69" max="69" width="8.28515625" bestFit="1" customWidth="1"/>
    <col min="70" max="70" width="15.5703125" bestFit="1" customWidth="1"/>
    <col min="71" max="71" width="12.28515625" bestFit="1" customWidth="1"/>
    <col min="72" max="72" width="8.28515625" bestFit="1" customWidth="1"/>
    <col min="73" max="73" width="15.5703125" bestFit="1" customWidth="1"/>
    <col min="74" max="74" width="12.28515625" bestFit="1" customWidth="1"/>
    <col min="75" max="75" width="8.28515625" bestFit="1" customWidth="1"/>
    <col min="76" max="76" width="15.5703125" bestFit="1" customWidth="1"/>
    <col min="77" max="77" width="12.28515625" bestFit="1" customWidth="1"/>
    <col min="78" max="78" width="8.28515625" bestFit="1" customWidth="1"/>
    <col min="79" max="79" width="15.5703125" bestFit="1" customWidth="1"/>
    <col min="80" max="80" width="12.28515625" bestFit="1" customWidth="1"/>
    <col min="81" max="81" width="8.28515625" bestFit="1" customWidth="1"/>
    <col min="82" max="82" width="15.5703125" bestFit="1" customWidth="1"/>
    <col min="83" max="83" width="12.28515625" bestFit="1" customWidth="1"/>
    <col min="84" max="84" width="8.28515625" bestFit="1" customWidth="1"/>
    <col min="85" max="85" width="15.5703125" bestFit="1" customWidth="1"/>
    <col min="86" max="86" width="12.28515625" bestFit="1" customWidth="1"/>
    <col min="87" max="87" width="8.28515625" bestFit="1" customWidth="1"/>
    <col min="88" max="88" width="15.5703125" bestFit="1" customWidth="1"/>
    <col min="89" max="89" width="12.28515625" bestFit="1" customWidth="1"/>
    <col min="90" max="90" width="8.28515625" bestFit="1" customWidth="1"/>
    <col min="91" max="91" width="15.5703125" bestFit="1" customWidth="1"/>
    <col min="92" max="92" width="12.28515625" bestFit="1" customWidth="1"/>
    <col min="93" max="93" width="8.28515625" bestFit="1" customWidth="1"/>
    <col min="94" max="94" width="15.5703125" bestFit="1" customWidth="1"/>
    <col min="95" max="95" width="12.28515625" bestFit="1" customWidth="1"/>
    <col min="96" max="96" width="8.28515625" bestFit="1" customWidth="1"/>
    <col min="97" max="97" width="15.5703125" bestFit="1" customWidth="1"/>
    <col min="98" max="98" width="12.28515625" bestFit="1" customWidth="1"/>
    <col min="99" max="99" width="8.28515625" bestFit="1" customWidth="1"/>
    <col min="100" max="100" width="15.5703125" bestFit="1" customWidth="1"/>
    <col min="101" max="101" width="12.28515625" bestFit="1" customWidth="1"/>
    <col min="102" max="102" width="8.28515625" bestFit="1" customWidth="1"/>
    <col min="103" max="103" width="15.5703125" bestFit="1" customWidth="1"/>
    <col min="104" max="104" width="12.28515625" bestFit="1" customWidth="1"/>
    <col min="105" max="105" width="8.28515625" bestFit="1" customWidth="1"/>
    <col min="106" max="106" width="15.5703125" bestFit="1" customWidth="1"/>
    <col min="107" max="107" width="12.28515625" bestFit="1" customWidth="1"/>
    <col min="108" max="108" width="8.28515625" bestFit="1" customWidth="1"/>
    <col min="109" max="109" width="15.5703125" bestFit="1" customWidth="1"/>
    <col min="110" max="110" width="12.28515625" bestFit="1" customWidth="1"/>
    <col min="111" max="111" width="8.28515625" bestFit="1" customWidth="1"/>
    <col min="112" max="112" width="15.5703125" bestFit="1" customWidth="1"/>
    <col min="113" max="113" width="12.28515625" bestFit="1" customWidth="1"/>
    <col min="114" max="114" width="8.28515625" bestFit="1" customWidth="1"/>
    <col min="115" max="115" width="15.5703125" bestFit="1" customWidth="1"/>
    <col min="116" max="116" width="12.28515625" bestFit="1" customWidth="1"/>
    <col min="117" max="117" width="8.28515625" bestFit="1" customWidth="1"/>
    <col min="118" max="118" width="15.5703125" bestFit="1" customWidth="1"/>
    <col min="119" max="119" width="12.28515625" bestFit="1" customWidth="1"/>
    <col min="120" max="120" width="8.28515625" bestFit="1" customWidth="1"/>
    <col min="121" max="121" width="15.5703125" bestFit="1" customWidth="1"/>
    <col min="122" max="122" width="12.28515625" bestFit="1" customWidth="1"/>
    <col min="123" max="123" width="8.28515625" bestFit="1" customWidth="1"/>
  </cols>
  <sheetData>
    <row r="1" spans="1:123" s="42" customFormat="1" ht="15" x14ac:dyDescent="0.25">
      <c r="A1" s="34" t="s">
        <v>0</v>
      </c>
      <c r="F1" s="431"/>
      <c r="M1"/>
      <c r="N1"/>
      <c r="O1"/>
      <c r="P1"/>
    </row>
    <row r="2" spans="1:123" s="42" customFormat="1" ht="15" x14ac:dyDescent="0.25">
      <c r="A2" s="34" t="s">
        <v>94</v>
      </c>
      <c r="F2" s="431"/>
      <c r="M2" s="367"/>
      <c r="N2" s="367"/>
      <c r="O2" s="367"/>
      <c r="P2" s="367"/>
    </row>
    <row r="3" spans="1:123" s="42" customFormat="1" ht="15" x14ac:dyDescent="0.25">
      <c r="A3" s="34"/>
      <c r="F3" s="431"/>
      <c r="M3"/>
      <c r="N3"/>
      <c r="O3"/>
      <c r="P3"/>
    </row>
    <row r="4" spans="1:123" x14ac:dyDescent="0.2">
      <c r="B4" s="1099" t="s">
        <v>41</v>
      </c>
      <c r="C4" s="1099"/>
      <c r="L4" s="1100">
        <v>37257</v>
      </c>
      <c r="M4" s="1103"/>
      <c r="N4" s="1103"/>
      <c r="O4" s="1103"/>
      <c r="P4" s="1103"/>
      <c r="Q4" s="1103"/>
      <c r="R4" s="1104"/>
      <c r="S4" s="1100">
        <v>37288</v>
      </c>
      <c r="T4" s="1101"/>
      <c r="U4" s="1102"/>
      <c r="V4" s="1100">
        <v>37316</v>
      </c>
      <c r="W4" s="1101"/>
      <c r="X4" s="1102"/>
      <c r="Y4" s="1100">
        <v>37347</v>
      </c>
      <c r="Z4" s="1101"/>
      <c r="AA4" s="1102"/>
      <c r="AB4" s="1100">
        <v>37377</v>
      </c>
      <c r="AC4" s="1101"/>
      <c r="AD4" s="1102"/>
      <c r="AE4" s="1100">
        <v>37408</v>
      </c>
      <c r="AF4" s="1101"/>
      <c r="AG4" s="1102"/>
      <c r="AH4" s="1100">
        <v>37438</v>
      </c>
      <c r="AI4" s="1101"/>
      <c r="AJ4" s="1102"/>
      <c r="AK4" s="1100">
        <v>37469</v>
      </c>
      <c r="AL4" s="1101"/>
      <c r="AM4" s="1102"/>
      <c r="AN4" s="1100">
        <v>37500</v>
      </c>
      <c r="AO4" s="1101"/>
      <c r="AP4" s="1102"/>
      <c r="AQ4" s="1100">
        <v>37530</v>
      </c>
      <c r="AR4" s="1101"/>
      <c r="AS4" s="1102"/>
      <c r="AT4" s="1100">
        <v>37561</v>
      </c>
      <c r="AU4" s="1101"/>
      <c r="AV4" s="1102"/>
      <c r="AW4" s="1100">
        <v>37591</v>
      </c>
      <c r="AX4" s="1101"/>
      <c r="AY4" s="1102"/>
      <c r="AZ4" s="1100">
        <v>37622</v>
      </c>
      <c r="BA4" s="1101"/>
      <c r="BB4" s="1102"/>
      <c r="BC4" s="1100">
        <v>37653</v>
      </c>
      <c r="BD4" s="1101"/>
      <c r="BE4" s="1102"/>
      <c r="BF4" s="1100">
        <v>37681</v>
      </c>
      <c r="BG4" s="1101"/>
      <c r="BH4" s="1102"/>
      <c r="BI4" s="1100">
        <v>37712</v>
      </c>
      <c r="BJ4" s="1101"/>
      <c r="BK4" s="1102"/>
      <c r="BL4" s="1100">
        <v>37742</v>
      </c>
      <c r="BM4" s="1101"/>
      <c r="BN4" s="1102"/>
      <c r="BO4" s="1100">
        <v>37773</v>
      </c>
      <c r="BP4" s="1101"/>
      <c r="BQ4" s="1102"/>
      <c r="BR4" s="1100">
        <v>37803</v>
      </c>
      <c r="BS4" s="1101"/>
      <c r="BT4" s="1102"/>
      <c r="BU4" s="1100">
        <v>37834</v>
      </c>
      <c r="BV4" s="1101"/>
      <c r="BW4" s="1102"/>
      <c r="BX4" s="1100">
        <v>37865</v>
      </c>
      <c r="BY4" s="1101"/>
      <c r="BZ4" s="1102"/>
      <c r="CA4" s="1100">
        <v>37895</v>
      </c>
      <c r="CB4" s="1101"/>
      <c r="CC4" s="1102"/>
      <c r="CD4" s="1100">
        <v>37926</v>
      </c>
      <c r="CE4" s="1101"/>
      <c r="CF4" s="1102"/>
      <c r="CG4" s="1100">
        <v>37956</v>
      </c>
      <c r="CH4" s="1101"/>
      <c r="CI4" s="1102"/>
      <c r="CJ4" s="1100">
        <v>37987</v>
      </c>
      <c r="CK4" s="1101"/>
      <c r="CL4" s="1102"/>
      <c r="CM4" s="1100">
        <v>38018</v>
      </c>
      <c r="CN4" s="1101"/>
      <c r="CO4" s="1102"/>
      <c r="CP4" s="1100">
        <v>38047</v>
      </c>
      <c r="CQ4" s="1101"/>
      <c r="CR4" s="1102"/>
      <c r="CS4" s="1100">
        <v>38078</v>
      </c>
      <c r="CT4" s="1101"/>
      <c r="CU4" s="1102"/>
      <c r="CV4" s="1100">
        <v>38108</v>
      </c>
      <c r="CW4" s="1101"/>
      <c r="CX4" s="1102"/>
      <c r="CY4" s="1100">
        <v>38139</v>
      </c>
      <c r="CZ4" s="1101"/>
      <c r="DA4" s="1102"/>
      <c r="DB4" s="1100">
        <v>38169</v>
      </c>
      <c r="DC4" s="1101"/>
      <c r="DD4" s="1102"/>
      <c r="DE4" s="1100">
        <v>38200</v>
      </c>
      <c r="DF4" s="1101"/>
      <c r="DG4" s="1102"/>
      <c r="DH4" s="1100">
        <v>38231</v>
      </c>
      <c r="DI4" s="1101"/>
      <c r="DJ4" s="1102"/>
      <c r="DK4" s="1100">
        <v>38261</v>
      </c>
      <c r="DL4" s="1101"/>
      <c r="DM4" s="1102"/>
      <c r="DN4" s="1100">
        <v>38292</v>
      </c>
      <c r="DO4" s="1101"/>
      <c r="DP4" s="1102"/>
      <c r="DQ4" s="1100">
        <v>38322</v>
      </c>
      <c r="DR4" s="1101"/>
      <c r="DS4" s="1102"/>
    </row>
    <row r="5" spans="1:123" ht="13.5" thickBot="1" x14ac:dyDescent="0.25">
      <c r="A5" s="35"/>
      <c r="B5" s="45"/>
      <c r="C5" s="44"/>
      <c r="D5" s="35"/>
      <c r="E5" s="35"/>
      <c r="F5" s="35"/>
      <c r="G5" s="35" t="s">
        <v>42</v>
      </c>
      <c r="H5" s="35" t="s">
        <v>53</v>
      </c>
      <c r="I5" s="35" t="s">
        <v>50</v>
      </c>
      <c r="J5" s="56" t="s">
        <v>42</v>
      </c>
      <c r="K5" s="56" t="s">
        <v>42</v>
      </c>
      <c r="L5" s="368" t="s">
        <v>45</v>
      </c>
      <c r="M5" s="364" t="s">
        <v>47</v>
      </c>
      <c r="N5" s="362"/>
      <c r="O5" s="363" t="s">
        <v>48</v>
      </c>
      <c r="P5" s="362"/>
      <c r="Q5" s="364" t="s">
        <v>2</v>
      </c>
      <c r="R5" s="369" t="s">
        <v>22</v>
      </c>
      <c r="S5" s="368" t="s">
        <v>45</v>
      </c>
      <c r="T5" s="364" t="s">
        <v>2</v>
      </c>
      <c r="U5" s="369" t="s">
        <v>22</v>
      </c>
      <c r="V5" s="368" t="s">
        <v>45</v>
      </c>
      <c r="W5" s="364" t="s">
        <v>2</v>
      </c>
      <c r="X5" s="369" t="s">
        <v>22</v>
      </c>
      <c r="Y5" s="368" t="s">
        <v>45</v>
      </c>
      <c r="Z5" s="364" t="s">
        <v>2</v>
      </c>
      <c r="AA5" s="369" t="s">
        <v>22</v>
      </c>
      <c r="AB5" s="368" t="s">
        <v>45</v>
      </c>
      <c r="AC5" s="364" t="s">
        <v>2</v>
      </c>
      <c r="AD5" s="369" t="s">
        <v>22</v>
      </c>
      <c r="AE5" s="368" t="s">
        <v>45</v>
      </c>
      <c r="AF5" s="364" t="s">
        <v>2</v>
      </c>
      <c r="AG5" s="369" t="s">
        <v>22</v>
      </c>
      <c r="AH5" s="368" t="s">
        <v>45</v>
      </c>
      <c r="AI5" s="364" t="s">
        <v>2</v>
      </c>
      <c r="AJ5" s="369" t="s">
        <v>22</v>
      </c>
      <c r="AK5" s="368" t="s">
        <v>45</v>
      </c>
      <c r="AL5" s="364" t="s">
        <v>2</v>
      </c>
      <c r="AM5" s="369" t="s">
        <v>22</v>
      </c>
      <c r="AN5" s="368" t="s">
        <v>45</v>
      </c>
      <c r="AO5" s="364" t="s">
        <v>2</v>
      </c>
      <c r="AP5" s="369" t="s">
        <v>22</v>
      </c>
      <c r="AQ5" s="368" t="s">
        <v>45</v>
      </c>
      <c r="AR5" s="364" t="s">
        <v>2</v>
      </c>
      <c r="AS5" s="369" t="s">
        <v>22</v>
      </c>
      <c r="AT5" s="368" t="s">
        <v>45</v>
      </c>
      <c r="AU5" s="364" t="s">
        <v>2</v>
      </c>
      <c r="AV5" s="369" t="s">
        <v>22</v>
      </c>
      <c r="AW5" s="368" t="s">
        <v>45</v>
      </c>
      <c r="AX5" s="364" t="s">
        <v>2</v>
      </c>
      <c r="AY5" s="369" t="s">
        <v>22</v>
      </c>
      <c r="AZ5" s="368" t="s">
        <v>45</v>
      </c>
      <c r="BA5" s="364" t="s">
        <v>2</v>
      </c>
      <c r="BB5" s="369" t="s">
        <v>22</v>
      </c>
      <c r="BC5" s="368" t="s">
        <v>45</v>
      </c>
      <c r="BD5" s="364" t="s">
        <v>2</v>
      </c>
      <c r="BE5" s="369" t="s">
        <v>22</v>
      </c>
      <c r="BF5" s="368" t="s">
        <v>45</v>
      </c>
      <c r="BG5" s="364" t="s">
        <v>2</v>
      </c>
      <c r="BH5" s="369" t="s">
        <v>22</v>
      </c>
      <c r="BI5" s="368" t="s">
        <v>45</v>
      </c>
      <c r="BJ5" s="364" t="s">
        <v>2</v>
      </c>
      <c r="BK5" s="369" t="s">
        <v>22</v>
      </c>
      <c r="BL5" s="368" t="s">
        <v>45</v>
      </c>
      <c r="BM5" s="364" t="s">
        <v>2</v>
      </c>
      <c r="BN5" s="369" t="s">
        <v>22</v>
      </c>
      <c r="BO5" s="368" t="s">
        <v>45</v>
      </c>
      <c r="BP5" s="364" t="s">
        <v>2</v>
      </c>
      <c r="BQ5" s="369" t="s">
        <v>22</v>
      </c>
      <c r="BR5" s="368" t="s">
        <v>45</v>
      </c>
      <c r="BS5" s="364" t="s">
        <v>2</v>
      </c>
      <c r="BT5" s="369" t="s">
        <v>22</v>
      </c>
      <c r="BU5" s="368" t="s">
        <v>45</v>
      </c>
      <c r="BV5" s="364" t="s">
        <v>2</v>
      </c>
      <c r="BW5" s="369" t="s">
        <v>22</v>
      </c>
      <c r="BX5" s="368" t="s">
        <v>45</v>
      </c>
      <c r="BY5" s="364" t="s">
        <v>2</v>
      </c>
      <c r="BZ5" s="369" t="s">
        <v>22</v>
      </c>
      <c r="CA5" s="368" t="s">
        <v>45</v>
      </c>
      <c r="CB5" s="364" t="s">
        <v>2</v>
      </c>
      <c r="CC5" s="369" t="s">
        <v>22</v>
      </c>
      <c r="CD5" s="368" t="s">
        <v>45</v>
      </c>
      <c r="CE5" s="364" t="s">
        <v>2</v>
      </c>
      <c r="CF5" s="369" t="s">
        <v>22</v>
      </c>
      <c r="CG5" s="368" t="s">
        <v>45</v>
      </c>
      <c r="CH5" s="364" t="s">
        <v>2</v>
      </c>
      <c r="CI5" s="369" t="s">
        <v>22</v>
      </c>
      <c r="CJ5" s="368" t="s">
        <v>45</v>
      </c>
      <c r="CK5" s="364" t="s">
        <v>2</v>
      </c>
      <c r="CL5" s="369" t="s">
        <v>22</v>
      </c>
      <c r="CM5" s="368" t="s">
        <v>45</v>
      </c>
      <c r="CN5" s="364" t="s">
        <v>2</v>
      </c>
      <c r="CO5" s="369" t="s">
        <v>22</v>
      </c>
      <c r="CP5" s="368" t="s">
        <v>45</v>
      </c>
      <c r="CQ5" s="364" t="s">
        <v>2</v>
      </c>
      <c r="CR5" s="369" t="s">
        <v>22</v>
      </c>
      <c r="CS5" s="368" t="s">
        <v>45</v>
      </c>
      <c r="CT5" s="364" t="s">
        <v>2</v>
      </c>
      <c r="CU5" s="369" t="s">
        <v>22</v>
      </c>
      <c r="CV5" s="368" t="s">
        <v>45</v>
      </c>
      <c r="CW5" s="364" t="s">
        <v>2</v>
      </c>
      <c r="CX5" s="369" t="s">
        <v>22</v>
      </c>
      <c r="CY5" s="368" t="s">
        <v>45</v>
      </c>
      <c r="CZ5" s="364" t="s">
        <v>2</v>
      </c>
      <c r="DA5" s="369" t="s">
        <v>22</v>
      </c>
      <c r="DB5" s="368" t="s">
        <v>45</v>
      </c>
      <c r="DC5" s="364" t="s">
        <v>2</v>
      </c>
      <c r="DD5" s="369" t="s">
        <v>22</v>
      </c>
      <c r="DE5" s="368" t="s">
        <v>45</v>
      </c>
      <c r="DF5" s="364" t="s">
        <v>2</v>
      </c>
      <c r="DG5" s="369" t="s">
        <v>22</v>
      </c>
      <c r="DH5" s="368" t="s">
        <v>45</v>
      </c>
      <c r="DI5" s="364" t="s">
        <v>2</v>
      </c>
      <c r="DJ5" s="369" t="s">
        <v>22</v>
      </c>
      <c r="DK5" s="368" t="s">
        <v>45</v>
      </c>
      <c r="DL5" s="364" t="s">
        <v>2</v>
      </c>
      <c r="DM5" s="369" t="s">
        <v>22</v>
      </c>
      <c r="DN5" s="368" t="s">
        <v>45</v>
      </c>
      <c r="DO5" s="364" t="s">
        <v>2</v>
      </c>
      <c r="DP5" s="369" t="s">
        <v>22</v>
      </c>
      <c r="DQ5" s="368" t="s">
        <v>45</v>
      </c>
      <c r="DR5" s="364" t="s">
        <v>2</v>
      </c>
      <c r="DS5" s="369" t="s">
        <v>22</v>
      </c>
    </row>
    <row r="6" spans="1:123" x14ac:dyDescent="0.2">
      <c r="A6" s="43" t="s">
        <v>34</v>
      </c>
      <c r="B6" s="43" t="s">
        <v>30</v>
      </c>
      <c r="C6" s="43" t="s">
        <v>31</v>
      </c>
      <c r="D6" s="43" t="s">
        <v>29</v>
      </c>
      <c r="E6" s="43" t="s">
        <v>35</v>
      </c>
      <c r="F6" s="43" t="s">
        <v>32</v>
      </c>
      <c r="G6" s="43" t="s">
        <v>49</v>
      </c>
      <c r="H6" s="43" t="s">
        <v>51</v>
      </c>
      <c r="I6" s="43" t="s">
        <v>51</v>
      </c>
      <c r="J6" s="57" t="s">
        <v>43</v>
      </c>
      <c r="K6" s="57" t="s">
        <v>44</v>
      </c>
      <c r="L6" s="366" t="s">
        <v>46</v>
      </c>
      <c r="M6" s="365" t="s">
        <v>36</v>
      </c>
      <c r="N6" s="365" t="s">
        <v>37</v>
      </c>
      <c r="O6" s="365" t="s">
        <v>38</v>
      </c>
      <c r="P6" s="365" t="s">
        <v>39</v>
      </c>
      <c r="Q6" s="365" t="s">
        <v>36</v>
      </c>
      <c r="R6" s="370" t="s">
        <v>33</v>
      </c>
      <c r="S6" s="366" t="s">
        <v>46</v>
      </c>
      <c r="T6" s="365" t="s">
        <v>36</v>
      </c>
      <c r="U6" s="370" t="s">
        <v>33</v>
      </c>
      <c r="V6" s="366" t="s">
        <v>46</v>
      </c>
      <c r="W6" s="365" t="s">
        <v>36</v>
      </c>
      <c r="X6" s="370" t="s">
        <v>33</v>
      </c>
      <c r="Y6" s="366" t="s">
        <v>46</v>
      </c>
      <c r="Z6" s="365" t="s">
        <v>36</v>
      </c>
      <c r="AA6" s="370" t="s">
        <v>33</v>
      </c>
      <c r="AB6" s="366" t="s">
        <v>46</v>
      </c>
      <c r="AC6" s="365" t="s">
        <v>36</v>
      </c>
      <c r="AD6" s="370" t="s">
        <v>33</v>
      </c>
      <c r="AE6" s="366" t="s">
        <v>46</v>
      </c>
      <c r="AF6" s="365" t="s">
        <v>36</v>
      </c>
      <c r="AG6" s="370" t="s">
        <v>33</v>
      </c>
      <c r="AH6" s="366" t="s">
        <v>46</v>
      </c>
      <c r="AI6" s="365" t="s">
        <v>36</v>
      </c>
      <c r="AJ6" s="370" t="s">
        <v>33</v>
      </c>
      <c r="AK6" s="366" t="s">
        <v>46</v>
      </c>
      <c r="AL6" s="365" t="s">
        <v>36</v>
      </c>
      <c r="AM6" s="370" t="s">
        <v>33</v>
      </c>
      <c r="AN6" s="366" t="s">
        <v>46</v>
      </c>
      <c r="AO6" s="365" t="s">
        <v>36</v>
      </c>
      <c r="AP6" s="370" t="s">
        <v>33</v>
      </c>
      <c r="AQ6" s="366" t="s">
        <v>46</v>
      </c>
      <c r="AR6" s="365" t="s">
        <v>36</v>
      </c>
      <c r="AS6" s="370" t="s">
        <v>33</v>
      </c>
      <c r="AT6" s="366" t="s">
        <v>46</v>
      </c>
      <c r="AU6" s="365" t="s">
        <v>36</v>
      </c>
      <c r="AV6" s="370" t="s">
        <v>33</v>
      </c>
      <c r="AW6" s="366" t="s">
        <v>46</v>
      </c>
      <c r="AX6" s="365" t="s">
        <v>36</v>
      </c>
      <c r="AY6" s="370" t="s">
        <v>33</v>
      </c>
      <c r="AZ6" s="366" t="s">
        <v>46</v>
      </c>
      <c r="BA6" s="365" t="s">
        <v>36</v>
      </c>
      <c r="BB6" s="370" t="s">
        <v>33</v>
      </c>
      <c r="BC6" s="366" t="s">
        <v>46</v>
      </c>
      <c r="BD6" s="365" t="s">
        <v>36</v>
      </c>
      <c r="BE6" s="370" t="s">
        <v>33</v>
      </c>
      <c r="BF6" s="366" t="s">
        <v>46</v>
      </c>
      <c r="BG6" s="365" t="s">
        <v>36</v>
      </c>
      <c r="BH6" s="370" t="s">
        <v>33</v>
      </c>
      <c r="BI6" s="366" t="s">
        <v>46</v>
      </c>
      <c r="BJ6" s="365" t="s">
        <v>36</v>
      </c>
      <c r="BK6" s="370" t="s">
        <v>33</v>
      </c>
      <c r="BL6" s="366" t="s">
        <v>46</v>
      </c>
      <c r="BM6" s="365" t="s">
        <v>36</v>
      </c>
      <c r="BN6" s="370" t="s">
        <v>33</v>
      </c>
      <c r="BO6" s="366" t="s">
        <v>46</v>
      </c>
      <c r="BP6" s="365" t="s">
        <v>36</v>
      </c>
      <c r="BQ6" s="370" t="s">
        <v>33</v>
      </c>
      <c r="BR6" s="366" t="s">
        <v>46</v>
      </c>
      <c r="BS6" s="365" t="s">
        <v>36</v>
      </c>
      <c r="BT6" s="370" t="s">
        <v>33</v>
      </c>
      <c r="BU6" s="366" t="s">
        <v>46</v>
      </c>
      <c r="BV6" s="365" t="s">
        <v>36</v>
      </c>
      <c r="BW6" s="370" t="s">
        <v>33</v>
      </c>
      <c r="BX6" s="366" t="s">
        <v>46</v>
      </c>
      <c r="BY6" s="365" t="s">
        <v>36</v>
      </c>
      <c r="BZ6" s="370" t="s">
        <v>33</v>
      </c>
      <c r="CA6" s="366" t="s">
        <v>46</v>
      </c>
      <c r="CB6" s="365" t="s">
        <v>36</v>
      </c>
      <c r="CC6" s="370" t="s">
        <v>33</v>
      </c>
      <c r="CD6" s="366" t="s">
        <v>46</v>
      </c>
      <c r="CE6" s="365" t="s">
        <v>36</v>
      </c>
      <c r="CF6" s="370" t="s">
        <v>33</v>
      </c>
      <c r="CG6" s="366" t="s">
        <v>46</v>
      </c>
      <c r="CH6" s="365" t="s">
        <v>36</v>
      </c>
      <c r="CI6" s="370" t="s">
        <v>33</v>
      </c>
      <c r="CJ6" s="366" t="s">
        <v>46</v>
      </c>
      <c r="CK6" s="365" t="s">
        <v>36</v>
      </c>
      <c r="CL6" s="370" t="s">
        <v>33</v>
      </c>
      <c r="CM6" s="366" t="s">
        <v>46</v>
      </c>
      <c r="CN6" s="365" t="s">
        <v>36</v>
      </c>
      <c r="CO6" s="370" t="s">
        <v>33</v>
      </c>
      <c r="CP6" s="366" t="s">
        <v>46</v>
      </c>
      <c r="CQ6" s="365" t="s">
        <v>36</v>
      </c>
      <c r="CR6" s="370" t="s">
        <v>33</v>
      </c>
      <c r="CS6" s="366" t="s">
        <v>46</v>
      </c>
      <c r="CT6" s="365" t="s">
        <v>36</v>
      </c>
      <c r="CU6" s="370" t="s">
        <v>33</v>
      </c>
      <c r="CV6" s="366" t="s">
        <v>46</v>
      </c>
      <c r="CW6" s="365" t="s">
        <v>36</v>
      </c>
      <c r="CX6" s="370" t="s">
        <v>33</v>
      </c>
      <c r="CY6" s="366" t="s">
        <v>46</v>
      </c>
      <c r="CZ6" s="365" t="s">
        <v>36</v>
      </c>
      <c r="DA6" s="370" t="s">
        <v>33</v>
      </c>
      <c r="DB6" s="366" t="s">
        <v>46</v>
      </c>
      <c r="DC6" s="365" t="s">
        <v>36</v>
      </c>
      <c r="DD6" s="370" t="s">
        <v>33</v>
      </c>
      <c r="DE6" s="366" t="s">
        <v>46</v>
      </c>
      <c r="DF6" s="365" t="s">
        <v>36</v>
      </c>
      <c r="DG6" s="370" t="s">
        <v>33</v>
      </c>
      <c r="DH6" s="366" t="s">
        <v>46</v>
      </c>
      <c r="DI6" s="365" t="s">
        <v>36</v>
      </c>
      <c r="DJ6" s="370" t="s">
        <v>33</v>
      </c>
      <c r="DK6" s="366" t="s">
        <v>46</v>
      </c>
      <c r="DL6" s="365" t="s">
        <v>36</v>
      </c>
      <c r="DM6" s="370" t="s">
        <v>33</v>
      </c>
      <c r="DN6" s="366" t="s">
        <v>46</v>
      </c>
      <c r="DO6" s="365" t="s">
        <v>36</v>
      </c>
      <c r="DP6" s="370" t="s">
        <v>33</v>
      </c>
      <c r="DQ6" s="366" t="s">
        <v>46</v>
      </c>
      <c r="DR6" s="365" t="s">
        <v>36</v>
      </c>
      <c r="DS6" s="370" t="s">
        <v>33</v>
      </c>
    </row>
    <row r="7" spans="1:123" x14ac:dyDescent="0.2">
      <c r="A7" s="43"/>
      <c r="B7" s="43"/>
      <c r="C7" s="43"/>
      <c r="D7" s="43"/>
      <c r="E7" s="43"/>
      <c r="F7" s="43"/>
      <c r="G7" s="43"/>
      <c r="H7" s="43"/>
      <c r="I7" s="43"/>
      <c r="J7" s="57"/>
      <c r="K7" s="57"/>
      <c r="M7" s="365"/>
      <c r="N7" s="365"/>
      <c r="O7" s="365"/>
      <c r="P7" s="365"/>
    </row>
    <row r="8" spans="1:123" x14ac:dyDescent="0.2">
      <c r="A8" t="s">
        <v>74</v>
      </c>
      <c r="B8" t="s">
        <v>75</v>
      </c>
      <c r="C8" t="s">
        <v>75</v>
      </c>
      <c r="D8">
        <v>500154</v>
      </c>
      <c r="E8">
        <v>58646</v>
      </c>
      <c r="F8" t="s">
        <v>96</v>
      </c>
      <c r="G8">
        <v>24198</v>
      </c>
      <c r="H8" t="s">
        <v>76</v>
      </c>
      <c r="I8" t="s">
        <v>93</v>
      </c>
      <c r="J8" s="55">
        <v>34851</v>
      </c>
      <c r="K8" s="55">
        <v>37590</v>
      </c>
      <c r="L8">
        <v>35714</v>
      </c>
      <c r="M8">
        <v>0.104</v>
      </c>
      <c r="N8">
        <v>0</v>
      </c>
      <c r="O8">
        <v>0</v>
      </c>
      <c r="P8">
        <v>0</v>
      </c>
      <c r="Q8">
        <v>0.104</v>
      </c>
      <c r="R8">
        <v>115141.936</v>
      </c>
      <c r="S8">
        <v>35714</v>
      </c>
      <c r="T8">
        <v>0.104</v>
      </c>
      <c r="U8">
        <v>103999.16800000001</v>
      </c>
      <c r="V8">
        <v>35714</v>
      </c>
      <c r="W8">
        <v>0.104</v>
      </c>
      <c r="X8">
        <v>115141.936</v>
      </c>
      <c r="Y8">
        <v>35714</v>
      </c>
      <c r="Z8">
        <v>0.104</v>
      </c>
      <c r="AA8">
        <v>111427.68</v>
      </c>
      <c r="AB8">
        <v>35714</v>
      </c>
      <c r="AC8">
        <v>0.104</v>
      </c>
      <c r="AD8">
        <v>115141.936</v>
      </c>
      <c r="AE8">
        <v>35714</v>
      </c>
      <c r="AF8">
        <v>0.104</v>
      </c>
      <c r="AG8">
        <v>111427.68</v>
      </c>
      <c r="AH8">
        <v>35714</v>
      </c>
      <c r="AI8">
        <v>0.104</v>
      </c>
      <c r="AJ8">
        <v>115141.936</v>
      </c>
      <c r="AK8">
        <v>35714</v>
      </c>
      <c r="AL8">
        <v>0.104</v>
      </c>
      <c r="AM8">
        <v>115141.936</v>
      </c>
      <c r="AN8">
        <v>35714</v>
      </c>
      <c r="AO8">
        <v>0.104</v>
      </c>
      <c r="AP8">
        <v>111427.68</v>
      </c>
      <c r="AQ8">
        <v>35714</v>
      </c>
      <c r="AR8">
        <v>0.104</v>
      </c>
      <c r="AS8">
        <v>115141.936</v>
      </c>
      <c r="AT8">
        <v>35714</v>
      </c>
      <c r="AU8">
        <v>0.104</v>
      </c>
      <c r="AV8">
        <v>111427.68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">
      <c r="A9" t="s">
        <v>74</v>
      </c>
      <c r="B9" t="s">
        <v>75</v>
      </c>
      <c r="C9" t="s">
        <v>75</v>
      </c>
      <c r="D9">
        <v>13199</v>
      </c>
      <c r="E9">
        <v>58649</v>
      </c>
      <c r="F9" t="s">
        <v>97</v>
      </c>
      <c r="G9">
        <v>24754</v>
      </c>
      <c r="H9" t="s">
        <v>76</v>
      </c>
      <c r="I9" t="s">
        <v>93</v>
      </c>
      <c r="J9" s="55">
        <v>35186</v>
      </c>
      <c r="K9" s="55">
        <v>38472</v>
      </c>
      <c r="L9">
        <v>1000</v>
      </c>
      <c r="M9">
        <v>0.1</v>
      </c>
      <c r="N9">
        <v>0</v>
      </c>
      <c r="O9">
        <v>0</v>
      </c>
      <c r="P9">
        <v>0</v>
      </c>
      <c r="Q9">
        <v>0.1</v>
      </c>
      <c r="R9">
        <v>3100</v>
      </c>
      <c r="S9">
        <v>1000</v>
      </c>
      <c r="T9">
        <v>0.1</v>
      </c>
      <c r="U9">
        <v>2800</v>
      </c>
      <c r="V9">
        <v>1000</v>
      </c>
      <c r="W9">
        <v>0.1</v>
      </c>
      <c r="X9">
        <v>3100</v>
      </c>
      <c r="Y9">
        <v>1000</v>
      </c>
      <c r="Z9">
        <v>0.1</v>
      </c>
      <c r="AA9">
        <v>3000</v>
      </c>
      <c r="AB9">
        <v>1000</v>
      </c>
      <c r="AC9">
        <v>0.1</v>
      </c>
      <c r="AD9">
        <v>3100</v>
      </c>
      <c r="AE9">
        <v>1000</v>
      </c>
      <c r="AF9">
        <v>0.1</v>
      </c>
      <c r="AG9">
        <v>3000</v>
      </c>
      <c r="AH9">
        <v>1000</v>
      </c>
      <c r="AI9">
        <v>0.1</v>
      </c>
      <c r="AJ9">
        <v>3100</v>
      </c>
      <c r="AK9">
        <v>1000</v>
      </c>
      <c r="AL9">
        <v>0.1</v>
      </c>
      <c r="AM9">
        <v>3100</v>
      </c>
      <c r="AN9">
        <v>1000</v>
      </c>
      <c r="AO9">
        <v>0.1</v>
      </c>
      <c r="AP9">
        <v>3000</v>
      </c>
      <c r="AQ9">
        <v>1000</v>
      </c>
      <c r="AR9">
        <v>0.1</v>
      </c>
      <c r="AS9">
        <v>3100</v>
      </c>
      <c r="AT9">
        <v>1000</v>
      </c>
      <c r="AU9">
        <v>0.1</v>
      </c>
      <c r="AV9">
        <v>3000</v>
      </c>
      <c r="AW9">
        <v>1000</v>
      </c>
      <c r="AX9">
        <v>0.1</v>
      </c>
      <c r="AY9">
        <v>3100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">
      <c r="A10" t="s">
        <v>74</v>
      </c>
      <c r="B10" t="s">
        <v>75</v>
      </c>
      <c r="C10" t="s">
        <v>75</v>
      </c>
      <c r="D10">
        <v>6828</v>
      </c>
      <c r="E10">
        <v>58647</v>
      </c>
      <c r="F10" t="s">
        <v>111</v>
      </c>
      <c r="G10">
        <v>25394</v>
      </c>
      <c r="H10" t="s">
        <v>76</v>
      </c>
      <c r="I10" t="s">
        <v>93</v>
      </c>
      <c r="J10" s="55">
        <v>35612</v>
      </c>
      <c r="K10" s="55">
        <v>37802</v>
      </c>
      <c r="L10">
        <v>5000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5000</v>
      </c>
      <c r="T10">
        <v>0</v>
      </c>
      <c r="U10">
        <v>0</v>
      </c>
      <c r="V10">
        <v>5000</v>
      </c>
      <c r="W10">
        <v>0</v>
      </c>
      <c r="X10">
        <v>0</v>
      </c>
      <c r="Y10">
        <v>5000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5000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5000</v>
      </c>
      <c r="AL10">
        <v>0</v>
      </c>
      <c r="AM10">
        <v>0</v>
      </c>
      <c r="AN10">
        <v>5000</v>
      </c>
      <c r="AO10">
        <v>0</v>
      </c>
      <c r="AP10">
        <v>0</v>
      </c>
      <c r="AQ10">
        <v>5000</v>
      </c>
      <c r="AR10">
        <v>0</v>
      </c>
      <c r="AS10">
        <v>0</v>
      </c>
      <c r="AT10">
        <v>5000</v>
      </c>
      <c r="AU10">
        <v>0</v>
      </c>
      <c r="AV10">
        <v>0</v>
      </c>
      <c r="AW10">
        <v>5000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">
      <c r="A11" t="s">
        <v>74</v>
      </c>
      <c r="B11" t="s">
        <v>75</v>
      </c>
      <c r="C11" t="s">
        <v>75</v>
      </c>
      <c r="D11">
        <v>500168</v>
      </c>
      <c r="E11">
        <v>60151</v>
      </c>
      <c r="F11" t="s">
        <v>99</v>
      </c>
      <c r="G11">
        <v>26606</v>
      </c>
      <c r="H11" t="s">
        <v>76</v>
      </c>
      <c r="I11" t="s">
        <v>93</v>
      </c>
      <c r="J11" s="55">
        <v>36137</v>
      </c>
      <c r="K11" s="55">
        <v>37925</v>
      </c>
      <c r="L11">
        <v>4750</v>
      </c>
      <c r="M11">
        <v>7.0000000000000007E-2</v>
      </c>
      <c r="N11">
        <v>0</v>
      </c>
      <c r="O11">
        <v>0</v>
      </c>
      <c r="P11">
        <v>0</v>
      </c>
      <c r="Q11">
        <v>7.0000000000000007E-2</v>
      </c>
      <c r="R11">
        <v>10307.5</v>
      </c>
      <c r="S11">
        <v>4750</v>
      </c>
      <c r="T11">
        <v>7.0000000000000007E-2</v>
      </c>
      <c r="U11">
        <v>9310</v>
      </c>
      <c r="V11">
        <v>4750</v>
      </c>
      <c r="W11">
        <v>7.0000000000000007E-2</v>
      </c>
      <c r="X11">
        <v>10307.5</v>
      </c>
      <c r="Y11">
        <v>4750</v>
      </c>
      <c r="Z11">
        <v>7.0000000000000007E-2</v>
      </c>
      <c r="AA11">
        <v>9975</v>
      </c>
      <c r="AB11">
        <v>4750</v>
      </c>
      <c r="AC11">
        <v>7.0000000000000007E-2</v>
      </c>
      <c r="AD11">
        <v>10307.5</v>
      </c>
      <c r="AE11">
        <v>4750</v>
      </c>
      <c r="AF11">
        <v>7.0000000000000007E-2</v>
      </c>
      <c r="AG11">
        <v>9975</v>
      </c>
      <c r="AH11">
        <v>4750</v>
      </c>
      <c r="AI11">
        <v>7.0000000000000007E-2</v>
      </c>
      <c r="AJ11">
        <v>10307.5</v>
      </c>
      <c r="AK11">
        <v>4750</v>
      </c>
      <c r="AL11">
        <v>7.0000000000000007E-2</v>
      </c>
      <c r="AM11">
        <v>10307.5</v>
      </c>
      <c r="AN11">
        <v>4750</v>
      </c>
      <c r="AO11">
        <v>7.0000000000000007E-2</v>
      </c>
      <c r="AP11">
        <v>9975</v>
      </c>
      <c r="AQ11">
        <v>4750</v>
      </c>
      <c r="AR11">
        <v>7.0000000000000007E-2</v>
      </c>
      <c r="AS11">
        <v>10307.5</v>
      </c>
      <c r="AT11">
        <v>4750</v>
      </c>
      <c r="AU11">
        <v>7.0000000000000007E-2</v>
      </c>
      <c r="AV11">
        <v>9975</v>
      </c>
      <c r="AW11">
        <v>4750</v>
      </c>
      <c r="AX11">
        <v>7.0000000000000007E-2</v>
      </c>
      <c r="AY11">
        <v>10307.5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">
      <c r="A12" t="s">
        <v>74</v>
      </c>
      <c r="B12" t="s">
        <v>75</v>
      </c>
      <c r="C12" t="s">
        <v>75</v>
      </c>
      <c r="D12">
        <v>500168</v>
      </c>
      <c r="E12">
        <v>500293</v>
      </c>
      <c r="F12" t="s">
        <v>99</v>
      </c>
      <c r="G12">
        <v>26606</v>
      </c>
      <c r="H12" t="s">
        <v>76</v>
      </c>
      <c r="I12" t="s">
        <v>93</v>
      </c>
      <c r="J12" s="55">
        <v>36137</v>
      </c>
      <c r="K12" s="55">
        <v>37925</v>
      </c>
      <c r="L12">
        <v>10000</v>
      </c>
      <c r="M12">
        <v>7.0000000000000007E-2</v>
      </c>
      <c r="N12">
        <v>0</v>
      </c>
      <c r="O12">
        <v>0</v>
      </c>
      <c r="P12">
        <v>0</v>
      </c>
      <c r="Q12">
        <v>7.0000000000000007E-2</v>
      </c>
      <c r="R12">
        <v>21700</v>
      </c>
      <c r="S12">
        <v>10000</v>
      </c>
      <c r="T12">
        <v>7.0000000000000007E-2</v>
      </c>
      <c r="U12">
        <v>19600</v>
      </c>
      <c r="V12">
        <v>10000</v>
      </c>
      <c r="W12">
        <v>7.0000000000000007E-2</v>
      </c>
      <c r="X12">
        <v>21700</v>
      </c>
      <c r="Y12">
        <v>10000</v>
      </c>
      <c r="Z12">
        <v>7.0000000000000007E-2</v>
      </c>
      <c r="AA12">
        <v>21000</v>
      </c>
      <c r="AB12">
        <v>10000</v>
      </c>
      <c r="AC12">
        <v>7.0000000000000007E-2</v>
      </c>
      <c r="AD12">
        <v>21700</v>
      </c>
      <c r="AE12">
        <v>10000</v>
      </c>
      <c r="AF12">
        <v>7.0000000000000007E-2</v>
      </c>
      <c r="AG12">
        <v>21000</v>
      </c>
      <c r="AH12">
        <v>10000</v>
      </c>
      <c r="AI12">
        <v>7.0000000000000007E-2</v>
      </c>
      <c r="AJ12">
        <v>21700</v>
      </c>
      <c r="AK12">
        <v>10000</v>
      </c>
      <c r="AL12">
        <v>7.0000000000000007E-2</v>
      </c>
      <c r="AM12">
        <v>21700</v>
      </c>
      <c r="AN12">
        <v>10000</v>
      </c>
      <c r="AO12">
        <v>7.0000000000000007E-2</v>
      </c>
      <c r="AP12">
        <v>21000</v>
      </c>
      <c r="AQ12">
        <v>10000</v>
      </c>
      <c r="AR12">
        <v>7.0000000000000007E-2</v>
      </c>
      <c r="AS12">
        <v>21700</v>
      </c>
      <c r="AT12">
        <v>10000</v>
      </c>
      <c r="AU12">
        <v>7.0000000000000007E-2</v>
      </c>
      <c r="AV12">
        <v>21000</v>
      </c>
      <c r="AW12">
        <v>10000</v>
      </c>
      <c r="AX12">
        <v>7.0000000000000007E-2</v>
      </c>
      <c r="AY12">
        <v>21700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">
      <c r="A13" t="s">
        <v>74</v>
      </c>
      <c r="B13" t="s">
        <v>75</v>
      </c>
      <c r="C13" t="s">
        <v>75</v>
      </c>
      <c r="D13">
        <v>500168</v>
      </c>
      <c r="E13">
        <v>500305</v>
      </c>
      <c r="F13" t="s">
        <v>99</v>
      </c>
      <c r="G13">
        <v>26606</v>
      </c>
      <c r="H13" t="s">
        <v>76</v>
      </c>
      <c r="I13" t="s">
        <v>93</v>
      </c>
      <c r="J13" s="55">
        <v>36137</v>
      </c>
      <c r="K13" s="55">
        <v>37925</v>
      </c>
      <c r="L13">
        <v>5250</v>
      </c>
      <c r="M13">
        <v>7.0000000000000007E-2</v>
      </c>
      <c r="N13">
        <v>0</v>
      </c>
      <c r="O13">
        <v>0</v>
      </c>
      <c r="P13">
        <v>0</v>
      </c>
      <c r="Q13">
        <v>7.0000000000000007E-2</v>
      </c>
      <c r="R13">
        <v>11392.5</v>
      </c>
      <c r="S13">
        <v>5250</v>
      </c>
      <c r="T13">
        <v>7.0000000000000007E-2</v>
      </c>
      <c r="U13">
        <v>10290</v>
      </c>
      <c r="V13">
        <v>5250</v>
      </c>
      <c r="W13">
        <v>7.0000000000000007E-2</v>
      </c>
      <c r="X13">
        <v>11392.5</v>
      </c>
      <c r="Y13">
        <v>5250</v>
      </c>
      <c r="Z13">
        <v>7.0000000000000007E-2</v>
      </c>
      <c r="AA13">
        <v>11025</v>
      </c>
      <c r="AB13">
        <v>5250</v>
      </c>
      <c r="AC13">
        <v>7.0000000000000007E-2</v>
      </c>
      <c r="AD13">
        <v>11392.5</v>
      </c>
      <c r="AE13">
        <v>5250</v>
      </c>
      <c r="AF13">
        <v>7.0000000000000007E-2</v>
      </c>
      <c r="AG13">
        <v>11025</v>
      </c>
      <c r="AH13">
        <v>5250</v>
      </c>
      <c r="AI13">
        <v>7.0000000000000007E-2</v>
      </c>
      <c r="AJ13">
        <v>11392.5</v>
      </c>
      <c r="AK13">
        <v>5250</v>
      </c>
      <c r="AL13">
        <v>7.0000000000000007E-2</v>
      </c>
      <c r="AM13">
        <v>11392.5</v>
      </c>
      <c r="AN13">
        <v>5250</v>
      </c>
      <c r="AO13">
        <v>7.0000000000000007E-2</v>
      </c>
      <c r="AP13">
        <v>11025</v>
      </c>
      <c r="AQ13">
        <v>5250</v>
      </c>
      <c r="AR13">
        <v>7.0000000000000007E-2</v>
      </c>
      <c r="AS13">
        <v>11392.5</v>
      </c>
      <c r="AT13">
        <v>5250</v>
      </c>
      <c r="AU13">
        <v>7.0000000000000007E-2</v>
      </c>
      <c r="AV13">
        <v>11025</v>
      </c>
      <c r="AW13">
        <v>5250</v>
      </c>
      <c r="AX13">
        <v>7.0000000000000007E-2</v>
      </c>
      <c r="AY13">
        <v>11392.5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">
      <c r="A14" t="s">
        <v>74</v>
      </c>
      <c r="B14" t="s">
        <v>75</v>
      </c>
      <c r="C14" t="s">
        <v>75</v>
      </c>
      <c r="D14">
        <v>500515</v>
      </c>
      <c r="E14">
        <v>60151</v>
      </c>
      <c r="F14" t="s">
        <v>99</v>
      </c>
      <c r="G14">
        <v>26606</v>
      </c>
      <c r="H14" t="s">
        <v>76</v>
      </c>
      <c r="I14" t="s">
        <v>93</v>
      </c>
      <c r="J14" s="55">
        <v>36137</v>
      </c>
      <c r="K14" s="55">
        <v>37925</v>
      </c>
      <c r="L14">
        <v>4750</v>
      </c>
      <c r="M14">
        <v>7.0000000000000007E-2</v>
      </c>
      <c r="N14">
        <v>0</v>
      </c>
      <c r="O14">
        <v>0</v>
      </c>
      <c r="P14">
        <v>0</v>
      </c>
      <c r="Q14">
        <v>7.0000000000000007E-2</v>
      </c>
      <c r="R14">
        <v>10307.5</v>
      </c>
      <c r="S14">
        <v>4750</v>
      </c>
      <c r="T14">
        <v>7.0000000000000007E-2</v>
      </c>
      <c r="U14">
        <v>9310</v>
      </c>
      <c r="V14">
        <v>4750</v>
      </c>
      <c r="W14">
        <v>7.0000000000000007E-2</v>
      </c>
      <c r="X14">
        <v>10307.5</v>
      </c>
      <c r="Y14">
        <v>4750</v>
      </c>
      <c r="Z14">
        <v>7.0000000000000007E-2</v>
      </c>
      <c r="AA14">
        <v>9975</v>
      </c>
      <c r="AB14">
        <v>4750</v>
      </c>
      <c r="AC14">
        <v>7.0000000000000007E-2</v>
      </c>
      <c r="AD14">
        <v>10307.5</v>
      </c>
      <c r="AE14">
        <v>4750</v>
      </c>
      <c r="AF14">
        <v>7.0000000000000007E-2</v>
      </c>
      <c r="AG14">
        <v>9975</v>
      </c>
      <c r="AH14">
        <v>4750</v>
      </c>
      <c r="AI14">
        <v>7.0000000000000007E-2</v>
      </c>
      <c r="AJ14">
        <v>10307.5</v>
      </c>
      <c r="AK14">
        <v>4750</v>
      </c>
      <c r="AL14">
        <v>7.0000000000000007E-2</v>
      </c>
      <c r="AM14">
        <v>10307.5</v>
      </c>
      <c r="AN14">
        <v>4750</v>
      </c>
      <c r="AO14">
        <v>7.0000000000000007E-2</v>
      </c>
      <c r="AP14">
        <v>9975</v>
      </c>
      <c r="AQ14">
        <v>4750</v>
      </c>
      <c r="AR14">
        <v>7.0000000000000007E-2</v>
      </c>
      <c r="AS14">
        <v>10307.5</v>
      </c>
      <c r="AT14">
        <v>4750</v>
      </c>
      <c r="AU14">
        <v>7.0000000000000007E-2</v>
      </c>
      <c r="AV14">
        <v>9975</v>
      </c>
      <c r="AW14">
        <v>4750</v>
      </c>
      <c r="AX14">
        <v>7.0000000000000007E-2</v>
      </c>
      <c r="AY14">
        <v>10307.5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">
      <c r="A15" t="s">
        <v>74</v>
      </c>
      <c r="B15" t="s">
        <v>75</v>
      </c>
      <c r="C15" t="s">
        <v>75</v>
      </c>
      <c r="D15">
        <v>500515</v>
      </c>
      <c r="E15">
        <v>500293</v>
      </c>
      <c r="F15" t="s">
        <v>99</v>
      </c>
      <c r="G15">
        <v>26606</v>
      </c>
      <c r="H15" t="s">
        <v>76</v>
      </c>
      <c r="I15" t="s">
        <v>93</v>
      </c>
      <c r="J15" s="55">
        <v>36137</v>
      </c>
      <c r="K15" s="55">
        <v>37925</v>
      </c>
      <c r="L15">
        <v>10000</v>
      </c>
      <c r="M15">
        <v>7.0000000000000007E-2</v>
      </c>
      <c r="N15">
        <v>0</v>
      </c>
      <c r="O15">
        <v>0</v>
      </c>
      <c r="P15">
        <v>0</v>
      </c>
      <c r="Q15">
        <v>7.0000000000000007E-2</v>
      </c>
      <c r="R15">
        <v>21700</v>
      </c>
      <c r="S15">
        <v>10000</v>
      </c>
      <c r="T15">
        <v>7.0000000000000007E-2</v>
      </c>
      <c r="U15">
        <v>19600</v>
      </c>
      <c r="V15">
        <v>10000</v>
      </c>
      <c r="W15">
        <v>7.0000000000000007E-2</v>
      </c>
      <c r="X15">
        <v>21700</v>
      </c>
      <c r="Y15">
        <v>10000</v>
      </c>
      <c r="Z15">
        <v>7.0000000000000007E-2</v>
      </c>
      <c r="AA15">
        <v>21000</v>
      </c>
      <c r="AB15">
        <v>10000</v>
      </c>
      <c r="AC15">
        <v>7.0000000000000007E-2</v>
      </c>
      <c r="AD15">
        <v>21700</v>
      </c>
      <c r="AE15">
        <v>10000</v>
      </c>
      <c r="AF15">
        <v>7.0000000000000007E-2</v>
      </c>
      <c r="AG15">
        <v>21000</v>
      </c>
      <c r="AH15">
        <v>10000</v>
      </c>
      <c r="AI15">
        <v>7.0000000000000007E-2</v>
      </c>
      <c r="AJ15">
        <v>21700</v>
      </c>
      <c r="AK15">
        <v>10000</v>
      </c>
      <c r="AL15">
        <v>7.0000000000000007E-2</v>
      </c>
      <c r="AM15">
        <v>21700</v>
      </c>
      <c r="AN15">
        <v>10000</v>
      </c>
      <c r="AO15">
        <v>7.0000000000000007E-2</v>
      </c>
      <c r="AP15">
        <v>21000</v>
      </c>
      <c r="AQ15">
        <v>10000</v>
      </c>
      <c r="AR15">
        <v>7.0000000000000007E-2</v>
      </c>
      <c r="AS15">
        <v>21700</v>
      </c>
      <c r="AT15">
        <v>10000</v>
      </c>
      <c r="AU15">
        <v>7.0000000000000007E-2</v>
      </c>
      <c r="AV15">
        <v>21000</v>
      </c>
      <c r="AW15">
        <v>10000</v>
      </c>
      <c r="AX15">
        <v>7.0000000000000007E-2</v>
      </c>
      <c r="AY15">
        <v>21700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">
      <c r="A16" t="s">
        <v>74</v>
      </c>
      <c r="B16" t="s">
        <v>75</v>
      </c>
      <c r="C16" t="s">
        <v>75</v>
      </c>
      <c r="D16">
        <v>500515</v>
      </c>
      <c r="E16">
        <v>500305</v>
      </c>
      <c r="F16" t="s">
        <v>99</v>
      </c>
      <c r="G16">
        <v>26606</v>
      </c>
      <c r="H16" t="s">
        <v>76</v>
      </c>
      <c r="I16" t="s">
        <v>93</v>
      </c>
      <c r="J16" s="55">
        <v>36137</v>
      </c>
      <c r="K16" s="55">
        <v>37925</v>
      </c>
      <c r="L16">
        <v>5250</v>
      </c>
      <c r="M16">
        <v>7.0000000000000007E-2</v>
      </c>
      <c r="N16">
        <v>0</v>
      </c>
      <c r="O16">
        <v>0</v>
      </c>
      <c r="P16">
        <v>0</v>
      </c>
      <c r="Q16">
        <v>7.0000000000000007E-2</v>
      </c>
      <c r="R16">
        <v>11392.5</v>
      </c>
      <c r="S16">
        <v>5250</v>
      </c>
      <c r="T16">
        <v>7.0000000000000007E-2</v>
      </c>
      <c r="U16">
        <v>10290</v>
      </c>
      <c r="V16">
        <v>5250</v>
      </c>
      <c r="W16">
        <v>7.0000000000000007E-2</v>
      </c>
      <c r="X16">
        <v>11392.5</v>
      </c>
      <c r="Y16">
        <v>5250</v>
      </c>
      <c r="Z16">
        <v>7.0000000000000007E-2</v>
      </c>
      <c r="AA16">
        <v>11025</v>
      </c>
      <c r="AB16">
        <v>5250</v>
      </c>
      <c r="AC16">
        <v>7.0000000000000007E-2</v>
      </c>
      <c r="AD16">
        <v>11392.5</v>
      </c>
      <c r="AE16">
        <v>5250</v>
      </c>
      <c r="AF16">
        <v>7.0000000000000007E-2</v>
      </c>
      <c r="AG16">
        <v>11025</v>
      </c>
      <c r="AH16">
        <v>5250</v>
      </c>
      <c r="AI16">
        <v>7.0000000000000007E-2</v>
      </c>
      <c r="AJ16">
        <v>11392.5</v>
      </c>
      <c r="AK16">
        <v>5250</v>
      </c>
      <c r="AL16">
        <v>7.0000000000000007E-2</v>
      </c>
      <c r="AM16">
        <v>11392.5</v>
      </c>
      <c r="AN16">
        <v>5250</v>
      </c>
      <c r="AO16">
        <v>7.0000000000000007E-2</v>
      </c>
      <c r="AP16">
        <v>11025</v>
      </c>
      <c r="AQ16">
        <v>5250</v>
      </c>
      <c r="AR16">
        <v>7.0000000000000007E-2</v>
      </c>
      <c r="AS16">
        <v>11392.5</v>
      </c>
      <c r="AT16">
        <v>5250</v>
      </c>
      <c r="AU16">
        <v>7.0000000000000007E-2</v>
      </c>
      <c r="AV16">
        <v>11025</v>
      </c>
      <c r="AW16">
        <v>5250</v>
      </c>
      <c r="AX16">
        <v>7.0000000000000007E-2</v>
      </c>
      <c r="AY16">
        <v>11392.5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">
      <c r="A17" t="s">
        <v>74</v>
      </c>
      <c r="B17" t="s">
        <v>75</v>
      </c>
      <c r="C17" t="s">
        <v>75</v>
      </c>
      <c r="D17">
        <v>500515</v>
      </c>
      <c r="E17">
        <v>58646</v>
      </c>
      <c r="F17" t="s">
        <v>102</v>
      </c>
      <c r="G17">
        <v>26740</v>
      </c>
      <c r="H17" t="s">
        <v>76</v>
      </c>
      <c r="I17" t="s">
        <v>93</v>
      </c>
      <c r="J17" s="55">
        <v>36312</v>
      </c>
      <c r="K17" s="55">
        <v>39113</v>
      </c>
      <c r="L17">
        <v>8000</v>
      </c>
      <c r="M17">
        <v>0.05</v>
      </c>
      <c r="N17">
        <v>0</v>
      </c>
      <c r="O17">
        <v>0</v>
      </c>
      <c r="P17">
        <v>0</v>
      </c>
      <c r="Q17">
        <v>0.05</v>
      </c>
      <c r="R17">
        <v>12400</v>
      </c>
      <c r="S17">
        <v>8000</v>
      </c>
      <c r="T17">
        <v>0.05</v>
      </c>
      <c r="U17">
        <v>11200</v>
      </c>
      <c r="V17">
        <v>8000</v>
      </c>
      <c r="W17">
        <v>0.05</v>
      </c>
      <c r="X17">
        <v>12400</v>
      </c>
      <c r="Y17">
        <v>8000</v>
      </c>
      <c r="Z17">
        <v>0.05</v>
      </c>
      <c r="AA17">
        <v>12000</v>
      </c>
      <c r="AB17">
        <v>8000</v>
      </c>
      <c r="AC17">
        <v>0.05</v>
      </c>
      <c r="AD17">
        <v>12400</v>
      </c>
      <c r="AE17">
        <v>8000</v>
      </c>
      <c r="AF17">
        <v>0.05</v>
      </c>
      <c r="AG17">
        <v>12000</v>
      </c>
      <c r="AH17">
        <v>8000</v>
      </c>
      <c r="AI17">
        <v>0.05</v>
      </c>
      <c r="AJ17">
        <v>12400</v>
      </c>
      <c r="AK17">
        <v>8000</v>
      </c>
      <c r="AL17">
        <v>0.05</v>
      </c>
      <c r="AM17">
        <v>12400</v>
      </c>
      <c r="AN17">
        <v>8000</v>
      </c>
      <c r="AO17">
        <v>0.05</v>
      </c>
      <c r="AP17">
        <v>12000</v>
      </c>
      <c r="AQ17">
        <v>8000</v>
      </c>
      <c r="AR17">
        <v>0.05</v>
      </c>
      <c r="AS17">
        <v>12400</v>
      </c>
      <c r="AT17">
        <v>8000</v>
      </c>
      <c r="AU17">
        <v>0.05</v>
      </c>
      <c r="AV17">
        <v>12000</v>
      </c>
      <c r="AW17">
        <v>8000</v>
      </c>
      <c r="AX17">
        <v>0.05</v>
      </c>
      <c r="AY17">
        <v>12400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">
      <c r="A18" t="s">
        <v>74</v>
      </c>
      <c r="B18" t="s">
        <v>75</v>
      </c>
      <c r="C18" t="s">
        <v>75</v>
      </c>
      <c r="D18">
        <v>78041</v>
      </c>
      <c r="E18">
        <v>58646</v>
      </c>
      <c r="F18" t="s">
        <v>104</v>
      </c>
      <c r="G18">
        <v>27104</v>
      </c>
      <c r="H18" t="s">
        <v>76</v>
      </c>
      <c r="I18" t="s">
        <v>93</v>
      </c>
      <c r="J18" s="55">
        <v>36557</v>
      </c>
      <c r="K18" s="55">
        <v>38383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1613</v>
      </c>
      <c r="AC18">
        <v>0.05</v>
      </c>
      <c r="AD18">
        <v>2500.15</v>
      </c>
      <c r="AE18">
        <v>8333</v>
      </c>
      <c r="AF18">
        <v>0.05</v>
      </c>
      <c r="AG18">
        <v>12499.5</v>
      </c>
      <c r="AH18">
        <v>12903</v>
      </c>
      <c r="AI18">
        <v>0.05</v>
      </c>
      <c r="AJ18">
        <v>19999.650000000001</v>
      </c>
      <c r="AK18">
        <v>9677</v>
      </c>
      <c r="AL18">
        <v>0.05</v>
      </c>
      <c r="AM18">
        <v>14999.35</v>
      </c>
      <c r="AN18">
        <v>3333</v>
      </c>
      <c r="AO18">
        <v>0.05</v>
      </c>
      <c r="AP18">
        <v>4999.5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">
      <c r="A19" t="s">
        <v>74</v>
      </c>
      <c r="B19" t="s">
        <v>75</v>
      </c>
      <c r="C19" t="s">
        <v>75</v>
      </c>
      <c r="D19">
        <v>6828</v>
      </c>
      <c r="E19">
        <v>58646</v>
      </c>
      <c r="F19" t="s">
        <v>95</v>
      </c>
      <c r="G19">
        <v>27161</v>
      </c>
      <c r="H19" t="s">
        <v>76</v>
      </c>
      <c r="I19" t="s">
        <v>93</v>
      </c>
      <c r="J19" s="55">
        <v>36617</v>
      </c>
      <c r="K19" s="55">
        <v>37711</v>
      </c>
      <c r="L19">
        <v>11000</v>
      </c>
      <c r="M19">
        <v>2.5000000000000001E-2</v>
      </c>
      <c r="N19">
        <v>0</v>
      </c>
      <c r="O19">
        <v>0</v>
      </c>
      <c r="P19">
        <v>0</v>
      </c>
      <c r="Q19">
        <v>2.5000000000000001E-2</v>
      </c>
      <c r="R19">
        <v>8525</v>
      </c>
      <c r="S19">
        <v>11000</v>
      </c>
      <c r="T19">
        <v>2.5000000000000001E-2</v>
      </c>
      <c r="U19">
        <v>7700</v>
      </c>
      <c r="V19">
        <v>11000</v>
      </c>
      <c r="W19">
        <v>2.5000000000000001E-2</v>
      </c>
      <c r="X19">
        <v>8525</v>
      </c>
      <c r="Y19">
        <v>11000</v>
      </c>
      <c r="Z19">
        <v>2.5000000000000001E-2</v>
      </c>
      <c r="AA19">
        <v>8250</v>
      </c>
      <c r="AB19">
        <v>11000</v>
      </c>
      <c r="AC19">
        <v>2.5000000000000001E-2</v>
      </c>
      <c r="AD19">
        <v>8525</v>
      </c>
      <c r="AE19">
        <v>11000</v>
      </c>
      <c r="AF19">
        <v>2.5000000000000001E-2</v>
      </c>
      <c r="AG19">
        <v>8250</v>
      </c>
      <c r="AH19">
        <v>11000</v>
      </c>
      <c r="AI19">
        <v>2.5000000000000001E-2</v>
      </c>
      <c r="AJ19">
        <v>8525</v>
      </c>
      <c r="AK19">
        <v>11000</v>
      </c>
      <c r="AL19">
        <v>2.5000000000000001E-2</v>
      </c>
      <c r="AM19">
        <v>8525</v>
      </c>
      <c r="AN19">
        <v>11000</v>
      </c>
      <c r="AO19">
        <v>2.5000000000000001E-2</v>
      </c>
      <c r="AP19">
        <v>8250</v>
      </c>
      <c r="AQ19">
        <v>11000</v>
      </c>
      <c r="AR19">
        <v>2.5000000000000001E-2</v>
      </c>
      <c r="AS19">
        <v>8525</v>
      </c>
      <c r="AT19">
        <v>11000</v>
      </c>
      <c r="AU19">
        <v>2.5000000000000001E-2</v>
      </c>
      <c r="AV19">
        <v>8250</v>
      </c>
      <c r="AW19">
        <v>11000</v>
      </c>
      <c r="AX19">
        <v>2.5000000000000001E-2</v>
      </c>
      <c r="AY19">
        <v>8525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">
      <c r="A20" t="s">
        <v>74</v>
      </c>
      <c r="B20" t="s">
        <v>75</v>
      </c>
      <c r="C20" t="s">
        <v>75</v>
      </c>
      <c r="D20">
        <v>6828</v>
      </c>
      <c r="E20">
        <v>58647</v>
      </c>
      <c r="F20" t="s">
        <v>95</v>
      </c>
      <c r="G20">
        <v>27161</v>
      </c>
      <c r="H20" t="s">
        <v>76</v>
      </c>
      <c r="I20" t="s">
        <v>93</v>
      </c>
      <c r="J20" s="55">
        <v>36617</v>
      </c>
      <c r="K20" s="55">
        <v>37711</v>
      </c>
      <c r="L20">
        <v>11000</v>
      </c>
      <c r="M20">
        <v>2.5000000000000001E-2</v>
      </c>
      <c r="N20">
        <v>0</v>
      </c>
      <c r="O20">
        <v>0</v>
      </c>
      <c r="P20">
        <v>0</v>
      </c>
      <c r="Q20">
        <v>2.5000000000000001E-2</v>
      </c>
      <c r="R20">
        <v>8525</v>
      </c>
      <c r="S20">
        <v>11000</v>
      </c>
      <c r="T20">
        <v>2.5000000000000001E-2</v>
      </c>
      <c r="U20">
        <v>7700</v>
      </c>
      <c r="V20">
        <v>11000</v>
      </c>
      <c r="W20">
        <v>2.5000000000000001E-2</v>
      </c>
      <c r="X20">
        <v>8525</v>
      </c>
      <c r="Y20">
        <v>11000</v>
      </c>
      <c r="Z20">
        <v>2.5000000000000001E-2</v>
      </c>
      <c r="AA20">
        <v>8250</v>
      </c>
      <c r="AB20">
        <v>11000</v>
      </c>
      <c r="AC20">
        <v>2.5000000000000001E-2</v>
      </c>
      <c r="AD20">
        <v>8525</v>
      </c>
      <c r="AE20">
        <v>11000</v>
      </c>
      <c r="AF20">
        <v>2.5000000000000001E-2</v>
      </c>
      <c r="AG20">
        <v>8250</v>
      </c>
      <c r="AH20">
        <v>11000</v>
      </c>
      <c r="AI20">
        <v>2.5000000000000001E-2</v>
      </c>
      <c r="AJ20">
        <v>8525</v>
      </c>
      <c r="AK20">
        <v>11000</v>
      </c>
      <c r="AL20">
        <v>2.5000000000000001E-2</v>
      </c>
      <c r="AM20">
        <v>8525</v>
      </c>
      <c r="AN20">
        <v>11000</v>
      </c>
      <c r="AO20">
        <v>2.5000000000000001E-2</v>
      </c>
      <c r="AP20">
        <v>8250</v>
      </c>
      <c r="AQ20">
        <v>11000</v>
      </c>
      <c r="AR20">
        <v>2.5000000000000001E-2</v>
      </c>
      <c r="AS20">
        <v>8525</v>
      </c>
      <c r="AT20">
        <v>11000</v>
      </c>
      <c r="AU20">
        <v>2.5000000000000001E-2</v>
      </c>
      <c r="AV20">
        <v>8250</v>
      </c>
      <c r="AW20">
        <v>11000</v>
      </c>
      <c r="AX20">
        <v>2.5000000000000001E-2</v>
      </c>
      <c r="AY20">
        <v>8525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">
      <c r="A21" t="s">
        <v>74</v>
      </c>
      <c r="B21" t="s">
        <v>75</v>
      </c>
      <c r="C21" t="s">
        <v>75</v>
      </c>
      <c r="D21">
        <v>6828</v>
      </c>
      <c r="E21">
        <v>58649</v>
      </c>
      <c r="F21" t="s">
        <v>95</v>
      </c>
      <c r="G21">
        <v>27161</v>
      </c>
      <c r="H21" t="s">
        <v>76</v>
      </c>
      <c r="I21" t="s">
        <v>93</v>
      </c>
      <c r="J21" s="55">
        <v>36617</v>
      </c>
      <c r="K21" s="55">
        <v>37711</v>
      </c>
      <c r="L21">
        <v>11000</v>
      </c>
      <c r="M21">
        <v>2.5000000000000001E-2</v>
      </c>
      <c r="N21">
        <v>0</v>
      </c>
      <c r="O21">
        <v>0</v>
      </c>
      <c r="P21">
        <v>0</v>
      </c>
      <c r="Q21">
        <v>2.5000000000000001E-2</v>
      </c>
      <c r="R21">
        <v>8525</v>
      </c>
      <c r="S21">
        <v>11000</v>
      </c>
      <c r="T21">
        <v>2.5000000000000001E-2</v>
      </c>
      <c r="U21">
        <v>7700</v>
      </c>
      <c r="V21">
        <v>11000</v>
      </c>
      <c r="W21">
        <v>2.5000000000000001E-2</v>
      </c>
      <c r="X21">
        <v>8525</v>
      </c>
      <c r="Y21">
        <v>11000</v>
      </c>
      <c r="Z21">
        <v>2.5000000000000001E-2</v>
      </c>
      <c r="AA21">
        <v>8250</v>
      </c>
      <c r="AB21">
        <v>11000</v>
      </c>
      <c r="AC21">
        <v>2.5000000000000001E-2</v>
      </c>
      <c r="AD21">
        <v>8525</v>
      </c>
      <c r="AE21">
        <v>11000</v>
      </c>
      <c r="AF21">
        <v>2.5000000000000001E-2</v>
      </c>
      <c r="AG21">
        <v>8250</v>
      </c>
      <c r="AH21">
        <v>11000</v>
      </c>
      <c r="AI21">
        <v>2.5000000000000001E-2</v>
      </c>
      <c r="AJ21">
        <v>8525</v>
      </c>
      <c r="AK21">
        <v>11000</v>
      </c>
      <c r="AL21">
        <v>2.5000000000000001E-2</v>
      </c>
      <c r="AM21">
        <v>8525</v>
      </c>
      <c r="AN21">
        <v>11000</v>
      </c>
      <c r="AO21">
        <v>2.5000000000000001E-2</v>
      </c>
      <c r="AP21">
        <v>8250</v>
      </c>
      <c r="AQ21">
        <v>11000</v>
      </c>
      <c r="AR21">
        <v>2.5000000000000001E-2</v>
      </c>
      <c r="AS21">
        <v>8525</v>
      </c>
      <c r="AT21">
        <v>11000</v>
      </c>
      <c r="AU21">
        <v>2.5000000000000001E-2</v>
      </c>
      <c r="AV21">
        <v>8250</v>
      </c>
      <c r="AW21">
        <v>11000</v>
      </c>
      <c r="AX21">
        <v>2.5000000000000001E-2</v>
      </c>
      <c r="AY21">
        <v>8525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">
      <c r="A22" t="s">
        <v>74</v>
      </c>
      <c r="B22" t="s">
        <v>75</v>
      </c>
      <c r="C22" t="s">
        <v>75</v>
      </c>
      <c r="D22">
        <v>6828</v>
      </c>
      <c r="E22">
        <v>60921</v>
      </c>
      <c r="F22" t="s">
        <v>95</v>
      </c>
      <c r="G22">
        <v>27161</v>
      </c>
      <c r="H22" t="s">
        <v>76</v>
      </c>
      <c r="I22" t="s">
        <v>93</v>
      </c>
      <c r="J22" s="55">
        <v>36617</v>
      </c>
      <c r="K22" s="55">
        <v>37711</v>
      </c>
      <c r="L22">
        <v>11000</v>
      </c>
      <c r="M22">
        <v>2.5000000000000001E-2</v>
      </c>
      <c r="N22">
        <v>0</v>
      </c>
      <c r="O22">
        <v>0</v>
      </c>
      <c r="P22">
        <v>0</v>
      </c>
      <c r="Q22">
        <v>2.5000000000000001E-2</v>
      </c>
      <c r="R22">
        <v>8525</v>
      </c>
      <c r="S22">
        <v>11000</v>
      </c>
      <c r="T22">
        <v>2.5000000000000001E-2</v>
      </c>
      <c r="U22">
        <v>7700</v>
      </c>
      <c r="V22">
        <v>11000</v>
      </c>
      <c r="W22">
        <v>2.5000000000000001E-2</v>
      </c>
      <c r="X22">
        <v>8525</v>
      </c>
      <c r="Y22">
        <v>11000</v>
      </c>
      <c r="Z22">
        <v>2.5000000000000001E-2</v>
      </c>
      <c r="AA22">
        <v>8250</v>
      </c>
      <c r="AB22">
        <v>11000</v>
      </c>
      <c r="AC22">
        <v>2.5000000000000001E-2</v>
      </c>
      <c r="AD22">
        <v>8525</v>
      </c>
      <c r="AE22">
        <v>11000</v>
      </c>
      <c r="AF22">
        <v>2.5000000000000001E-2</v>
      </c>
      <c r="AG22">
        <v>8250</v>
      </c>
      <c r="AH22">
        <v>11000</v>
      </c>
      <c r="AI22">
        <v>2.5000000000000001E-2</v>
      </c>
      <c r="AJ22">
        <v>8525</v>
      </c>
      <c r="AK22">
        <v>11000</v>
      </c>
      <c r="AL22">
        <v>2.5000000000000001E-2</v>
      </c>
      <c r="AM22">
        <v>8525</v>
      </c>
      <c r="AN22">
        <v>11000</v>
      </c>
      <c r="AO22">
        <v>2.5000000000000001E-2</v>
      </c>
      <c r="AP22">
        <v>8250</v>
      </c>
      <c r="AQ22">
        <v>11000</v>
      </c>
      <c r="AR22">
        <v>2.5000000000000001E-2</v>
      </c>
      <c r="AS22">
        <v>8525</v>
      </c>
      <c r="AT22">
        <v>11000</v>
      </c>
      <c r="AU22">
        <v>2.5000000000000001E-2</v>
      </c>
      <c r="AV22">
        <v>8250</v>
      </c>
      <c r="AW22">
        <v>11000</v>
      </c>
      <c r="AX22">
        <v>2.5000000000000001E-2</v>
      </c>
      <c r="AY22">
        <v>8525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">
      <c r="A23" t="s">
        <v>74</v>
      </c>
      <c r="B23" t="s">
        <v>75</v>
      </c>
      <c r="C23" t="s">
        <v>75</v>
      </c>
      <c r="D23">
        <v>8042</v>
      </c>
      <c r="E23">
        <v>58646</v>
      </c>
      <c r="F23" t="s">
        <v>95</v>
      </c>
      <c r="G23">
        <v>27161</v>
      </c>
      <c r="H23" t="s">
        <v>76</v>
      </c>
      <c r="I23" t="s">
        <v>93</v>
      </c>
      <c r="J23" s="55">
        <v>36617</v>
      </c>
      <c r="K23" s="55">
        <v>37711</v>
      </c>
      <c r="L23">
        <v>11400</v>
      </c>
      <c r="M23">
        <v>2.5000000000000001E-2</v>
      </c>
      <c r="N23">
        <v>0</v>
      </c>
      <c r="O23">
        <v>0</v>
      </c>
      <c r="P23">
        <v>0</v>
      </c>
      <c r="Q23">
        <v>2.5000000000000001E-2</v>
      </c>
      <c r="R23">
        <v>8835</v>
      </c>
      <c r="S23">
        <v>11400</v>
      </c>
      <c r="T23">
        <v>2.5000000000000001E-2</v>
      </c>
      <c r="U23">
        <v>7980</v>
      </c>
      <c r="V23">
        <v>11400</v>
      </c>
      <c r="W23">
        <v>2.5000000000000001E-2</v>
      </c>
      <c r="X23">
        <v>8835</v>
      </c>
      <c r="Y23">
        <v>11400</v>
      </c>
      <c r="Z23">
        <v>2.5000000000000001E-2</v>
      </c>
      <c r="AA23">
        <v>8550</v>
      </c>
      <c r="AB23">
        <v>11400</v>
      </c>
      <c r="AC23">
        <v>2.5000000000000001E-2</v>
      </c>
      <c r="AD23">
        <v>8835</v>
      </c>
      <c r="AE23">
        <v>11400</v>
      </c>
      <c r="AF23">
        <v>2.5000000000000001E-2</v>
      </c>
      <c r="AG23">
        <v>8550</v>
      </c>
      <c r="AH23">
        <v>11400</v>
      </c>
      <c r="AI23">
        <v>2.5000000000000001E-2</v>
      </c>
      <c r="AJ23">
        <v>8835</v>
      </c>
      <c r="AK23">
        <v>11400</v>
      </c>
      <c r="AL23">
        <v>2.5000000000000001E-2</v>
      </c>
      <c r="AM23">
        <v>8835</v>
      </c>
      <c r="AN23">
        <v>11400</v>
      </c>
      <c r="AO23">
        <v>2.5000000000000001E-2</v>
      </c>
      <c r="AP23">
        <v>8550</v>
      </c>
      <c r="AQ23">
        <v>11400</v>
      </c>
      <c r="AR23">
        <v>2.5000000000000001E-2</v>
      </c>
      <c r="AS23">
        <v>8835</v>
      </c>
      <c r="AT23">
        <v>11400</v>
      </c>
      <c r="AU23">
        <v>2.5000000000000001E-2</v>
      </c>
      <c r="AV23">
        <v>8550</v>
      </c>
      <c r="AW23">
        <v>11400</v>
      </c>
      <c r="AX23">
        <v>2.5000000000000001E-2</v>
      </c>
      <c r="AY23">
        <v>8835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">
      <c r="A24" t="s">
        <v>74</v>
      </c>
      <c r="B24" t="s">
        <v>75</v>
      </c>
      <c r="C24" t="s">
        <v>75</v>
      </c>
      <c r="D24">
        <v>8042</v>
      </c>
      <c r="E24">
        <v>58647</v>
      </c>
      <c r="F24" t="s">
        <v>95</v>
      </c>
      <c r="G24">
        <v>27161</v>
      </c>
      <c r="H24" t="s">
        <v>76</v>
      </c>
      <c r="I24" t="s">
        <v>93</v>
      </c>
      <c r="J24" s="55">
        <v>36617</v>
      </c>
      <c r="K24" s="55">
        <v>37711</v>
      </c>
      <c r="L24">
        <v>11400</v>
      </c>
      <c r="M24">
        <v>2.5000000000000001E-2</v>
      </c>
      <c r="N24">
        <v>0</v>
      </c>
      <c r="O24">
        <v>0</v>
      </c>
      <c r="P24">
        <v>0</v>
      </c>
      <c r="Q24">
        <v>2.5000000000000001E-2</v>
      </c>
      <c r="R24">
        <v>8835</v>
      </c>
      <c r="S24">
        <v>11400</v>
      </c>
      <c r="T24">
        <v>2.5000000000000001E-2</v>
      </c>
      <c r="U24">
        <v>7980</v>
      </c>
      <c r="V24">
        <v>11400</v>
      </c>
      <c r="W24">
        <v>2.5000000000000001E-2</v>
      </c>
      <c r="X24">
        <v>8835</v>
      </c>
      <c r="Y24">
        <v>11400</v>
      </c>
      <c r="Z24">
        <v>2.5000000000000001E-2</v>
      </c>
      <c r="AA24">
        <v>8550</v>
      </c>
      <c r="AB24">
        <v>11400</v>
      </c>
      <c r="AC24">
        <v>2.5000000000000001E-2</v>
      </c>
      <c r="AD24">
        <v>8835</v>
      </c>
      <c r="AE24">
        <v>11400</v>
      </c>
      <c r="AF24">
        <v>2.5000000000000001E-2</v>
      </c>
      <c r="AG24">
        <v>8550</v>
      </c>
      <c r="AH24">
        <v>11400</v>
      </c>
      <c r="AI24">
        <v>2.5000000000000001E-2</v>
      </c>
      <c r="AJ24">
        <v>8835</v>
      </c>
      <c r="AK24">
        <v>11400</v>
      </c>
      <c r="AL24">
        <v>2.5000000000000001E-2</v>
      </c>
      <c r="AM24">
        <v>8835</v>
      </c>
      <c r="AN24">
        <v>11400</v>
      </c>
      <c r="AO24">
        <v>2.5000000000000001E-2</v>
      </c>
      <c r="AP24">
        <v>8550</v>
      </c>
      <c r="AQ24">
        <v>11400</v>
      </c>
      <c r="AR24">
        <v>2.5000000000000001E-2</v>
      </c>
      <c r="AS24">
        <v>8835</v>
      </c>
      <c r="AT24">
        <v>11400</v>
      </c>
      <c r="AU24">
        <v>2.5000000000000001E-2</v>
      </c>
      <c r="AV24">
        <v>8550</v>
      </c>
      <c r="AW24">
        <v>11400</v>
      </c>
      <c r="AX24">
        <v>2.5000000000000001E-2</v>
      </c>
      <c r="AY24">
        <v>8835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">
      <c r="A25" t="s">
        <v>74</v>
      </c>
      <c r="B25" t="s">
        <v>75</v>
      </c>
      <c r="C25" t="s">
        <v>75</v>
      </c>
      <c r="D25">
        <v>8042</v>
      </c>
      <c r="E25">
        <v>58649</v>
      </c>
      <c r="F25" t="s">
        <v>95</v>
      </c>
      <c r="G25">
        <v>27161</v>
      </c>
      <c r="H25" t="s">
        <v>76</v>
      </c>
      <c r="I25" t="s">
        <v>93</v>
      </c>
      <c r="J25" s="55">
        <v>36617</v>
      </c>
      <c r="K25" s="55">
        <v>37711</v>
      </c>
      <c r="L25">
        <v>11400</v>
      </c>
      <c r="M25">
        <v>2.5000000000000001E-2</v>
      </c>
      <c r="N25">
        <v>0</v>
      </c>
      <c r="O25">
        <v>0</v>
      </c>
      <c r="P25">
        <v>0</v>
      </c>
      <c r="Q25">
        <v>2.5000000000000001E-2</v>
      </c>
      <c r="R25">
        <v>8835</v>
      </c>
      <c r="S25">
        <v>11400</v>
      </c>
      <c r="T25">
        <v>2.5000000000000001E-2</v>
      </c>
      <c r="U25">
        <v>7980</v>
      </c>
      <c r="V25">
        <v>11400</v>
      </c>
      <c r="W25">
        <v>2.5000000000000001E-2</v>
      </c>
      <c r="X25">
        <v>8835</v>
      </c>
      <c r="Y25">
        <v>11400</v>
      </c>
      <c r="Z25">
        <v>2.5000000000000001E-2</v>
      </c>
      <c r="AA25">
        <v>8550</v>
      </c>
      <c r="AB25">
        <v>11400</v>
      </c>
      <c r="AC25">
        <v>2.5000000000000001E-2</v>
      </c>
      <c r="AD25">
        <v>8835</v>
      </c>
      <c r="AE25">
        <v>11400</v>
      </c>
      <c r="AF25">
        <v>2.5000000000000001E-2</v>
      </c>
      <c r="AG25">
        <v>8550</v>
      </c>
      <c r="AH25">
        <v>11400</v>
      </c>
      <c r="AI25">
        <v>2.5000000000000001E-2</v>
      </c>
      <c r="AJ25">
        <v>8835</v>
      </c>
      <c r="AK25">
        <v>11400</v>
      </c>
      <c r="AL25">
        <v>2.5000000000000001E-2</v>
      </c>
      <c r="AM25">
        <v>8835</v>
      </c>
      <c r="AN25">
        <v>11400</v>
      </c>
      <c r="AO25">
        <v>2.5000000000000001E-2</v>
      </c>
      <c r="AP25">
        <v>8550</v>
      </c>
      <c r="AQ25">
        <v>11400</v>
      </c>
      <c r="AR25">
        <v>2.5000000000000001E-2</v>
      </c>
      <c r="AS25">
        <v>8835</v>
      </c>
      <c r="AT25">
        <v>11400</v>
      </c>
      <c r="AU25">
        <v>2.5000000000000001E-2</v>
      </c>
      <c r="AV25">
        <v>8550</v>
      </c>
      <c r="AW25">
        <v>11400</v>
      </c>
      <c r="AX25">
        <v>2.5000000000000001E-2</v>
      </c>
      <c r="AY25">
        <v>8835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">
      <c r="A26" t="s">
        <v>74</v>
      </c>
      <c r="B26" t="s">
        <v>75</v>
      </c>
      <c r="C26" t="s">
        <v>75</v>
      </c>
      <c r="D26">
        <v>8042</v>
      </c>
      <c r="E26">
        <v>60921</v>
      </c>
      <c r="F26" t="s">
        <v>95</v>
      </c>
      <c r="G26">
        <v>27161</v>
      </c>
      <c r="H26" t="s">
        <v>76</v>
      </c>
      <c r="I26" t="s">
        <v>93</v>
      </c>
      <c r="J26" s="55">
        <v>36617</v>
      </c>
      <c r="K26" s="55">
        <v>37711</v>
      </c>
      <c r="L26">
        <v>11400</v>
      </c>
      <c r="M26">
        <v>2.5000000000000001E-2</v>
      </c>
      <c r="N26">
        <v>0</v>
      </c>
      <c r="O26">
        <v>0</v>
      </c>
      <c r="P26">
        <v>0</v>
      </c>
      <c r="Q26">
        <v>2.5000000000000001E-2</v>
      </c>
      <c r="R26">
        <v>8835</v>
      </c>
      <c r="S26">
        <v>11400</v>
      </c>
      <c r="T26">
        <v>2.5000000000000001E-2</v>
      </c>
      <c r="U26">
        <v>7980</v>
      </c>
      <c r="V26">
        <v>11400</v>
      </c>
      <c r="W26">
        <v>2.5000000000000001E-2</v>
      </c>
      <c r="X26">
        <v>8835</v>
      </c>
      <c r="Y26">
        <v>11400</v>
      </c>
      <c r="Z26">
        <v>2.5000000000000001E-2</v>
      </c>
      <c r="AA26">
        <v>8550</v>
      </c>
      <c r="AB26">
        <v>11400</v>
      </c>
      <c r="AC26">
        <v>2.5000000000000001E-2</v>
      </c>
      <c r="AD26">
        <v>8835</v>
      </c>
      <c r="AE26">
        <v>11400</v>
      </c>
      <c r="AF26">
        <v>2.5000000000000001E-2</v>
      </c>
      <c r="AG26">
        <v>8550</v>
      </c>
      <c r="AH26">
        <v>11400</v>
      </c>
      <c r="AI26">
        <v>2.5000000000000001E-2</v>
      </c>
      <c r="AJ26">
        <v>8835</v>
      </c>
      <c r="AK26">
        <v>11400</v>
      </c>
      <c r="AL26">
        <v>2.5000000000000001E-2</v>
      </c>
      <c r="AM26">
        <v>8835</v>
      </c>
      <c r="AN26">
        <v>11400</v>
      </c>
      <c r="AO26">
        <v>2.5000000000000001E-2</v>
      </c>
      <c r="AP26">
        <v>8550</v>
      </c>
      <c r="AQ26">
        <v>11400</v>
      </c>
      <c r="AR26">
        <v>2.5000000000000001E-2</v>
      </c>
      <c r="AS26">
        <v>8835</v>
      </c>
      <c r="AT26">
        <v>11400</v>
      </c>
      <c r="AU26">
        <v>2.5000000000000001E-2</v>
      </c>
      <c r="AV26">
        <v>8550</v>
      </c>
      <c r="AW26">
        <v>11400</v>
      </c>
      <c r="AX26">
        <v>2.5000000000000001E-2</v>
      </c>
      <c r="AY26">
        <v>8835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">
      <c r="A27" t="s">
        <v>74</v>
      </c>
      <c r="B27" t="s">
        <v>75</v>
      </c>
      <c r="C27" t="s">
        <v>75</v>
      </c>
      <c r="D27">
        <v>8516</v>
      </c>
      <c r="E27">
        <v>58646</v>
      </c>
      <c r="F27" t="s">
        <v>95</v>
      </c>
      <c r="G27">
        <v>27161</v>
      </c>
      <c r="H27" t="s">
        <v>76</v>
      </c>
      <c r="I27" t="s">
        <v>93</v>
      </c>
      <c r="J27" s="55">
        <v>36617</v>
      </c>
      <c r="K27" s="55">
        <v>37711</v>
      </c>
      <c r="L27">
        <v>8000</v>
      </c>
      <c r="M27">
        <v>2.5000000000000001E-2</v>
      </c>
      <c r="N27">
        <v>0</v>
      </c>
      <c r="O27">
        <v>0</v>
      </c>
      <c r="P27">
        <v>0</v>
      </c>
      <c r="Q27">
        <v>2.5000000000000001E-2</v>
      </c>
      <c r="R27">
        <v>6200</v>
      </c>
      <c r="S27">
        <v>8000</v>
      </c>
      <c r="T27">
        <v>2.5000000000000001E-2</v>
      </c>
      <c r="U27">
        <v>5600</v>
      </c>
      <c r="V27">
        <v>8000</v>
      </c>
      <c r="W27">
        <v>2.5000000000000001E-2</v>
      </c>
      <c r="X27">
        <v>6200</v>
      </c>
      <c r="Y27">
        <v>8000</v>
      </c>
      <c r="Z27">
        <v>2.5000000000000001E-2</v>
      </c>
      <c r="AA27">
        <v>6000</v>
      </c>
      <c r="AB27">
        <v>8000</v>
      </c>
      <c r="AC27">
        <v>2.5000000000000001E-2</v>
      </c>
      <c r="AD27">
        <v>6200</v>
      </c>
      <c r="AE27">
        <v>8000</v>
      </c>
      <c r="AF27">
        <v>2.5000000000000001E-2</v>
      </c>
      <c r="AG27">
        <v>6000</v>
      </c>
      <c r="AH27">
        <v>8000</v>
      </c>
      <c r="AI27">
        <v>2.5000000000000001E-2</v>
      </c>
      <c r="AJ27">
        <v>6200</v>
      </c>
      <c r="AK27">
        <v>8000</v>
      </c>
      <c r="AL27">
        <v>2.5000000000000001E-2</v>
      </c>
      <c r="AM27">
        <v>6200</v>
      </c>
      <c r="AN27">
        <v>8000</v>
      </c>
      <c r="AO27">
        <v>2.5000000000000001E-2</v>
      </c>
      <c r="AP27">
        <v>6000</v>
      </c>
      <c r="AQ27">
        <v>8000</v>
      </c>
      <c r="AR27">
        <v>2.5000000000000001E-2</v>
      </c>
      <c r="AS27">
        <v>6200</v>
      </c>
      <c r="AT27">
        <v>8000</v>
      </c>
      <c r="AU27">
        <v>2.5000000000000001E-2</v>
      </c>
      <c r="AV27">
        <v>6000</v>
      </c>
      <c r="AW27">
        <v>8000</v>
      </c>
      <c r="AX27">
        <v>2.5000000000000001E-2</v>
      </c>
      <c r="AY27">
        <v>6200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">
      <c r="A28" t="s">
        <v>74</v>
      </c>
      <c r="B28" t="s">
        <v>75</v>
      </c>
      <c r="C28" t="s">
        <v>75</v>
      </c>
      <c r="D28">
        <v>8516</v>
      </c>
      <c r="E28">
        <v>58647</v>
      </c>
      <c r="F28" t="s">
        <v>95</v>
      </c>
      <c r="G28">
        <v>27161</v>
      </c>
      <c r="H28" t="s">
        <v>76</v>
      </c>
      <c r="I28" t="s">
        <v>93</v>
      </c>
      <c r="J28" s="55">
        <v>36617</v>
      </c>
      <c r="K28" s="55">
        <v>37711</v>
      </c>
      <c r="L28">
        <v>8000</v>
      </c>
      <c r="M28">
        <v>2.5000000000000001E-2</v>
      </c>
      <c r="N28">
        <v>0</v>
      </c>
      <c r="O28">
        <v>0</v>
      </c>
      <c r="P28">
        <v>0</v>
      </c>
      <c r="Q28">
        <v>2.5000000000000001E-2</v>
      </c>
      <c r="R28">
        <v>6200</v>
      </c>
      <c r="S28">
        <v>8000</v>
      </c>
      <c r="T28">
        <v>2.5000000000000001E-2</v>
      </c>
      <c r="U28">
        <v>5600</v>
      </c>
      <c r="V28">
        <v>8000</v>
      </c>
      <c r="W28">
        <v>2.5000000000000001E-2</v>
      </c>
      <c r="X28">
        <v>6200</v>
      </c>
      <c r="Y28">
        <v>8000</v>
      </c>
      <c r="Z28">
        <v>2.5000000000000001E-2</v>
      </c>
      <c r="AA28">
        <v>6000</v>
      </c>
      <c r="AB28">
        <v>8000</v>
      </c>
      <c r="AC28">
        <v>2.5000000000000001E-2</v>
      </c>
      <c r="AD28">
        <v>6200</v>
      </c>
      <c r="AE28">
        <v>8000</v>
      </c>
      <c r="AF28">
        <v>2.5000000000000001E-2</v>
      </c>
      <c r="AG28">
        <v>6000</v>
      </c>
      <c r="AH28">
        <v>8000</v>
      </c>
      <c r="AI28">
        <v>2.5000000000000001E-2</v>
      </c>
      <c r="AJ28">
        <v>6200</v>
      </c>
      <c r="AK28">
        <v>8000</v>
      </c>
      <c r="AL28">
        <v>2.5000000000000001E-2</v>
      </c>
      <c r="AM28">
        <v>6200</v>
      </c>
      <c r="AN28">
        <v>8000</v>
      </c>
      <c r="AO28">
        <v>2.5000000000000001E-2</v>
      </c>
      <c r="AP28">
        <v>6000</v>
      </c>
      <c r="AQ28">
        <v>8000</v>
      </c>
      <c r="AR28">
        <v>2.5000000000000001E-2</v>
      </c>
      <c r="AS28">
        <v>6200</v>
      </c>
      <c r="AT28">
        <v>8000</v>
      </c>
      <c r="AU28">
        <v>2.5000000000000001E-2</v>
      </c>
      <c r="AV28">
        <v>6000</v>
      </c>
      <c r="AW28">
        <v>8000</v>
      </c>
      <c r="AX28">
        <v>2.5000000000000001E-2</v>
      </c>
      <c r="AY28">
        <v>6200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">
      <c r="A29" t="s">
        <v>74</v>
      </c>
      <c r="B29" t="s">
        <v>75</v>
      </c>
      <c r="C29" t="s">
        <v>75</v>
      </c>
      <c r="D29">
        <v>8516</v>
      </c>
      <c r="E29">
        <v>58649</v>
      </c>
      <c r="F29" t="s">
        <v>95</v>
      </c>
      <c r="G29">
        <v>27161</v>
      </c>
      <c r="H29" t="s">
        <v>76</v>
      </c>
      <c r="I29" t="s">
        <v>93</v>
      </c>
      <c r="J29" s="55">
        <v>36617</v>
      </c>
      <c r="K29" s="55">
        <v>37711</v>
      </c>
      <c r="L29">
        <v>8000</v>
      </c>
      <c r="M29">
        <v>2.5000000000000001E-2</v>
      </c>
      <c r="N29">
        <v>0</v>
      </c>
      <c r="O29">
        <v>0</v>
      </c>
      <c r="P29">
        <v>0</v>
      </c>
      <c r="Q29">
        <v>2.5000000000000001E-2</v>
      </c>
      <c r="R29">
        <v>6200</v>
      </c>
      <c r="S29">
        <v>8000</v>
      </c>
      <c r="T29">
        <v>2.5000000000000001E-2</v>
      </c>
      <c r="U29">
        <v>5600</v>
      </c>
      <c r="V29">
        <v>8000</v>
      </c>
      <c r="W29">
        <v>2.5000000000000001E-2</v>
      </c>
      <c r="X29">
        <v>6200</v>
      </c>
      <c r="Y29">
        <v>8000</v>
      </c>
      <c r="Z29">
        <v>2.5000000000000001E-2</v>
      </c>
      <c r="AA29">
        <v>6000</v>
      </c>
      <c r="AB29">
        <v>8000</v>
      </c>
      <c r="AC29">
        <v>2.5000000000000001E-2</v>
      </c>
      <c r="AD29">
        <v>6200</v>
      </c>
      <c r="AE29">
        <v>8000</v>
      </c>
      <c r="AF29">
        <v>2.5000000000000001E-2</v>
      </c>
      <c r="AG29">
        <v>6000</v>
      </c>
      <c r="AH29">
        <v>8000</v>
      </c>
      <c r="AI29">
        <v>2.5000000000000001E-2</v>
      </c>
      <c r="AJ29">
        <v>6200</v>
      </c>
      <c r="AK29">
        <v>8000</v>
      </c>
      <c r="AL29">
        <v>2.5000000000000001E-2</v>
      </c>
      <c r="AM29">
        <v>6200</v>
      </c>
      <c r="AN29">
        <v>8000</v>
      </c>
      <c r="AO29">
        <v>2.5000000000000001E-2</v>
      </c>
      <c r="AP29">
        <v>6000</v>
      </c>
      <c r="AQ29">
        <v>8000</v>
      </c>
      <c r="AR29">
        <v>2.5000000000000001E-2</v>
      </c>
      <c r="AS29">
        <v>6200</v>
      </c>
      <c r="AT29">
        <v>8000</v>
      </c>
      <c r="AU29">
        <v>2.5000000000000001E-2</v>
      </c>
      <c r="AV29">
        <v>6000</v>
      </c>
      <c r="AW29">
        <v>8000</v>
      </c>
      <c r="AX29">
        <v>2.5000000000000001E-2</v>
      </c>
      <c r="AY29">
        <v>6200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">
      <c r="A30" t="s">
        <v>74</v>
      </c>
      <c r="B30" t="s">
        <v>75</v>
      </c>
      <c r="C30" t="s">
        <v>75</v>
      </c>
      <c r="D30">
        <v>8516</v>
      </c>
      <c r="E30">
        <v>60921</v>
      </c>
      <c r="F30" t="s">
        <v>95</v>
      </c>
      <c r="G30">
        <v>27161</v>
      </c>
      <c r="H30" t="s">
        <v>76</v>
      </c>
      <c r="I30" t="s">
        <v>93</v>
      </c>
      <c r="J30" s="55">
        <v>36617</v>
      </c>
      <c r="K30" s="55">
        <v>37711</v>
      </c>
      <c r="L30">
        <v>8000</v>
      </c>
      <c r="M30">
        <v>2.5000000000000001E-2</v>
      </c>
      <c r="N30">
        <v>0</v>
      </c>
      <c r="O30">
        <v>0</v>
      </c>
      <c r="P30">
        <v>0</v>
      </c>
      <c r="Q30">
        <v>2.5000000000000001E-2</v>
      </c>
      <c r="R30">
        <v>6200</v>
      </c>
      <c r="S30">
        <v>8000</v>
      </c>
      <c r="T30">
        <v>2.5000000000000001E-2</v>
      </c>
      <c r="U30">
        <v>5600</v>
      </c>
      <c r="V30">
        <v>8000</v>
      </c>
      <c r="W30">
        <v>2.5000000000000001E-2</v>
      </c>
      <c r="X30">
        <v>6200</v>
      </c>
      <c r="Y30">
        <v>8000</v>
      </c>
      <c r="Z30">
        <v>2.5000000000000001E-2</v>
      </c>
      <c r="AA30">
        <v>6000</v>
      </c>
      <c r="AB30">
        <v>8000</v>
      </c>
      <c r="AC30">
        <v>2.5000000000000001E-2</v>
      </c>
      <c r="AD30">
        <v>6200</v>
      </c>
      <c r="AE30">
        <v>8000</v>
      </c>
      <c r="AF30">
        <v>2.5000000000000001E-2</v>
      </c>
      <c r="AG30">
        <v>6000</v>
      </c>
      <c r="AH30">
        <v>8000</v>
      </c>
      <c r="AI30">
        <v>2.5000000000000001E-2</v>
      </c>
      <c r="AJ30">
        <v>6200</v>
      </c>
      <c r="AK30">
        <v>8000</v>
      </c>
      <c r="AL30">
        <v>2.5000000000000001E-2</v>
      </c>
      <c r="AM30">
        <v>6200</v>
      </c>
      <c r="AN30">
        <v>8000</v>
      </c>
      <c r="AO30">
        <v>2.5000000000000001E-2</v>
      </c>
      <c r="AP30">
        <v>6000</v>
      </c>
      <c r="AQ30">
        <v>8000</v>
      </c>
      <c r="AR30">
        <v>2.5000000000000001E-2</v>
      </c>
      <c r="AS30">
        <v>6200</v>
      </c>
      <c r="AT30">
        <v>8000</v>
      </c>
      <c r="AU30">
        <v>2.5000000000000001E-2</v>
      </c>
      <c r="AV30">
        <v>6000</v>
      </c>
      <c r="AW30">
        <v>8000</v>
      </c>
      <c r="AX30">
        <v>2.5000000000000001E-2</v>
      </c>
      <c r="AY30">
        <v>6200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">
      <c r="A31" t="s">
        <v>74</v>
      </c>
      <c r="B31" t="s">
        <v>75</v>
      </c>
      <c r="C31" t="s">
        <v>75</v>
      </c>
      <c r="D31">
        <v>10594</v>
      </c>
      <c r="E31">
        <v>58646</v>
      </c>
      <c r="F31" t="s">
        <v>95</v>
      </c>
      <c r="G31">
        <v>27161</v>
      </c>
      <c r="H31" t="s">
        <v>76</v>
      </c>
      <c r="I31" t="s">
        <v>93</v>
      </c>
      <c r="J31" s="55">
        <v>36617</v>
      </c>
      <c r="K31" s="55">
        <v>37711</v>
      </c>
      <c r="L31">
        <v>1400</v>
      </c>
      <c r="M31">
        <v>2.5000000000000001E-2</v>
      </c>
      <c r="N31">
        <v>0</v>
      </c>
      <c r="O31">
        <v>0</v>
      </c>
      <c r="P31">
        <v>0</v>
      </c>
      <c r="Q31">
        <v>2.5000000000000001E-2</v>
      </c>
      <c r="R31">
        <v>1085</v>
      </c>
      <c r="S31">
        <v>1400</v>
      </c>
      <c r="T31">
        <v>2.5000000000000001E-2</v>
      </c>
      <c r="U31">
        <v>980</v>
      </c>
      <c r="V31">
        <v>1400</v>
      </c>
      <c r="W31">
        <v>2.5000000000000001E-2</v>
      </c>
      <c r="X31">
        <v>1085</v>
      </c>
      <c r="Y31">
        <v>1400</v>
      </c>
      <c r="Z31">
        <v>2.5000000000000001E-2</v>
      </c>
      <c r="AA31">
        <v>1050</v>
      </c>
      <c r="AB31">
        <v>1400</v>
      </c>
      <c r="AC31">
        <v>2.5000000000000001E-2</v>
      </c>
      <c r="AD31">
        <v>1085</v>
      </c>
      <c r="AE31">
        <v>1400</v>
      </c>
      <c r="AF31">
        <v>2.5000000000000001E-2</v>
      </c>
      <c r="AG31">
        <v>1050</v>
      </c>
      <c r="AH31">
        <v>1400</v>
      </c>
      <c r="AI31">
        <v>2.5000000000000001E-2</v>
      </c>
      <c r="AJ31">
        <v>1085</v>
      </c>
      <c r="AK31">
        <v>1400</v>
      </c>
      <c r="AL31">
        <v>2.5000000000000001E-2</v>
      </c>
      <c r="AM31">
        <v>1085</v>
      </c>
      <c r="AN31">
        <v>1400</v>
      </c>
      <c r="AO31">
        <v>2.5000000000000001E-2</v>
      </c>
      <c r="AP31">
        <v>1050</v>
      </c>
      <c r="AQ31">
        <v>1400</v>
      </c>
      <c r="AR31">
        <v>2.5000000000000001E-2</v>
      </c>
      <c r="AS31">
        <v>1085</v>
      </c>
      <c r="AT31">
        <v>1400</v>
      </c>
      <c r="AU31">
        <v>2.5000000000000001E-2</v>
      </c>
      <c r="AV31">
        <v>1050</v>
      </c>
      <c r="AW31">
        <v>1400</v>
      </c>
      <c r="AX31">
        <v>2.5000000000000001E-2</v>
      </c>
      <c r="AY31">
        <v>1085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">
      <c r="A32" t="s">
        <v>74</v>
      </c>
      <c r="B32" t="s">
        <v>75</v>
      </c>
      <c r="C32" t="s">
        <v>75</v>
      </c>
      <c r="D32">
        <v>10594</v>
      </c>
      <c r="E32">
        <v>58647</v>
      </c>
      <c r="F32" t="s">
        <v>95</v>
      </c>
      <c r="G32">
        <v>27161</v>
      </c>
      <c r="H32" t="s">
        <v>76</v>
      </c>
      <c r="I32" t="s">
        <v>93</v>
      </c>
      <c r="J32" s="55">
        <v>36617</v>
      </c>
      <c r="K32" s="55">
        <v>37711</v>
      </c>
      <c r="L32">
        <v>1400</v>
      </c>
      <c r="M32">
        <v>2.5000000000000001E-2</v>
      </c>
      <c r="N32">
        <v>0</v>
      </c>
      <c r="O32">
        <v>0</v>
      </c>
      <c r="P32">
        <v>0</v>
      </c>
      <c r="Q32">
        <v>2.5000000000000001E-2</v>
      </c>
      <c r="R32">
        <v>1085</v>
      </c>
      <c r="S32">
        <v>1400</v>
      </c>
      <c r="T32">
        <v>2.5000000000000001E-2</v>
      </c>
      <c r="U32">
        <v>980</v>
      </c>
      <c r="V32">
        <v>1400</v>
      </c>
      <c r="W32">
        <v>2.5000000000000001E-2</v>
      </c>
      <c r="X32">
        <v>1085</v>
      </c>
      <c r="Y32">
        <v>1400</v>
      </c>
      <c r="Z32">
        <v>2.5000000000000001E-2</v>
      </c>
      <c r="AA32">
        <v>1050</v>
      </c>
      <c r="AB32">
        <v>1400</v>
      </c>
      <c r="AC32">
        <v>2.5000000000000001E-2</v>
      </c>
      <c r="AD32">
        <v>1085</v>
      </c>
      <c r="AE32">
        <v>1400</v>
      </c>
      <c r="AF32">
        <v>2.5000000000000001E-2</v>
      </c>
      <c r="AG32">
        <v>1050</v>
      </c>
      <c r="AH32">
        <v>1400</v>
      </c>
      <c r="AI32">
        <v>2.5000000000000001E-2</v>
      </c>
      <c r="AJ32">
        <v>1085</v>
      </c>
      <c r="AK32">
        <v>1400</v>
      </c>
      <c r="AL32">
        <v>2.5000000000000001E-2</v>
      </c>
      <c r="AM32">
        <v>1085</v>
      </c>
      <c r="AN32">
        <v>1400</v>
      </c>
      <c r="AO32">
        <v>2.5000000000000001E-2</v>
      </c>
      <c r="AP32">
        <v>1050</v>
      </c>
      <c r="AQ32">
        <v>1400</v>
      </c>
      <c r="AR32">
        <v>2.5000000000000001E-2</v>
      </c>
      <c r="AS32">
        <v>1085</v>
      </c>
      <c r="AT32">
        <v>1400</v>
      </c>
      <c r="AU32">
        <v>2.5000000000000001E-2</v>
      </c>
      <c r="AV32">
        <v>1050</v>
      </c>
      <c r="AW32">
        <v>1400</v>
      </c>
      <c r="AX32">
        <v>2.5000000000000001E-2</v>
      </c>
      <c r="AY32">
        <v>1085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">
      <c r="A33" t="s">
        <v>74</v>
      </c>
      <c r="B33" t="s">
        <v>75</v>
      </c>
      <c r="C33" t="s">
        <v>75</v>
      </c>
      <c r="D33">
        <v>10594</v>
      </c>
      <c r="E33">
        <v>58649</v>
      </c>
      <c r="F33" t="s">
        <v>95</v>
      </c>
      <c r="G33">
        <v>27161</v>
      </c>
      <c r="H33" t="s">
        <v>76</v>
      </c>
      <c r="I33" t="s">
        <v>93</v>
      </c>
      <c r="J33" s="55">
        <v>36617</v>
      </c>
      <c r="K33" s="55">
        <v>37711</v>
      </c>
      <c r="L33">
        <v>1400</v>
      </c>
      <c r="M33">
        <v>2.5000000000000001E-2</v>
      </c>
      <c r="N33">
        <v>0</v>
      </c>
      <c r="O33">
        <v>0</v>
      </c>
      <c r="P33">
        <v>0</v>
      </c>
      <c r="Q33">
        <v>2.5000000000000001E-2</v>
      </c>
      <c r="R33">
        <v>1085</v>
      </c>
      <c r="S33">
        <v>1400</v>
      </c>
      <c r="T33">
        <v>2.5000000000000001E-2</v>
      </c>
      <c r="U33">
        <v>980</v>
      </c>
      <c r="V33">
        <v>1400</v>
      </c>
      <c r="W33">
        <v>2.5000000000000001E-2</v>
      </c>
      <c r="X33">
        <v>1085</v>
      </c>
      <c r="Y33">
        <v>1400</v>
      </c>
      <c r="Z33">
        <v>2.5000000000000001E-2</v>
      </c>
      <c r="AA33">
        <v>1050</v>
      </c>
      <c r="AB33">
        <v>1400</v>
      </c>
      <c r="AC33">
        <v>2.5000000000000001E-2</v>
      </c>
      <c r="AD33">
        <v>1085</v>
      </c>
      <c r="AE33">
        <v>1400</v>
      </c>
      <c r="AF33">
        <v>2.5000000000000001E-2</v>
      </c>
      <c r="AG33">
        <v>1050</v>
      </c>
      <c r="AH33">
        <v>1400</v>
      </c>
      <c r="AI33">
        <v>2.5000000000000001E-2</v>
      </c>
      <c r="AJ33">
        <v>1085</v>
      </c>
      <c r="AK33">
        <v>1400</v>
      </c>
      <c r="AL33">
        <v>2.5000000000000001E-2</v>
      </c>
      <c r="AM33">
        <v>1085</v>
      </c>
      <c r="AN33">
        <v>1400</v>
      </c>
      <c r="AO33">
        <v>2.5000000000000001E-2</v>
      </c>
      <c r="AP33">
        <v>1050</v>
      </c>
      <c r="AQ33">
        <v>1400</v>
      </c>
      <c r="AR33">
        <v>2.5000000000000001E-2</v>
      </c>
      <c r="AS33">
        <v>1085</v>
      </c>
      <c r="AT33">
        <v>1400</v>
      </c>
      <c r="AU33">
        <v>2.5000000000000001E-2</v>
      </c>
      <c r="AV33">
        <v>1050</v>
      </c>
      <c r="AW33">
        <v>1400</v>
      </c>
      <c r="AX33">
        <v>2.5000000000000001E-2</v>
      </c>
      <c r="AY33">
        <v>1085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">
      <c r="A34" t="s">
        <v>74</v>
      </c>
      <c r="B34" t="s">
        <v>75</v>
      </c>
      <c r="C34" t="s">
        <v>75</v>
      </c>
      <c r="D34">
        <v>10594</v>
      </c>
      <c r="E34">
        <v>60921</v>
      </c>
      <c r="F34" t="s">
        <v>95</v>
      </c>
      <c r="G34">
        <v>27161</v>
      </c>
      <c r="H34" t="s">
        <v>76</v>
      </c>
      <c r="I34" t="s">
        <v>93</v>
      </c>
      <c r="J34" s="55">
        <v>36617</v>
      </c>
      <c r="K34" s="55">
        <v>37711</v>
      </c>
      <c r="L34">
        <v>1400</v>
      </c>
      <c r="M34">
        <v>2.5000000000000001E-2</v>
      </c>
      <c r="N34">
        <v>0</v>
      </c>
      <c r="O34">
        <v>0</v>
      </c>
      <c r="P34">
        <v>0</v>
      </c>
      <c r="Q34">
        <v>2.5000000000000001E-2</v>
      </c>
      <c r="R34">
        <v>1085</v>
      </c>
      <c r="S34">
        <v>1400</v>
      </c>
      <c r="T34">
        <v>2.5000000000000001E-2</v>
      </c>
      <c r="U34">
        <v>980</v>
      </c>
      <c r="V34">
        <v>1400</v>
      </c>
      <c r="W34">
        <v>2.5000000000000001E-2</v>
      </c>
      <c r="X34">
        <v>1085</v>
      </c>
      <c r="Y34">
        <v>1400</v>
      </c>
      <c r="Z34">
        <v>2.5000000000000001E-2</v>
      </c>
      <c r="AA34">
        <v>1050</v>
      </c>
      <c r="AB34">
        <v>1400</v>
      </c>
      <c r="AC34">
        <v>2.5000000000000001E-2</v>
      </c>
      <c r="AD34">
        <v>1085</v>
      </c>
      <c r="AE34">
        <v>1400</v>
      </c>
      <c r="AF34">
        <v>2.5000000000000001E-2</v>
      </c>
      <c r="AG34">
        <v>1050</v>
      </c>
      <c r="AH34">
        <v>1400</v>
      </c>
      <c r="AI34">
        <v>2.5000000000000001E-2</v>
      </c>
      <c r="AJ34">
        <v>1085</v>
      </c>
      <c r="AK34">
        <v>1400</v>
      </c>
      <c r="AL34">
        <v>2.5000000000000001E-2</v>
      </c>
      <c r="AM34">
        <v>1085</v>
      </c>
      <c r="AN34">
        <v>1400</v>
      </c>
      <c r="AO34">
        <v>2.5000000000000001E-2</v>
      </c>
      <c r="AP34">
        <v>1050</v>
      </c>
      <c r="AQ34">
        <v>1400</v>
      </c>
      <c r="AR34">
        <v>2.5000000000000001E-2</v>
      </c>
      <c r="AS34">
        <v>1085</v>
      </c>
      <c r="AT34">
        <v>1400</v>
      </c>
      <c r="AU34">
        <v>2.5000000000000001E-2</v>
      </c>
      <c r="AV34">
        <v>1050</v>
      </c>
      <c r="AW34">
        <v>1400</v>
      </c>
      <c r="AX34">
        <v>2.5000000000000001E-2</v>
      </c>
      <c r="AY34">
        <v>1085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">
      <c r="A35" t="s">
        <v>74</v>
      </c>
      <c r="B35" t="s">
        <v>75</v>
      </c>
      <c r="C35" t="s">
        <v>75</v>
      </c>
      <c r="D35">
        <v>56943</v>
      </c>
      <c r="E35">
        <v>58646</v>
      </c>
      <c r="F35" t="s">
        <v>95</v>
      </c>
      <c r="G35">
        <v>27161</v>
      </c>
      <c r="H35" t="s">
        <v>76</v>
      </c>
      <c r="I35" t="s">
        <v>93</v>
      </c>
      <c r="J35" s="55">
        <v>36617</v>
      </c>
      <c r="K35" s="55">
        <v>37711</v>
      </c>
      <c r="L35">
        <v>11600</v>
      </c>
      <c r="M35">
        <v>2.5000000000000001E-2</v>
      </c>
      <c r="N35">
        <v>0</v>
      </c>
      <c r="O35">
        <v>0</v>
      </c>
      <c r="P35">
        <v>0</v>
      </c>
      <c r="Q35">
        <v>2.5000000000000001E-2</v>
      </c>
      <c r="R35">
        <v>8990</v>
      </c>
      <c r="S35">
        <v>11600</v>
      </c>
      <c r="T35">
        <v>2.5000000000000001E-2</v>
      </c>
      <c r="U35">
        <v>8120</v>
      </c>
      <c r="V35">
        <v>11600</v>
      </c>
      <c r="W35">
        <v>2.5000000000000001E-2</v>
      </c>
      <c r="X35">
        <v>8990</v>
      </c>
      <c r="Y35">
        <v>11600</v>
      </c>
      <c r="Z35">
        <v>2.5000000000000001E-2</v>
      </c>
      <c r="AA35">
        <v>8700</v>
      </c>
      <c r="AB35">
        <v>11600</v>
      </c>
      <c r="AC35">
        <v>2.5000000000000001E-2</v>
      </c>
      <c r="AD35">
        <v>8990</v>
      </c>
      <c r="AE35">
        <v>11600</v>
      </c>
      <c r="AF35">
        <v>2.5000000000000001E-2</v>
      </c>
      <c r="AG35">
        <v>8700</v>
      </c>
      <c r="AH35">
        <v>11600</v>
      </c>
      <c r="AI35">
        <v>2.5000000000000001E-2</v>
      </c>
      <c r="AJ35">
        <v>8990</v>
      </c>
      <c r="AK35">
        <v>11600</v>
      </c>
      <c r="AL35">
        <v>2.5000000000000001E-2</v>
      </c>
      <c r="AM35">
        <v>8990</v>
      </c>
      <c r="AN35">
        <v>11600</v>
      </c>
      <c r="AO35">
        <v>2.5000000000000001E-2</v>
      </c>
      <c r="AP35">
        <v>8700</v>
      </c>
      <c r="AQ35">
        <v>11600</v>
      </c>
      <c r="AR35">
        <v>2.5000000000000001E-2</v>
      </c>
      <c r="AS35">
        <v>8990</v>
      </c>
      <c r="AT35">
        <v>11600</v>
      </c>
      <c r="AU35">
        <v>2.5000000000000001E-2</v>
      </c>
      <c r="AV35">
        <v>8700</v>
      </c>
      <c r="AW35">
        <v>11600</v>
      </c>
      <c r="AX35">
        <v>2.5000000000000001E-2</v>
      </c>
      <c r="AY35">
        <v>8990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">
      <c r="A36" t="s">
        <v>74</v>
      </c>
      <c r="B36" t="s">
        <v>75</v>
      </c>
      <c r="C36" t="s">
        <v>75</v>
      </c>
      <c r="D36">
        <v>56943</v>
      </c>
      <c r="E36">
        <v>58647</v>
      </c>
      <c r="F36" t="s">
        <v>95</v>
      </c>
      <c r="G36">
        <v>27161</v>
      </c>
      <c r="H36" t="s">
        <v>76</v>
      </c>
      <c r="I36" t="s">
        <v>93</v>
      </c>
      <c r="J36" s="55">
        <v>36617</v>
      </c>
      <c r="K36" s="55">
        <v>37711</v>
      </c>
      <c r="L36">
        <v>11600</v>
      </c>
      <c r="M36">
        <v>2.5000000000000001E-2</v>
      </c>
      <c r="N36">
        <v>0</v>
      </c>
      <c r="O36">
        <v>0</v>
      </c>
      <c r="P36">
        <v>0</v>
      </c>
      <c r="Q36">
        <v>2.5000000000000001E-2</v>
      </c>
      <c r="R36">
        <v>8990</v>
      </c>
      <c r="S36">
        <v>11600</v>
      </c>
      <c r="T36">
        <v>2.5000000000000001E-2</v>
      </c>
      <c r="U36">
        <v>8120</v>
      </c>
      <c r="V36">
        <v>11600</v>
      </c>
      <c r="W36">
        <v>2.5000000000000001E-2</v>
      </c>
      <c r="X36">
        <v>8990</v>
      </c>
      <c r="Y36">
        <v>11600</v>
      </c>
      <c r="Z36">
        <v>2.5000000000000001E-2</v>
      </c>
      <c r="AA36">
        <v>8700</v>
      </c>
      <c r="AB36">
        <v>11600</v>
      </c>
      <c r="AC36">
        <v>2.5000000000000001E-2</v>
      </c>
      <c r="AD36">
        <v>8990</v>
      </c>
      <c r="AE36">
        <v>11600</v>
      </c>
      <c r="AF36">
        <v>2.5000000000000001E-2</v>
      </c>
      <c r="AG36">
        <v>8700</v>
      </c>
      <c r="AH36">
        <v>11600</v>
      </c>
      <c r="AI36">
        <v>2.5000000000000001E-2</v>
      </c>
      <c r="AJ36">
        <v>8990</v>
      </c>
      <c r="AK36">
        <v>11600</v>
      </c>
      <c r="AL36">
        <v>2.5000000000000001E-2</v>
      </c>
      <c r="AM36">
        <v>8990</v>
      </c>
      <c r="AN36">
        <v>11600</v>
      </c>
      <c r="AO36">
        <v>2.5000000000000001E-2</v>
      </c>
      <c r="AP36">
        <v>8700</v>
      </c>
      <c r="AQ36">
        <v>11600</v>
      </c>
      <c r="AR36">
        <v>2.5000000000000001E-2</v>
      </c>
      <c r="AS36">
        <v>8990</v>
      </c>
      <c r="AT36">
        <v>11600</v>
      </c>
      <c r="AU36">
        <v>2.5000000000000001E-2</v>
      </c>
      <c r="AV36">
        <v>8700</v>
      </c>
      <c r="AW36">
        <v>11600</v>
      </c>
      <c r="AX36">
        <v>2.5000000000000001E-2</v>
      </c>
      <c r="AY36">
        <v>8990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">
      <c r="A37" t="s">
        <v>74</v>
      </c>
      <c r="B37" t="s">
        <v>75</v>
      </c>
      <c r="C37" t="s">
        <v>75</v>
      </c>
      <c r="D37">
        <v>56943</v>
      </c>
      <c r="E37">
        <v>58649</v>
      </c>
      <c r="F37" t="s">
        <v>95</v>
      </c>
      <c r="G37">
        <v>27161</v>
      </c>
      <c r="H37" t="s">
        <v>76</v>
      </c>
      <c r="I37" t="s">
        <v>93</v>
      </c>
      <c r="J37" s="55">
        <v>36617</v>
      </c>
      <c r="K37" s="55">
        <v>37711</v>
      </c>
      <c r="L37">
        <v>11600</v>
      </c>
      <c r="M37">
        <v>2.5000000000000001E-2</v>
      </c>
      <c r="N37">
        <v>0</v>
      </c>
      <c r="O37">
        <v>0</v>
      </c>
      <c r="P37">
        <v>0</v>
      </c>
      <c r="Q37">
        <v>2.5000000000000001E-2</v>
      </c>
      <c r="R37">
        <v>8990</v>
      </c>
      <c r="S37">
        <v>11600</v>
      </c>
      <c r="T37">
        <v>2.5000000000000001E-2</v>
      </c>
      <c r="U37">
        <v>8120</v>
      </c>
      <c r="V37">
        <v>11600</v>
      </c>
      <c r="W37">
        <v>2.5000000000000001E-2</v>
      </c>
      <c r="X37">
        <v>8990</v>
      </c>
      <c r="Y37">
        <v>11600</v>
      </c>
      <c r="Z37">
        <v>2.5000000000000001E-2</v>
      </c>
      <c r="AA37">
        <v>8700</v>
      </c>
      <c r="AB37">
        <v>11600</v>
      </c>
      <c r="AC37">
        <v>2.5000000000000001E-2</v>
      </c>
      <c r="AD37">
        <v>8990</v>
      </c>
      <c r="AE37">
        <v>11600</v>
      </c>
      <c r="AF37">
        <v>2.5000000000000001E-2</v>
      </c>
      <c r="AG37">
        <v>8700</v>
      </c>
      <c r="AH37">
        <v>11600</v>
      </c>
      <c r="AI37">
        <v>2.5000000000000001E-2</v>
      </c>
      <c r="AJ37">
        <v>8990</v>
      </c>
      <c r="AK37">
        <v>11600</v>
      </c>
      <c r="AL37">
        <v>2.5000000000000001E-2</v>
      </c>
      <c r="AM37">
        <v>8990</v>
      </c>
      <c r="AN37">
        <v>11600</v>
      </c>
      <c r="AO37">
        <v>2.5000000000000001E-2</v>
      </c>
      <c r="AP37">
        <v>8700</v>
      </c>
      <c r="AQ37">
        <v>11600</v>
      </c>
      <c r="AR37">
        <v>2.5000000000000001E-2</v>
      </c>
      <c r="AS37">
        <v>8990</v>
      </c>
      <c r="AT37">
        <v>11600</v>
      </c>
      <c r="AU37">
        <v>2.5000000000000001E-2</v>
      </c>
      <c r="AV37">
        <v>8700</v>
      </c>
      <c r="AW37">
        <v>11600</v>
      </c>
      <c r="AX37">
        <v>2.5000000000000001E-2</v>
      </c>
      <c r="AY37">
        <v>8990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">
      <c r="A38" t="s">
        <v>74</v>
      </c>
      <c r="B38" t="s">
        <v>75</v>
      </c>
      <c r="C38" t="s">
        <v>75</v>
      </c>
      <c r="D38">
        <v>56943</v>
      </c>
      <c r="E38">
        <v>60921</v>
      </c>
      <c r="F38" t="s">
        <v>95</v>
      </c>
      <c r="G38">
        <v>27161</v>
      </c>
      <c r="H38" t="s">
        <v>76</v>
      </c>
      <c r="I38" t="s">
        <v>93</v>
      </c>
      <c r="J38" s="55">
        <v>36617</v>
      </c>
      <c r="K38" s="55">
        <v>37711</v>
      </c>
      <c r="L38">
        <v>11600</v>
      </c>
      <c r="M38">
        <v>2.5000000000000001E-2</v>
      </c>
      <c r="N38">
        <v>0</v>
      </c>
      <c r="O38">
        <v>0</v>
      </c>
      <c r="P38">
        <v>0</v>
      </c>
      <c r="Q38">
        <v>2.5000000000000001E-2</v>
      </c>
      <c r="R38">
        <v>8990</v>
      </c>
      <c r="S38">
        <v>11600</v>
      </c>
      <c r="T38">
        <v>2.5000000000000001E-2</v>
      </c>
      <c r="U38">
        <v>8120</v>
      </c>
      <c r="V38">
        <v>11600</v>
      </c>
      <c r="W38">
        <v>2.5000000000000001E-2</v>
      </c>
      <c r="X38">
        <v>8990</v>
      </c>
      <c r="Y38">
        <v>11600</v>
      </c>
      <c r="Z38">
        <v>2.5000000000000001E-2</v>
      </c>
      <c r="AA38">
        <v>8700</v>
      </c>
      <c r="AB38">
        <v>11600</v>
      </c>
      <c r="AC38">
        <v>2.5000000000000001E-2</v>
      </c>
      <c r="AD38">
        <v>8990</v>
      </c>
      <c r="AE38">
        <v>11600</v>
      </c>
      <c r="AF38">
        <v>2.5000000000000001E-2</v>
      </c>
      <c r="AG38">
        <v>8700</v>
      </c>
      <c r="AH38">
        <v>11600</v>
      </c>
      <c r="AI38">
        <v>2.5000000000000001E-2</v>
      </c>
      <c r="AJ38">
        <v>8990</v>
      </c>
      <c r="AK38">
        <v>11600</v>
      </c>
      <c r="AL38">
        <v>2.5000000000000001E-2</v>
      </c>
      <c r="AM38">
        <v>8990</v>
      </c>
      <c r="AN38">
        <v>11600</v>
      </c>
      <c r="AO38">
        <v>2.5000000000000001E-2</v>
      </c>
      <c r="AP38">
        <v>8700</v>
      </c>
      <c r="AQ38">
        <v>11600</v>
      </c>
      <c r="AR38">
        <v>2.5000000000000001E-2</v>
      </c>
      <c r="AS38">
        <v>8990</v>
      </c>
      <c r="AT38">
        <v>11600</v>
      </c>
      <c r="AU38">
        <v>2.5000000000000001E-2</v>
      </c>
      <c r="AV38">
        <v>8700</v>
      </c>
      <c r="AW38">
        <v>11600</v>
      </c>
      <c r="AX38">
        <v>2.5000000000000001E-2</v>
      </c>
      <c r="AY38">
        <v>8990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">
      <c r="A39" t="s">
        <v>74</v>
      </c>
      <c r="B39" t="s">
        <v>75</v>
      </c>
      <c r="C39" t="s">
        <v>75</v>
      </c>
      <c r="D39">
        <v>57245</v>
      </c>
      <c r="E39">
        <v>58646</v>
      </c>
      <c r="F39" t="s">
        <v>95</v>
      </c>
      <c r="G39">
        <v>27161</v>
      </c>
      <c r="H39" t="s">
        <v>76</v>
      </c>
      <c r="I39" t="s">
        <v>93</v>
      </c>
      <c r="J39" s="55">
        <v>36617</v>
      </c>
      <c r="K39" s="55">
        <v>37711</v>
      </c>
      <c r="L39">
        <v>7000</v>
      </c>
      <c r="M39">
        <v>2.5000000000000001E-2</v>
      </c>
      <c r="N39">
        <v>0</v>
      </c>
      <c r="O39">
        <v>0</v>
      </c>
      <c r="P39">
        <v>0</v>
      </c>
      <c r="Q39">
        <v>2.5000000000000001E-2</v>
      </c>
      <c r="R39">
        <v>5425</v>
      </c>
      <c r="S39">
        <v>7000</v>
      </c>
      <c r="T39">
        <v>2.5000000000000001E-2</v>
      </c>
      <c r="U39">
        <v>4900</v>
      </c>
      <c r="V39">
        <v>7000</v>
      </c>
      <c r="W39">
        <v>2.5000000000000001E-2</v>
      </c>
      <c r="X39">
        <v>5425</v>
      </c>
      <c r="Y39">
        <v>7000</v>
      </c>
      <c r="Z39">
        <v>2.5000000000000001E-2</v>
      </c>
      <c r="AA39">
        <v>5250</v>
      </c>
      <c r="AB39">
        <v>7000</v>
      </c>
      <c r="AC39">
        <v>2.5000000000000001E-2</v>
      </c>
      <c r="AD39">
        <v>5425</v>
      </c>
      <c r="AE39">
        <v>7000</v>
      </c>
      <c r="AF39">
        <v>2.5000000000000001E-2</v>
      </c>
      <c r="AG39">
        <v>5250</v>
      </c>
      <c r="AH39">
        <v>7000</v>
      </c>
      <c r="AI39">
        <v>2.5000000000000001E-2</v>
      </c>
      <c r="AJ39">
        <v>5425</v>
      </c>
      <c r="AK39">
        <v>7000</v>
      </c>
      <c r="AL39">
        <v>2.5000000000000001E-2</v>
      </c>
      <c r="AM39">
        <v>5425</v>
      </c>
      <c r="AN39">
        <v>7000</v>
      </c>
      <c r="AO39">
        <v>2.5000000000000001E-2</v>
      </c>
      <c r="AP39">
        <v>5250</v>
      </c>
      <c r="AQ39">
        <v>7000</v>
      </c>
      <c r="AR39">
        <v>2.5000000000000001E-2</v>
      </c>
      <c r="AS39">
        <v>5425</v>
      </c>
      <c r="AT39">
        <v>7000</v>
      </c>
      <c r="AU39">
        <v>2.5000000000000001E-2</v>
      </c>
      <c r="AV39">
        <v>5250</v>
      </c>
      <c r="AW39">
        <v>7000</v>
      </c>
      <c r="AX39">
        <v>2.5000000000000001E-2</v>
      </c>
      <c r="AY39">
        <v>5425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">
      <c r="A40" t="s">
        <v>74</v>
      </c>
      <c r="B40" t="s">
        <v>75</v>
      </c>
      <c r="C40" t="s">
        <v>75</v>
      </c>
      <c r="D40">
        <v>57245</v>
      </c>
      <c r="E40">
        <v>58647</v>
      </c>
      <c r="F40" t="s">
        <v>95</v>
      </c>
      <c r="G40">
        <v>27161</v>
      </c>
      <c r="H40" t="s">
        <v>76</v>
      </c>
      <c r="I40" t="s">
        <v>93</v>
      </c>
      <c r="J40" s="55">
        <v>36617</v>
      </c>
      <c r="K40" s="55">
        <v>37711</v>
      </c>
      <c r="L40">
        <v>7000</v>
      </c>
      <c r="M40">
        <v>2.5000000000000001E-2</v>
      </c>
      <c r="N40">
        <v>0</v>
      </c>
      <c r="O40">
        <v>0</v>
      </c>
      <c r="P40">
        <v>0</v>
      </c>
      <c r="Q40">
        <v>2.5000000000000001E-2</v>
      </c>
      <c r="R40">
        <v>5425</v>
      </c>
      <c r="S40">
        <v>7000</v>
      </c>
      <c r="T40">
        <v>2.5000000000000001E-2</v>
      </c>
      <c r="U40">
        <v>4900</v>
      </c>
      <c r="V40">
        <v>7000</v>
      </c>
      <c r="W40">
        <v>2.5000000000000001E-2</v>
      </c>
      <c r="X40">
        <v>5425</v>
      </c>
      <c r="Y40">
        <v>7000</v>
      </c>
      <c r="Z40">
        <v>2.5000000000000001E-2</v>
      </c>
      <c r="AA40">
        <v>5250</v>
      </c>
      <c r="AB40">
        <v>7000</v>
      </c>
      <c r="AC40">
        <v>2.5000000000000001E-2</v>
      </c>
      <c r="AD40">
        <v>5425</v>
      </c>
      <c r="AE40">
        <v>7000</v>
      </c>
      <c r="AF40">
        <v>2.5000000000000001E-2</v>
      </c>
      <c r="AG40">
        <v>5250</v>
      </c>
      <c r="AH40">
        <v>7000</v>
      </c>
      <c r="AI40">
        <v>2.5000000000000001E-2</v>
      </c>
      <c r="AJ40">
        <v>5425</v>
      </c>
      <c r="AK40">
        <v>7000</v>
      </c>
      <c r="AL40">
        <v>2.5000000000000001E-2</v>
      </c>
      <c r="AM40">
        <v>5425</v>
      </c>
      <c r="AN40">
        <v>7000</v>
      </c>
      <c r="AO40">
        <v>2.5000000000000001E-2</v>
      </c>
      <c r="AP40">
        <v>5250</v>
      </c>
      <c r="AQ40">
        <v>7000</v>
      </c>
      <c r="AR40">
        <v>2.5000000000000001E-2</v>
      </c>
      <c r="AS40">
        <v>5425</v>
      </c>
      <c r="AT40">
        <v>7000</v>
      </c>
      <c r="AU40">
        <v>2.5000000000000001E-2</v>
      </c>
      <c r="AV40">
        <v>5250</v>
      </c>
      <c r="AW40">
        <v>7000</v>
      </c>
      <c r="AX40">
        <v>2.5000000000000001E-2</v>
      </c>
      <c r="AY40">
        <v>5425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">
      <c r="A41" t="s">
        <v>74</v>
      </c>
      <c r="B41" t="s">
        <v>75</v>
      </c>
      <c r="C41" t="s">
        <v>75</v>
      </c>
      <c r="D41">
        <v>57245</v>
      </c>
      <c r="E41">
        <v>58649</v>
      </c>
      <c r="F41" t="s">
        <v>95</v>
      </c>
      <c r="G41">
        <v>27161</v>
      </c>
      <c r="H41" t="s">
        <v>76</v>
      </c>
      <c r="I41" t="s">
        <v>93</v>
      </c>
      <c r="J41" s="55">
        <v>36617</v>
      </c>
      <c r="K41" s="55">
        <v>37711</v>
      </c>
      <c r="L41">
        <v>7000</v>
      </c>
      <c r="M41">
        <v>2.5000000000000001E-2</v>
      </c>
      <c r="N41">
        <v>0</v>
      </c>
      <c r="O41">
        <v>0</v>
      </c>
      <c r="P41">
        <v>0</v>
      </c>
      <c r="Q41">
        <v>2.5000000000000001E-2</v>
      </c>
      <c r="R41">
        <v>5425</v>
      </c>
      <c r="S41">
        <v>7000</v>
      </c>
      <c r="T41">
        <v>2.5000000000000001E-2</v>
      </c>
      <c r="U41">
        <v>4900</v>
      </c>
      <c r="V41">
        <v>7000</v>
      </c>
      <c r="W41">
        <v>2.5000000000000001E-2</v>
      </c>
      <c r="X41">
        <v>5425</v>
      </c>
      <c r="Y41">
        <v>7000</v>
      </c>
      <c r="Z41">
        <v>2.5000000000000001E-2</v>
      </c>
      <c r="AA41">
        <v>5250</v>
      </c>
      <c r="AB41">
        <v>7000</v>
      </c>
      <c r="AC41">
        <v>2.5000000000000001E-2</v>
      </c>
      <c r="AD41">
        <v>5425</v>
      </c>
      <c r="AE41">
        <v>7000</v>
      </c>
      <c r="AF41">
        <v>2.5000000000000001E-2</v>
      </c>
      <c r="AG41">
        <v>5250</v>
      </c>
      <c r="AH41">
        <v>7000</v>
      </c>
      <c r="AI41">
        <v>2.5000000000000001E-2</v>
      </c>
      <c r="AJ41">
        <v>5425</v>
      </c>
      <c r="AK41">
        <v>7000</v>
      </c>
      <c r="AL41">
        <v>2.5000000000000001E-2</v>
      </c>
      <c r="AM41">
        <v>5425</v>
      </c>
      <c r="AN41">
        <v>7000</v>
      </c>
      <c r="AO41">
        <v>2.5000000000000001E-2</v>
      </c>
      <c r="AP41">
        <v>5250</v>
      </c>
      <c r="AQ41">
        <v>7000</v>
      </c>
      <c r="AR41">
        <v>2.5000000000000001E-2</v>
      </c>
      <c r="AS41">
        <v>5425</v>
      </c>
      <c r="AT41">
        <v>7000</v>
      </c>
      <c r="AU41">
        <v>2.5000000000000001E-2</v>
      </c>
      <c r="AV41">
        <v>5250</v>
      </c>
      <c r="AW41">
        <v>7000</v>
      </c>
      <c r="AX41">
        <v>2.5000000000000001E-2</v>
      </c>
      <c r="AY41">
        <v>5425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">
      <c r="A42" t="s">
        <v>74</v>
      </c>
      <c r="B42" t="s">
        <v>75</v>
      </c>
      <c r="C42" t="s">
        <v>75</v>
      </c>
      <c r="D42">
        <v>57245</v>
      </c>
      <c r="E42">
        <v>60921</v>
      </c>
      <c r="F42" t="s">
        <v>95</v>
      </c>
      <c r="G42">
        <v>27161</v>
      </c>
      <c r="H42" t="s">
        <v>76</v>
      </c>
      <c r="I42" t="s">
        <v>93</v>
      </c>
      <c r="J42" s="55">
        <v>36617</v>
      </c>
      <c r="K42" s="55">
        <v>37711</v>
      </c>
      <c r="L42">
        <v>7000</v>
      </c>
      <c r="M42">
        <v>2.5000000000000001E-2</v>
      </c>
      <c r="N42">
        <v>0</v>
      </c>
      <c r="O42">
        <v>0</v>
      </c>
      <c r="P42">
        <v>0</v>
      </c>
      <c r="Q42">
        <v>2.5000000000000001E-2</v>
      </c>
      <c r="R42">
        <v>5425</v>
      </c>
      <c r="S42">
        <v>7000</v>
      </c>
      <c r="T42">
        <v>2.5000000000000001E-2</v>
      </c>
      <c r="U42">
        <v>4900</v>
      </c>
      <c r="V42">
        <v>7000</v>
      </c>
      <c r="W42">
        <v>2.5000000000000001E-2</v>
      </c>
      <c r="X42">
        <v>5425</v>
      </c>
      <c r="Y42">
        <v>7000</v>
      </c>
      <c r="Z42">
        <v>2.5000000000000001E-2</v>
      </c>
      <c r="AA42">
        <v>5250</v>
      </c>
      <c r="AB42">
        <v>7000</v>
      </c>
      <c r="AC42">
        <v>2.5000000000000001E-2</v>
      </c>
      <c r="AD42">
        <v>5425</v>
      </c>
      <c r="AE42">
        <v>7000</v>
      </c>
      <c r="AF42">
        <v>2.5000000000000001E-2</v>
      </c>
      <c r="AG42">
        <v>5250</v>
      </c>
      <c r="AH42">
        <v>7000</v>
      </c>
      <c r="AI42">
        <v>2.5000000000000001E-2</v>
      </c>
      <c r="AJ42">
        <v>5425</v>
      </c>
      <c r="AK42">
        <v>7000</v>
      </c>
      <c r="AL42">
        <v>2.5000000000000001E-2</v>
      </c>
      <c r="AM42">
        <v>5425</v>
      </c>
      <c r="AN42">
        <v>7000</v>
      </c>
      <c r="AO42">
        <v>2.5000000000000001E-2</v>
      </c>
      <c r="AP42">
        <v>5250</v>
      </c>
      <c r="AQ42">
        <v>7000</v>
      </c>
      <c r="AR42">
        <v>2.5000000000000001E-2</v>
      </c>
      <c r="AS42">
        <v>5425</v>
      </c>
      <c r="AT42">
        <v>7000</v>
      </c>
      <c r="AU42">
        <v>2.5000000000000001E-2</v>
      </c>
      <c r="AV42">
        <v>5250</v>
      </c>
      <c r="AW42">
        <v>7000</v>
      </c>
      <c r="AX42">
        <v>2.5000000000000001E-2</v>
      </c>
      <c r="AY42">
        <v>5425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">
      <c r="A43" t="s">
        <v>74</v>
      </c>
      <c r="B43" t="s">
        <v>75</v>
      </c>
      <c r="C43" t="s">
        <v>75</v>
      </c>
      <c r="D43">
        <v>57274</v>
      </c>
      <c r="E43">
        <v>58646</v>
      </c>
      <c r="F43" t="s">
        <v>95</v>
      </c>
      <c r="G43">
        <v>27161</v>
      </c>
      <c r="H43" t="s">
        <v>76</v>
      </c>
      <c r="I43" t="s">
        <v>93</v>
      </c>
      <c r="J43" s="55">
        <v>36617</v>
      </c>
      <c r="K43" s="55">
        <v>37711</v>
      </c>
      <c r="L43">
        <v>8400</v>
      </c>
      <c r="M43">
        <v>2.5000000000000001E-2</v>
      </c>
      <c r="N43">
        <v>0</v>
      </c>
      <c r="O43">
        <v>0</v>
      </c>
      <c r="P43">
        <v>0</v>
      </c>
      <c r="Q43">
        <v>2.5000000000000001E-2</v>
      </c>
      <c r="R43">
        <v>6510</v>
      </c>
      <c r="S43">
        <v>8400</v>
      </c>
      <c r="T43">
        <v>2.5000000000000001E-2</v>
      </c>
      <c r="U43">
        <v>5880</v>
      </c>
      <c r="V43">
        <v>8400</v>
      </c>
      <c r="W43">
        <v>2.5000000000000001E-2</v>
      </c>
      <c r="X43">
        <v>6510</v>
      </c>
      <c r="Y43">
        <v>8400</v>
      </c>
      <c r="Z43">
        <v>2.5000000000000001E-2</v>
      </c>
      <c r="AA43">
        <v>6300</v>
      </c>
      <c r="AB43">
        <v>8400</v>
      </c>
      <c r="AC43">
        <v>2.5000000000000001E-2</v>
      </c>
      <c r="AD43">
        <v>6510</v>
      </c>
      <c r="AE43">
        <v>8400</v>
      </c>
      <c r="AF43">
        <v>2.5000000000000001E-2</v>
      </c>
      <c r="AG43">
        <v>6300</v>
      </c>
      <c r="AH43">
        <v>8400</v>
      </c>
      <c r="AI43">
        <v>2.5000000000000001E-2</v>
      </c>
      <c r="AJ43">
        <v>6510</v>
      </c>
      <c r="AK43">
        <v>8400</v>
      </c>
      <c r="AL43">
        <v>2.5000000000000001E-2</v>
      </c>
      <c r="AM43">
        <v>6510</v>
      </c>
      <c r="AN43">
        <v>8400</v>
      </c>
      <c r="AO43">
        <v>2.5000000000000001E-2</v>
      </c>
      <c r="AP43">
        <v>6300</v>
      </c>
      <c r="AQ43">
        <v>8400</v>
      </c>
      <c r="AR43">
        <v>2.5000000000000001E-2</v>
      </c>
      <c r="AS43">
        <v>6510</v>
      </c>
      <c r="AT43">
        <v>8400</v>
      </c>
      <c r="AU43">
        <v>2.5000000000000001E-2</v>
      </c>
      <c r="AV43">
        <v>6300</v>
      </c>
      <c r="AW43">
        <v>8400</v>
      </c>
      <c r="AX43">
        <v>2.5000000000000001E-2</v>
      </c>
      <c r="AY43">
        <v>6510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">
      <c r="A44" t="s">
        <v>74</v>
      </c>
      <c r="B44" t="s">
        <v>75</v>
      </c>
      <c r="C44" t="s">
        <v>75</v>
      </c>
      <c r="D44">
        <v>57274</v>
      </c>
      <c r="E44">
        <v>58647</v>
      </c>
      <c r="F44" t="s">
        <v>95</v>
      </c>
      <c r="G44">
        <v>27161</v>
      </c>
      <c r="H44" t="s">
        <v>76</v>
      </c>
      <c r="I44" t="s">
        <v>93</v>
      </c>
      <c r="J44" s="55">
        <v>36617</v>
      </c>
      <c r="K44" s="55">
        <v>37711</v>
      </c>
      <c r="L44">
        <v>8400</v>
      </c>
      <c r="M44">
        <v>2.5000000000000001E-2</v>
      </c>
      <c r="N44">
        <v>0</v>
      </c>
      <c r="O44">
        <v>0</v>
      </c>
      <c r="P44">
        <v>0</v>
      </c>
      <c r="Q44">
        <v>2.5000000000000001E-2</v>
      </c>
      <c r="R44">
        <v>6510</v>
      </c>
      <c r="S44">
        <v>8400</v>
      </c>
      <c r="T44">
        <v>2.5000000000000001E-2</v>
      </c>
      <c r="U44">
        <v>5880</v>
      </c>
      <c r="V44">
        <v>8400</v>
      </c>
      <c r="W44">
        <v>2.5000000000000001E-2</v>
      </c>
      <c r="X44">
        <v>6510</v>
      </c>
      <c r="Y44">
        <v>8400</v>
      </c>
      <c r="Z44">
        <v>2.5000000000000001E-2</v>
      </c>
      <c r="AA44">
        <v>6300</v>
      </c>
      <c r="AB44">
        <v>8400</v>
      </c>
      <c r="AC44">
        <v>2.5000000000000001E-2</v>
      </c>
      <c r="AD44">
        <v>6510</v>
      </c>
      <c r="AE44">
        <v>8400</v>
      </c>
      <c r="AF44">
        <v>2.5000000000000001E-2</v>
      </c>
      <c r="AG44">
        <v>6300</v>
      </c>
      <c r="AH44">
        <v>8400</v>
      </c>
      <c r="AI44">
        <v>2.5000000000000001E-2</v>
      </c>
      <c r="AJ44">
        <v>6510</v>
      </c>
      <c r="AK44">
        <v>8400</v>
      </c>
      <c r="AL44">
        <v>2.5000000000000001E-2</v>
      </c>
      <c r="AM44">
        <v>6510</v>
      </c>
      <c r="AN44">
        <v>8400</v>
      </c>
      <c r="AO44">
        <v>2.5000000000000001E-2</v>
      </c>
      <c r="AP44">
        <v>6300</v>
      </c>
      <c r="AQ44">
        <v>8400</v>
      </c>
      <c r="AR44">
        <v>2.5000000000000001E-2</v>
      </c>
      <c r="AS44">
        <v>6510</v>
      </c>
      <c r="AT44">
        <v>8400</v>
      </c>
      <c r="AU44">
        <v>2.5000000000000001E-2</v>
      </c>
      <c r="AV44">
        <v>6300</v>
      </c>
      <c r="AW44">
        <v>8400</v>
      </c>
      <c r="AX44">
        <v>2.5000000000000001E-2</v>
      </c>
      <c r="AY44">
        <v>6510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">
      <c r="A45" t="s">
        <v>74</v>
      </c>
      <c r="B45" t="s">
        <v>75</v>
      </c>
      <c r="C45" t="s">
        <v>75</v>
      </c>
      <c r="D45">
        <v>57274</v>
      </c>
      <c r="E45">
        <v>58649</v>
      </c>
      <c r="F45" t="s">
        <v>95</v>
      </c>
      <c r="G45">
        <v>27161</v>
      </c>
      <c r="H45" t="s">
        <v>76</v>
      </c>
      <c r="I45" t="s">
        <v>93</v>
      </c>
      <c r="J45" s="55">
        <v>36617</v>
      </c>
      <c r="K45" s="55">
        <v>37711</v>
      </c>
      <c r="L45">
        <v>8400</v>
      </c>
      <c r="M45">
        <v>2.5000000000000001E-2</v>
      </c>
      <c r="N45">
        <v>0</v>
      </c>
      <c r="O45">
        <v>0</v>
      </c>
      <c r="P45">
        <v>0</v>
      </c>
      <c r="Q45">
        <v>2.5000000000000001E-2</v>
      </c>
      <c r="R45">
        <v>6510</v>
      </c>
      <c r="S45">
        <v>8400</v>
      </c>
      <c r="T45">
        <v>2.5000000000000001E-2</v>
      </c>
      <c r="U45">
        <v>5880</v>
      </c>
      <c r="V45">
        <v>8400</v>
      </c>
      <c r="W45">
        <v>2.5000000000000001E-2</v>
      </c>
      <c r="X45">
        <v>6510</v>
      </c>
      <c r="Y45">
        <v>8400</v>
      </c>
      <c r="Z45">
        <v>2.5000000000000001E-2</v>
      </c>
      <c r="AA45">
        <v>6300</v>
      </c>
      <c r="AB45">
        <v>8400</v>
      </c>
      <c r="AC45">
        <v>2.5000000000000001E-2</v>
      </c>
      <c r="AD45">
        <v>6510</v>
      </c>
      <c r="AE45">
        <v>8400</v>
      </c>
      <c r="AF45">
        <v>2.5000000000000001E-2</v>
      </c>
      <c r="AG45">
        <v>6300</v>
      </c>
      <c r="AH45">
        <v>8400</v>
      </c>
      <c r="AI45">
        <v>2.5000000000000001E-2</v>
      </c>
      <c r="AJ45">
        <v>6510</v>
      </c>
      <c r="AK45">
        <v>8400</v>
      </c>
      <c r="AL45">
        <v>2.5000000000000001E-2</v>
      </c>
      <c r="AM45">
        <v>6510</v>
      </c>
      <c r="AN45">
        <v>8400</v>
      </c>
      <c r="AO45">
        <v>2.5000000000000001E-2</v>
      </c>
      <c r="AP45">
        <v>6300</v>
      </c>
      <c r="AQ45">
        <v>8400</v>
      </c>
      <c r="AR45">
        <v>2.5000000000000001E-2</v>
      </c>
      <c r="AS45">
        <v>6510</v>
      </c>
      <c r="AT45">
        <v>8400</v>
      </c>
      <c r="AU45">
        <v>2.5000000000000001E-2</v>
      </c>
      <c r="AV45">
        <v>6300</v>
      </c>
      <c r="AW45">
        <v>8400</v>
      </c>
      <c r="AX45">
        <v>2.5000000000000001E-2</v>
      </c>
      <c r="AY45">
        <v>6510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">
      <c r="A46" t="s">
        <v>74</v>
      </c>
      <c r="B46" t="s">
        <v>75</v>
      </c>
      <c r="C46" t="s">
        <v>75</v>
      </c>
      <c r="D46">
        <v>57274</v>
      </c>
      <c r="E46">
        <v>60921</v>
      </c>
      <c r="F46" t="s">
        <v>95</v>
      </c>
      <c r="G46">
        <v>27161</v>
      </c>
      <c r="H46" t="s">
        <v>76</v>
      </c>
      <c r="I46" t="s">
        <v>93</v>
      </c>
      <c r="J46" s="55">
        <v>36617</v>
      </c>
      <c r="K46" s="55">
        <v>37711</v>
      </c>
      <c r="L46">
        <v>8400</v>
      </c>
      <c r="M46">
        <v>2.5000000000000001E-2</v>
      </c>
      <c r="N46">
        <v>0</v>
      </c>
      <c r="O46">
        <v>0</v>
      </c>
      <c r="P46">
        <v>0</v>
      </c>
      <c r="Q46">
        <v>2.5000000000000001E-2</v>
      </c>
      <c r="R46">
        <v>6510</v>
      </c>
      <c r="S46">
        <v>8400</v>
      </c>
      <c r="T46">
        <v>2.5000000000000001E-2</v>
      </c>
      <c r="U46">
        <v>5880</v>
      </c>
      <c r="V46">
        <v>8400</v>
      </c>
      <c r="W46">
        <v>2.5000000000000001E-2</v>
      </c>
      <c r="X46">
        <v>6510</v>
      </c>
      <c r="Y46">
        <v>8400</v>
      </c>
      <c r="Z46">
        <v>2.5000000000000001E-2</v>
      </c>
      <c r="AA46">
        <v>6300</v>
      </c>
      <c r="AB46">
        <v>8400</v>
      </c>
      <c r="AC46">
        <v>2.5000000000000001E-2</v>
      </c>
      <c r="AD46">
        <v>6510</v>
      </c>
      <c r="AE46">
        <v>8400</v>
      </c>
      <c r="AF46">
        <v>2.5000000000000001E-2</v>
      </c>
      <c r="AG46">
        <v>6300</v>
      </c>
      <c r="AH46">
        <v>8400</v>
      </c>
      <c r="AI46">
        <v>2.5000000000000001E-2</v>
      </c>
      <c r="AJ46">
        <v>6510</v>
      </c>
      <c r="AK46">
        <v>8400</v>
      </c>
      <c r="AL46">
        <v>2.5000000000000001E-2</v>
      </c>
      <c r="AM46">
        <v>6510</v>
      </c>
      <c r="AN46">
        <v>8400</v>
      </c>
      <c r="AO46">
        <v>2.5000000000000001E-2</v>
      </c>
      <c r="AP46">
        <v>6300</v>
      </c>
      <c r="AQ46">
        <v>8400</v>
      </c>
      <c r="AR46">
        <v>2.5000000000000001E-2</v>
      </c>
      <c r="AS46">
        <v>6510</v>
      </c>
      <c r="AT46">
        <v>8400</v>
      </c>
      <c r="AU46">
        <v>2.5000000000000001E-2</v>
      </c>
      <c r="AV46">
        <v>6300</v>
      </c>
      <c r="AW46">
        <v>8400</v>
      </c>
      <c r="AX46">
        <v>2.5000000000000001E-2</v>
      </c>
      <c r="AY46">
        <v>6510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">
      <c r="A47" t="s">
        <v>74</v>
      </c>
      <c r="B47" t="s">
        <v>75</v>
      </c>
      <c r="C47" t="s">
        <v>75</v>
      </c>
      <c r="D47">
        <v>500168</v>
      </c>
      <c r="E47">
        <v>58646</v>
      </c>
      <c r="F47" t="s">
        <v>95</v>
      </c>
      <c r="G47">
        <v>27161</v>
      </c>
      <c r="H47" t="s">
        <v>76</v>
      </c>
      <c r="I47" t="s">
        <v>93</v>
      </c>
      <c r="J47" s="55">
        <v>36617</v>
      </c>
      <c r="K47" s="55">
        <v>37711</v>
      </c>
      <c r="L47">
        <v>10000</v>
      </c>
      <c r="M47">
        <v>2.5000000000000001E-2</v>
      </c>
      <c r="N47">
        <v>0</v>
      </c>
      <c r="O47">
        <v>0</v>
      </c>
      <c r="P47">
        <v>0</v>
      </c>
      <c r="Q47">
        <v>2.5000000000000001E-2</v>
      </c>
      <c r="R47">
        <v>7750</v>
      </c>
      <c r="S47">
        <v>10000</v>
      </c>
      <c r="T47">
        <v>2.5000000000000001E-2</v>
      </c>
      <c r="U47">
        <v>7000</v>
      </c>
      <c r="V47">
        <v>10000</v>
      </c>
      <c r="W47">
        <v>2.5000000000000001E-2</v>
      </c>
      <c r="X47">
        <v>7750</v>
      </c>
      <c r="Y47">
        <v>10000</v>
      </c>
      <c r="Z47">
        <v>2.5000000000000001E-2</v>
      </c>
      <c r="AA47">
        <v>7500</v>
      </c>
      <c r="AB47">
        <v>10000</v>
      </c>
      <c r="AC47">
        <v>2.5000000000000001E-2</v>
      </c>
      <c r="AD47">
        <v>7750</v>
      </c>
      <c r="AE47">
        <v>10000</v>
      </c>
      <c r="AF47">
        <v>2.5000000000000001E-2</v>
      </c>
      <c r="AG47">
        <v>7500</v>
      </c>
      <c r="AH47">
        <v>10000</v>
      </c>
      <c r="AI47">
        <v>2.5000000000000001E-2</v>
      </c>
      <c r="AJ47">
        <v>7750</v>
      </c>
      <c r="AK47">
        <v>10000</v>
      </c>
      <c r="AL47">
        <v>2.5000000000000001E-2</v>
      </c>
      <c r="AM47">
        <v>7750</v>
      </c>
      <c r="AN47">
        <v>10000</v>
      </c>
      <c r="AO47">
        <v>2.5000000000000001E-2</v>
      </c>
      <c r="AP47">
        <v>7500</v>
      </c>
      <c r="AQ47">
        <v>10000</v>
      </c>
      <c r="AR47">
        <v>2.5000000000000001E-2</v>
      </c>
      <c r="AS47">
        <v>7750</v>
      </c>
      <c r="AT47">
        <v>10000</v>
      </c>
      <c r="AU47">
        <v>2.5000000000000001E-2</v>
      </c>
      <c r="AV47">
        <v>7500</v>
      </c>
      <c r="AW47">
        <v>10000</v>
      </c>
      <c r="AX47">
        <v>2.5000000000000001E-2</v>
      </c>
      <c r="AY47">
        <v>7750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">
      <c r="A48" t="s">
        <v>74</v>
      </c>
      <c r="B48" t="s">
        <v>75</v>
      </c>
      <c r="C48" t="s">
        <v>75</v>
      </c>
      <c r="D48">
        <v>500168</v>
      </c>
      <c r="E48">
        <v>58647</v>
      </c>
      <c r="F48" t="s">
        <v>95</v>
      </c>
      <c r="G48">
        <v>27161</v>
      </c>
      <c r="H48" t="s">
        <v>76</v>
      </c>
      <c r="I48" t="s">
        <v>93</v>
      </c>
      <c r="J48" s="55">
        <v>36617</v>
      </c>
      <c r="K48" s="55">
        <v>37711</v>
      </c>
      <c r="L48">
        <v>10000</v>
      </c>
      <c r="M48">
        <v>2.5000000000000001E-2</v>
      </c>
      <c r="N48">
        <v>0</v>
      </c>
      <c r="O48">
        <v>0</v>
      </c>
      <c r="P48">
        <v>0</v>
      </c>
      <c r="Q48">
        <v>2.5000000000000001E-2</v>
      </c>
      <c r="R48">
        <v>7750</v>
      </c>
      <c r="S48">
        <v>10000</v>
      </c>
      <c r="T48">
        <v>2.5000000000000001E-2</v>
      </c>
      <c r="U48">
        <v>7000</v>
      </c>
      <c r="V48">
        <v>10000</v>
      </c>
      <c r="W48">
        <v>2.5000000000000001E-2</v>
      </c>
      <c r="X48">
        <v>7750</v>
      </c>
      <c r="Y48">
        <v>10000</v>
      </c>
      <c r="Z48">
        <v>2.5000000000000001E-2</v>
      </c>
      <c r="AA48">
        <v>7500</v>
      </c>
      <c r="AB48">
        <v>10000</v>
      </c>
      <c r="AC48">
        <v>2.5000000000000001E-2</v>
      </c>
      <c r="AD48">
        <v>7750</v>
      </c>
      <c r="AE48">
        <v>10000</v>
      </c>
      <c r="AF48">
        <v>2.5000000000000001E-2</v>
      </c>
      <c r="AG48">
        <v>7500</v>
      </c>
      <c r="AH48">
        <v>10000</v>
      </c>
      <c r="AI48">
        <v>2.5000000000000001E-2</v>
      </c>
      <c r="AJ48">
        <v>7750</v>
      </c>
      <c r="AK48">
        <v>10000</v>
      </c>
      <c r="AL48">
        <v>2.5000000000000001E-2</v>
      </c>
      <c r="AM48">
        <v>7750</v>
      </c>
      <c r="AN48">
        <v>10000</v>
      </c>
      <c r="AO48">
        <v>2.5000000000000001E-2</v>
      </c>
      <c r="AP48">
        <v>7500</v>
      </c>
      <c r="AQ48">
        <v>10000</v>
      </c>
      <c r="AR48">
        <v>2.5000000000000001E-2</v>
      </c>
      <c r="AS48">
        <v>7750</v>
      </c>
      <c r="AT48">
        <v>10000</v>
      </c>
      <c r="AU48">
        <v>2.5000000000000001E-2</v>
      </c>
      <c r="AV48">
        <v>7500</v>
      </c>
      <c r="AW48">
        <v>10000</v>
      </c>
      <c r="AX48">
        <v>2.5000000000000001E-2</v>
      </c>
      <c r="AY48">
        <v>7750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">
      <c r="A49" t="s">
        <v>74</v>
      </c>
      <c r="B49" t="s">
        <v>75</v>
      </c>
      <c r="C49" t="s">
        <v>75</v>
      </c>
      <c r="D49">
        <v>500168</v>
      </c>
      <c r="E49">
        <v>58649</v>
      </c>
      <c r="F49" t="s">
        <v>95</v>
      </c>
      <c r="G49">
        <v>27161</v>
      </c>
      <c r="H49" t="s">
        <v>76</v>
      </c>
      <c r="I49" t="s">
        <v>93</v>
      </c>
      <c r="J49" s="55">
        <v>36617</v>
      </c>
      <c r="K49" s="55">
        <v>37711</v>
      </c>
      <c r="L49">
        <v>10000</v>
      </c>
      <c r="M49">
        <v>2.5000000000000001E-2</v>
      </c>
      <c r="N49">
        <v>0</v>
      </c>
      <c r="O49">
        <v>0</v>
      </c>
      <c r="P49">
        <v>0</v>
      </c>
      <c r="Q49">
        <v>2.5000000000000001E-2</v>
      </c>
      <c r="R49">
        <v>7750</v>
      </c>
      <c r="S49">
        <v>10000</v>
      </c>
      <c r="T49">
        <v>2.5000000000000001E-2</v>
      </c>
      <c r="U49">
        <v>7000</v>
      </c>
      <c r="V49">
        <v>10000</v>
      </c>
      <c r="W49">
        <v>2.5000000000000001E-2</v>
      </c>
      <c r="X49">
        <v>7750</v>
      </c>
      <c r="Y49">
        <v>10000</v>
      </c>
      <c r="Z49">
        <v>2.5000000000000001E-2</v>
      </c>
      <c r="AA49">
        <v>7500</v>
      </c>
      <c r="AB49">
        <v>10000</v>
      </c>
      <c r="AC49">
        <v>2.5000000000000001E-2</v>
      </c>
      <c r="AD49">
        <v>7750</v>
      </c>
      <c r="AE49">
        <v>10000</v>
      </c>
      <c r="AF49">
        <v>2.5000000000000001E-2</v>
      </c>
      <c r="AG49">
        <v>7500</v>
      </c>
      <c r="AH49">
        <v>10000</v>
      </c>
      <c r="AI49">
        <v>2.5000000000000001E-2</v>
      </c>
      <c r="AJ49">
        <v>7750</v>
      </c>
      <c r="AK49">
        <v>10000</v>
      </c>
      <c r="AL49">
        <v>2.5000000000000001E-2</v>
      </c>
      <c r="AM49">
        <v>7750</v>
      </c>
      <c r="AN49">
        <v>10000</v>
      </c>
      <c r="AO49">
        <v>2.5000000000000001E-2</v>
      </c>
      <c r="AP49">
        <v>7500</v>
      </c>
      <c r="AQ49">
        <v>10000</v>
      </c>
      <c r="AR49">
        <v>2.5000000000000001E-2</v>
      </c>
      <c r="AS49">
        <v>7750</v>
      </c>
      <c r="AT49">
        <v>10000</v>
      </c>
      <c r="AU49">
        <v>2.5000000000000001E-2</v>
      </c>
      <c r="AV49">
        <v>7500</v>
      </c>
      <c r="AW49">
        <v>10000</v>
      </c>
      <c r="AX49">
        <v>2.5000000000000001E-2</v>
      </c>
      <c r="AY49">
        <v>7750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">
      <c r="A50" t="s">
        <v>74</v>
      </c>
      <c r="B50" t="s">
        <v>75</v>
      </c>
      <c r="C50" t="s">
        <v>75</v>
      </c>
      <c r="D50">
        <v>500168</v>
      </c>
      <c r="E50">
        <v>60921</v>
      </c>
      <c r="F50" t="s">
        <v>95</v>
      </c>
      <c r="G50">
        <v>27161</v>
      </c>
      <c r="H50" t="s">
        <v>76</v>
      </c>
      <c r="I50" t="s">
        <v>93</v>
      </c>
      <c r="J50" s="55">
        <v>36617</v>
      </c>
      <c r="K50" s="55">
        <v>37711</v>
      </c>
      <c r="L50">
        <v>10000</v>
      </c>
      <c r="M50">
        <v>2.5000000000000001E-2</v>
      </c>
      <c r="N50">
        <v>0</v>
      </c>
      <c r="O50">
        <v>0</v>
      </c>
      <c r="P50">
        <v>0</v>
      </c>
      <c r="Q50">
        <v>2.5000000000000001E-2</v>
      </c>
      <c r="R50">
        <v>7750</v>
      </c>
      <c r="S50">
        <v>10000</v>
      </c>
      <c r="T50">
        <v>2.5000000000000001E-2</v>
      </c>
      <c r="U50">
        <v>7000</v>
      </c>
      <c r="V50">
        <v>10000</v>
      </c>
      <c r="W50">
        <v>2.5000000000000001E-2</v>
      </c>
      <c r="X50">
        <v>7750</v>
      </c>
      <c r="Y50">
        <v>10000</v>
      </c>
      <c r="Z50">
        <v>2.5000000000000001E-2</v>
      </c>
      <c r="AA50">
        <v>7500</v>
      </c>
      <c r="AB50">
        <v>10000</v>
      </c>
      <c r="AC50">
        <v>2.5000000000000001E-2</v>
      </c>
      <c r="AD50">
        <v>7750</v>
      </c>
      <c r="AE50">
        <v>10000</v>
      </c>
      <c r="AF50">
        <v>2.5000000000000001E-2</v>
      </c>
      <c r="AG50">
        <v>7500</v>
      </c>
      <c r="AH50">
        <v>10000</v>
      </c>
      <c r="AI50">
        <v>2.5000000000000001E-2</v>
      </c>
      <c r="AJ50">
        <v>7750</v>
      </c>
      <c r="AK50">
        <v>10000</v>
      </c>
      <c r="AL50">
        <v>2.5000000000000001E-2</v>
      </c>
      <c r="AM50">
        <v>7750</v>
      </c>
      <c r="AN50">
        <v>10000</v>
      </c>
      <c r="AO50">
        <v>2.5000000000000001E-2</v>
      </c>
      <c r="AP50">
        <v>7500</v>
      </c>
      <c r="AQ50">
        <v>10000</v>
      </c>
      <c r="AR50">
        <v>2.5000000000000001E-2</v>
      </c>
      <c r="AS50">
        <v>7750</v>
      </c>
      <c r="AT50">
        <v>10000</v>
      </c>
      <c r="AU50">
        <v>2.5000000000000001E-2</v>
      </c>
      <c r="AV50">
        <v>7500</v>
      </c>
      <c r="AW50">
        <v>10000</v>
      </c>
      <c r="AX50">
        <v>2.5000000000000001E-2</v>
      </c>
      <c r="AY50">
        <v>7750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">
      <c r="A51" t="s">
        <v>74</v>
      </c>
      <c r="B51" t="s">
        <v>75</v>
      </c>
      <c r="C51" t="s">
        <v>75</v>
      </c>
      <c r="D51">
        <v>500515</v>
      </c>
      <c r="E51">
        <v>58646</v>
      </c>
      <c r="F51" t="s">
        <v>95</v>
      </c>
      <c r="G51">
        <v>27161</v>
      </c>
      <c r="H51" t="s">
        <v>76</v>
      </c>
      <c r="I51" t="s">
        <v>93</v>
      </c>
      <c r="J51" s="55">
        <v>36617</v>
      </c>
      <c r="K51" s="55">
        <v>37711</v>
      </c>
      <c r="L51">
        <v>11200</v>
      </c>
      <c r="M51">
        <v>2.5000000000000001E-2</v>
      </c>
      <c r="N51">
        <v>0</v>
      </c>
      <c r="O51">
        <v>0</v>
      </c>
      <c r="P51">
        <v>0</v>
      </c>
      <c r="Q51">
        <v>2.5000000000000001E-2</v>
      </c>
      <c r="R51">
        <v>8680</v>
      </c>
      <c r="S51">
        <v>11200</v>
      </c>
      <c r="T51">
        <v>2.5000000000000001E-2</v>
      </c>
      <c r="U51">
        <v>7840</v>
      </c>
      <c r="V51">
        <v>11200</v>
      </c>
      <c r="W51">
        <v>2.5000000000000001E-2</v>
      </c>
      <c r="X51">
        <v>8680</v>
      </c>
      <c r="Y51">
        <v>11200</v>
      </c>
      <c r="Z51">
        <v>2.5000000000000001E-2</v>
      </c>
      <c r="AA51">
        <v>8400</v>
      </c>
      <c r="AB51">
        <v>11200</v>
      </c>
      <c r="AC51">
        <v>2.5000000000000001E-2</v>
      </c>
      <c r="AD51">
        <v>8680</v>
      </c>
      <c r="AE51">
        <v>11200</v>
      </c>
      <c r="AF51">
        <v>2.5000000000000001E-2</v>
      </c>
      <c r="AG51">
        <v>8400</v>
      </c>
      <c r="AH51">
        <v>11200</v>
      </c>
      <c r="AI51">
        <v>2.5000000000000001E-2</v>
      </c>
      <c r="AJ51">
        <v>8680</v>
      </c>
      <c r="AK51">
        <v>11200</v>
      </c>
      <c r="AL51">
        <v>2.5000000000000001E-2</v>
      </c>
      <c r="AM51">
        <v>8680</v>
      </c>
      <c r="AN51">
        <v>11200</v>
      </c>
      <c r="AO51">
        <v>2.5000000000000001E-2</v>
      </c>
      <c r="AP51">
        <v>8400</v>
      </c>
      <c r="AQ51">
        <v>11200</v>
      </c>
      <c r="AR51">
        <v>2.5000000000000001E-2</v>
      </c>
      <c r="AS51">
        <v>8680</v>
      </c>
      <c r="AT51">
        <v>11200</v>
      </c>
      <c r="AU51">
        <v>2.5000000000000001E-2</v>
      </c>
      <c r="AV51">
        <v>8400</v>
      </c>
      <c r="AW51">
        <v>11200</v>
      </c>
      <c r="AX51">
        <v>2.5000000000000001E-2</v>
      </c>
      <c r="AY51">
        <v>8680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">
      <c r="A52" t="s">
        <v>74</v>
      </c>
      <c r="B52" t="s">
        <v>75</v>
      </c>
      <c r="C52" t="s">
        <v>75</v>
      </c>
      <c r="D52">
        <v>500515</v>
      </c>
      <c r="E52">
        <v>58647</v>
      </c>
      <c r="F52" t="s">
        <v>95</v>
      </c>
      <c r="G52">
        <v>27161</v>
      </c>
      <c r="H52" t="s">
        <v>76</v>
      </c>
      <c r="I52" t="s">
        <v>93</v>
      </c>
      <c r="J52" s="55">
        <v>36617</v>
      </c>
      <c r="K52" s="55">
        <v>37711</v>
      </c>
      <c r="L52">
        <v>11200</v>
      </c>
      <c r="M52">
        <v>2.5000000000000001E-2</v>
      </c>
      <c r="N52">
        <v>0</v>
      </c>
      <c r="O52">
        <v>0</v>
      </c>
      <c r="P52">
        <v>0</v>
      </c>
      <c r="Q52">
        <v>2.5000000000000001E-2</v>
      </c>
      <c r="R52">
        <v>8680</v>
      </c>
      <c r="S52">
        <v>11200</v>
      </c>
      <c r="T52">
        <v>2.5000000000000001E-2</v>
      </c>
      <c r="U52">
        <v>7840</v>
      </c>
      <c r="V52">
        <v>11200</v>
      </c>
      <c r="W52">
        <v>2.5000000000000001E-2</v>
      </c>
      <c r="X52">
        <v>8680</v>
      </c>
      <c r="Y52">
        <v>11200</v>
      </c>
      <c r="Z52">
        <v>2.5000000000000001E-2</v>
      </c>
      <c r="AA52">
        <v>8400</v>
      </c>
      <c r="AB52">
        <v>11200</v>
      </c>
      <c r="AC52">
        <v>2.5000000000000001E-2</v>
      </c>
      <c r="AD52">
        <v>8680</v>
      </c>
      <c r="AE52">
        <v>11200</v>
      </c>
      <c r="AF52">
        <v>2.5000000000000001E-2</v>
      </c>
      <c r="AG52">
        <v>8400</v>
      </c>
      <c r="AH52">
        <v>11200</v>
      </c>
      <c r="AI52">
        <v>2.5000000000000001E-2</v>
      </c>
      <c r="AJ52">
        <v>8680</v>
      </c>
      <c r="AK52">
        <v>11200</v>
      </c>
      <c r="AL52">
        <v>2.5000000000000001E-2</v>
      </c>
      <c r="AM52">
        <v>8680</v>
      </c>
      <c r="AN52">
        <v>11200</v>
      </c>
      <c r="AO52">
        <v>2.5000000000000001E-2</v>
      </c>
      <c r="AP52">
        <v>8400</v>
      </c>
      <c r="AQ52">
        <v>11200</v>
      </c>
      <c r="AR52">
        <v>2.5000000000000001E-2</v>
      </c>
      <c r="AS52">
        <v>8680</v>
      </c>
      <c r="AT52">
        <v>11200</v>
      </c>
      <c r="AU52">
        <v>2.5000000000000001E-2</v>
      </c>
      <c r="AV52">
        <v>8400</v>
      </c>
      <c r="AW52">
        <v>11200</v>
      </c>
      <c r="AX52">
        <v>2.5000000000000001E-2</v>
      </c>
      <c r="AY52">
        <v>8680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">
      <c r="A53" t="s">
        <v>74</v>
      </c>
      <c r="B53" t="s">
        <v>75</v>
      </c>
      <c r="C53" t="s">
        <v>75</v>
      </c>
      <c r="D53">
        <v>500515</v>
      </c>
      <c r="E53">
        <v>58649</v>
      </c>
      <c r="F53" t="s">
        <v>95</v>
      </c>
      <c r="G53">
        <v>27161</v>
      </c>
      <c r="H53" t="s">
        <v>76</v>
      </c>
      <c r="I53" t="s">
        <v>93</v>
      </c>
      <c r="J53" s="55">
        <v>36617</v>
      </c>
      <c r="K53" s="55">
        <v>37711</v>
      </c>
      <c r="L53">
        <v>11200</v>
      </c>
      <c r="M53">
        <v>2.5000000000000001E-2</v>
      </c>
      <c r="N53">
        <v>0</v>
      </c>
      <c r="O53">
        <v>0</v>
      </c>
      <c r="P53">
        <v>0</v>
      </c>
      <c r="Q53">
        <v>2.5000000000000001E-2</v>
      </c>
      <c r="R53">
        <v>8680</v>
      </c>
      <c r="S53">
        <v>11200</v>
      </c>
      <c r="T53">
        <v>2.5000000000000001E-2</v>
      </c>
      <c r="U53">
        <v>7840</v>
      </c>
      <c r="V53">
        <v>11200</v>
      </c>
      <c r="W53">
        <v>2.5000000000000001E-2</v>
      </c>
      <c r="X53">
        <v>8680</v>
      </c>
      <c r="Y53">
        <v>11200</v>
      </c>
      <c r="Z53">
        <v>2.5000000000000001E-2</v>
      </c>
      <c r="AA53">
        <v>8400</v>
      </c>
      <c r="AB53">
        <v>11200</v>
      </c>
      <c r="AC53">
        <v>2.5000000000000001E-2</v>
      </c>
      <c r="AD53">
        <v>8680</v>
      </c>
      <c r="AE53">
        <v>11200</v>
      </c>
      <c r="AF53">
        <v>2.5000000000000001E-2</v>
      </c>
      <c r="AG53">
        <v>8400</v>
      </c>
      <c r="AH53">
        <v>11200</v>
      </c>
      <c r="AI53">
        <v>2.5000000000000001E-2</v>
      </c>
      <c r="AJ53">
        <v>8680</v>
      </c>
      <c r="AK53">
        <v>11200</v>
      </c>
      <c r="AL53">
        <v>2.5000000000000001E-2</v>
      </c>
      <c r="AM53">
        <v>8680</v>
      </c>
      <c r="AN53">
        <v>11200</v>
      </c>
      <c r="AO53">
        <v>2.5000000000000001E-2</v>
      </c>
      <c r="AP53">
        <v>8400</v>
      </c>
      <c r="AQ53">
        <v>11200</v>
      </c>
      <c r="AR53">
        <v>2.5000000000000001E-2</v>
      </c>
      <c r="AS53">
        <v>8680</v>
      </c>
      <c r="AT53">
        <v>11200</v>
      </c>
      <c r="AU53">
        <v>2.5000000000000001E-2</v>
      </c>
      <c r="AV53">
        <v>8400</v>
      </c>
      <c r="AW53">
        <v>11200</v>
      </c>
      <c r="AX53">
        <v>2.5000000000000001E-2</v>
      </c>
      <c r="AY53">
        <v>8680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">
      <c r="A54" t="s">
        <v>74</v>
      </c>
      <c r="B54" t="s">
        <v>75</v>
      </c>
      <c r="C54" t="s">
        <v>75</v>
      </c>
      <c r="D54">
        <v>500515</v>
      </c>
      <c r="E54">
        <v>60921</v>
      </c>
      <c r="F54" t="s">
        <v>95</v>
      </c>
      <c r="G54">
        <v>27161</v>
      </c>
      <c r="H54" t="s">
        <v>76</v>
      </c>
      <c r="I54" t="s">
        <v>93</v>
      </c>
      <c r="J54" s="55">
        <v>36617</v>
      </c>
      <c r="K54" s="55">
        <v>37711</v>
      </c>
      <c r="L54">
        <v>11200</v>
      </c>
      <c r="M54">
        <v>2.5000000000000001E-2</v>
      </c>
      <c r="N54">
        <v>0</v>
      </c>
      <c r="O54">
        <v>0</v>
      </c>
      <c r="P54">
        <v>0</v>
      </c>
      <c r="Q54">
        <v>2.5000000000000001E-2</v>
      </c>
      <c r="R54">
        <v>8680</v>
      </c>
      <c r="S54">
        <v>11200</v>
      </c>
      <c r="T54">
        <v>2.5000000000000001E-2</v>
      </c>
      <c r="U54">
        <v>7840</v>
      </c>
      <c r="V54">
        <v>11200</v>
      </c>
      <c r="W54">
        <v>2.5000000000000001E-2</v>
      </c>
      <c r="X54">
        <v>8680</v>
      </c>
      <c r="Y54">
        <v>11200</v>
      </c>
      <c r="Z54">
        <v>2.5000000000000001E-2</v>
      </c>
      <c r="AA54">
        <v>8400</v>
      </c>
      <c r="AB54">
        <v>11200</v>
      </c>
      <c r="AC54">
        <v>2.5000000000000001E-2</v>
      </c>
      <c r="AD54">
        <v>8680</v>
      </c>
      <c r="AE54">
        <v>11200</v>
      </c>
      <c r="AF54">
        <v>2.5000000000000001E-2</v>
      </c>
      <c r="AG54">
        <v>8400</v>
      </c>
      <c r="AH54">
        <v>11200</v>
      </c>
      <c r="AI54">
        <v>2.5000000000000001E-2</v>
      </c>
      <c r="AJ54">
        <v>8680</v>
      </c>
      <c r="AK54">
        <v>11200</v>
      </c>
      <c r="AL54">
        <v>2.5000000000000001E-2</v>
      </c>
      <c r="AM54">
        <v>8680</v>
      </c>
      <c r="AN54">
        <v>11200</v>
      </c>
      <c r="AO54">
        <v>2.5000000000000001E-2</v>
      </c>
      <c r="AP54">
        <v>8400</v>
      </c>
      <c r="AQ54">
        <v>11200</v>
      </c>
      <c r="AR54">
        <v>2.5000000000000001E-2</v>
      </c>
      <c r="AS54">
        <v>8680</v>
      </c>
      <c r="AT54">
        <v>11200</v>
      </c>
      <c r="AU54">
        <v>2.5000000000000001E-2</v>
      </c>
      <c r="AV54">
        <v>8400</v>
      </c>
      <c r="AW54">
        <v>11200</v>
      </c>
      <c r="AX54">
        <v>2.5000000000000001E-2</v>
      </c>
      <c r="AY54">
        <v>8680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">
      <c r="A55" t="s">
        <v>74</v>
      </c>
      <c r="B55" t="s">
        <v>75</v>
      </c>
      <c r="C55" t="s">
        <v>75</v>
      </c>
      <c r="D55">
        <v>8516</v>
      </c>
      <c r="E55">
        <v>58646</v>
      </c>
      <c r="F55" t="s">
        <v>98</v>
      </c>
      <c r="G55">
        <v>27291</v>
      </c>
      <c r="H55" t="s">
        <v>76</v>
      </c>
      <c r="I55" t="s">
        <v>93</v>
      </c>
      <c r="J55" s="55">
        <v>36739</v>
      </c>
      <c r="K55" s="55">
        <v>37468</v>
      </c>
      <c r="L55">
        <v>20000</v>
      </c>
      <c r="M55">
        <v>2.5000000000000001E-2</v>
      </c>
      <c r="N55">
        <v>0</v>
      </c>
      <c r="O55">
        <v>0</v>
      </c>
      <c r="P55">
        <v>0</v>
      </c>
      <c r="Q55">
        <v>2.5000000000000001E-2</v>
      </c>
      <c r="R55">
        <v>15500</v>
      </c>
      <c r="S55">
        <v>20000</v>
      </c>
      <c r="T55">
        <v>2.5000000000000001E-2</v>
      </c>
      <c r="U55">
        <v>14000</v>
      </c>
      <c r="V55">
        <v>20000</v>
      </c>
      <c r="W55">
        <v>2.5000000000000001E-2</v>
      </c>
      <c r="X55">
        <v>15500</v>
      </c>
      <c r="Y55">
        <v>20000</v>
      </c>
      <c r="Z55">
        <v>2.5000000000000001E-2</v>
      </c>
      <c r="AA55">
        <v>15000</v>
      </c>
      <c r="AB55">
        <v>20000</v>
      </c>
      <c r="AC55">
        <v>2.5000000000000001E-2</v>
      </c>
      <c r="AD55">
        <v>15500</v>
      </c>
      <c r="AE55">
        <v>20000</v>
      </c>
      <c r="AF55">
        <v>2.5000000000000001E-2</v>
      </c>
      <c r="AG55">
        <v>15000</v>
      </c>
      <c r="AH55">
        <v>20000</v>
      </c>
      <c r="AI55">
        <v>2.5000000000000001E-2</v>
      </c>
      <c r="AJ55">
        <v>15500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">
      <c r="A56" t="s">
        <v>74</v>
      </c>
      <c r="B56" t="s">
        <v>75</v>
      </c>
      <c r="C56" t="s">
        <v>75</v>
      </c>
      <c r="D56">
        <v>8516</v>
      </c>
      <c r="E56">
        <v>500267</v>
      </c>
      <c r="F56" t="s">
        <v>98</v>
      </c>
      <c r="G56">
        <v>27349</v>
      </c>
      <c r="H56" t="s">
        <v>76</v>
      </c>
      <c r="I56" t="s">
        <v>93</v>
      </c>
      <c r="J56" s="55">
        <v>36892</v>
      </c>
      <c r="K56" s="55">
        <v>38717</v>
      </c>
      <c r="L56">
        <v>20000</v>
      </c>
      <c r="M56">
        <v>0.05</v>
      </c>
      <c r="N56">
        <v>0</v>
      </c>
      <c r="O56">
        <v>0</v>
      </c>
      <c r="P56">
        <v>0</v>
      </c>
      <c r="Q56">
        <v>0.05</v>
      </c>
      <c r="R56">
        <v>31000</v>
      </c>
      <c r="S56">
        <v>20000</v>
      </c>
      <c r="T56">
        <v>0.05</v>
      </c>
      <c r="U56">
        <v>28000</v>
      </c>
      <c r="V56">
        <v>20000</v>
      </c>
      <c r="W56">
        <v>0.05</v>
      </c>
      <c r="X56">
        <v>31000</v>
      </c>
      <c r="Y56">
        <v>20000</v>
      </c>
      <c r="Z56">
        <v>0.05</v>
      </c>
      <c r="AA56">
        <v>30000</v>
      </c>
      <c r="AB56">
        <v>20000</v>
      </c>
      <c r="AC56">
        <v>0.05</v>
      </c>
      <c r="AD56">
        <v>31000</v>
      </c>
      <c r="AE56">
        <v>20000</v>
      </c>
      <c r="AF56">
        <v>0.05</v>
      </c>
      <c r="AG56">
        <v>30000</v>
      </c>
      <c r="AH56">
        <v>20000</v>
      </c>
      <c r="AI56">
        <v>0.05</v>
      </c>
      <c r="AJ56">
        <v>31000</v>
      </c>
      <c r="AK56">
        <v>20000</v>
      </c>
      <c r="AL56">
        <v>0.05</v>
      </c>
      <c r="AM56">
        <v>31000</v>
      </c>
      <c r="AN56">
        <v>20000</v>
      </c>
      <c r="AO56">
        <v>0.05</v>
      </c>
      <c r="AP56">
        <v>30000</v>
      </c>
      <c r="AQ56">
        <v>20000</v>
      </c>
      <c r="AR56">
        <v>0.05</v>
      </c>
      <c r="AS56">
        <v>31000</v>
      </c>
      <c r="AT56">
        <v>20000</v>
      </c>
      <c r="AU56">
        <v>0.05</v>
      </c>
      <c r="AV56">
        <v>30000</v>
      </c>
      <c r="AW56">
        <v>20000</v>
      </c>
      <c r="AX56">
        <v>0.05</v>
      </c>
      <c r="AY56">
        <v>31000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">
      <c r="A57" t="s">
        <v>74</v>
      </c>
      <c r="B57" t="s">
        <v>75</v>
      </c>
      <c r="C57" t="s">
        <v>75</v>
      </c>
      <c r="D57">
        <v>500168</v>
      </c>
      <c r="E57">
        <v>500303</v>
      </c>
      <c r="F57" t="s">
        <v>99</v>
      </c>
      <c r="G57">
        <v>27377</v>
      </c>
      <c r="H57" t="s">
        <v>76</v>
      </c>
      <c r="I57" t="s">
        <v>93</v>
      </c>
      <c r="J57" s="55">
        <v>36951</v>
      </c>
      <c r="K57" s="55">
        <v>37315</v>
      </c>
      <c r="L57">
        <v>10000</v>
      </c>
      <c r="M57">
        <v>0.05</v>
      </c>
      <c r="N57">
        <v>0</v>
      </c>
      <c r="O57">
        <v>0</v>
      </c>
      <c r="P57">
        <v>0</v>
      </c>
      <c r="Q57">
        <v>0.05</v>
      </c>
      <c r="R57">
        <v>15500</v>
      </c>
      <c r="S57">
        <v>10000</v>
      </c>
      <c r="T57">
        <v>0.05</v>
      </c>
      <c r="U57">
        <v>14000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">
      <c r="A58" t="s">
        <v>74</v>
      </c>
      <c r="B58" t="s">
        <v>75</v>
      </c>
      <c r="C58" t="s">
        <v>75</v>
      </c>
      <c r="D58">
        <v>10594</v>
      </c>
      <c r="E58">
        <v>58646</v>
      </c>
      <c r="F58" t="s">
        <v>100</v>
      </c>
      <c r="G58">
        <v>27495</v>
      </c>
      <c r="H58" t="s">
        <v>76</v>
      </c>
      <c r="I58" t="s">
        <v>93</v>
      </c>
      <c r="J58" s="55">
        <v>36951</v>
      </c>
      <c r="K58" s="55">
        <v>37711</v>
      </c>
      <c r="L58">
        <v>5000</v>
      </c>
      <c r="M58">
        <v>3.2500000000000001E-2</v>
      </c>
      <c r="N58">
        <v>0</v>
      </c>
      <c r="O58">
        <v>0</v>
      </c>
      <c r="P58">
        <v>0</v>
      </c>
      <c r="Q58">
        <v>3.2500000000000001E-2</v>
      </c>
      <c r="R58">
        <v>5037.5</v>
      </c>
      <c r="S58">
        <v>5000</v>
      </c>
      <c r="T58">
        <v>3.2500000000000001E-2</v>
      </c>
      <c r="U58">
        <v>4550</v>
      </c>
      <c r="V58">
        <v>5000</v>
      </c>
      <c r="W58">
        <v>3.2500000000000001E-2</v>
      </c>
      <c r="X58">
        <v>5037.5</v>
      </c>
      <c r="Y58">
        <v>5000</v>
      </c>
      <c r="Z58">
        <v>3.2500000000000001E-2</v>
      </c>
      <c r="AA58">
        <v>4875</v>
      </c>
      <c r="AB58">
        <v>5000</v>
      </c>
      <c r="AC58">
        <v>3.2500000000000001E-2</v>
      </c>
      <c r="AD58">
        <v>5037.5</v>
      </c>
      <c r="AE58">
        <v>5000</v>
      </c>
      <c r="AF58">
        <v>3.2500000000000001E-2</v>
      </c>
      <c r="AG58">
        <v>4875</v>
      </c>
      <c r="AH58">
        <v>5000</v>
      </c>
      <c r="AI58">
        <v>3.2500000000000001E-2</v>
      </c>
      <c r="AJ58">
        <v>5037.5</v>
      </c>
      <c r="AK58">
        <v>5000</v>
      </c>
      <c r="AL58">
        <v>3.2500000000000001E-2</v>
      </c>
      <c r="AM58">
        <v>5037.5</v>
      </c>
      <c r="AN58">
        <v>5000</v>
      </c>
      <c r="AO58">
        <v>3.2500000000000001E-2</v>
      </c>
      <c r="AP58">
        <v>4875</v>
      </c>
      <c r="AQ58">
        <v>5000</v>
      </c>
      <c r="AR58">
        <v>3.2500000000000001E-2</v>
      </c>
      <c r="AS58">
        <v>5037.5</v>
      </c>
      <c r="AT58">
        <v>5000</v>
      </c>
      <c r="AU58">
        <v>3.2500000000000001E-2</v>
      </c>
      <c r="AV58">
        <v>4875</v>
      </c>
      <c r="AW58">
        <v>5000</v>
      </c>
      <c r="AX58">
        <v>3.2500000000000001E-2</v>
      </c>
      <c r="AY58">
        <v>5037.5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">
      <c r="A59" t="s">
        <v>74</v>
      </c>
      <c r="B59" t="s">
        <v>75</v>
      </c>
      <c r="C59" t="s">
        <v>75</v>
      </c>
      <c r="D59">
        <v>10594</v>
      </c>
      <c r="E59">
        <v>58649</v>
      </c>
      <c r="F59" t="s">
        <v>100</v>
      </c>
      <c r="G59">
        <v>27495</v>
      </c>
      <c r="H59" t="s">
        <v>76</v>
      </c>
      <c r="I59" t="s">
        <v>93</v>
      </c>
      <c r="J59" s="55">
        <v>36951</v>
      </c>
      <c r="K59" s="55">
        <v>37711</v>
      </c>
      <c r="L59">
        <v>5000</v>
      </c>
      <c r="M59">
        <v>3.2500000000000001E-2</v>
      </c>
      <c r="N59">
        <v>0</v>
      </c>
      <c r="O59">
        <v>0</v>
      </c>
      <c r="P59">
        <v>0</v>
      </c>
      <c r="Q59">
        <v>3.2500000000000001E-2</v>
      </c>
      <c r="R59">
        <v>5037.5</v>
      </c>
      <c r="S59">
        <v>5000</v>
      </c>
      <c r="T59">
        <v>3.2500000000000001E-2</v>
      </c>
      <c r="U59">
        <v>4550</v>
      </c>
      <c r="V59">
        <v>5000</v>
      </c>
      <c r="W59">
        <v>3.2500000000000001E-2</v>
      </c>
      <c r="X59">
        <v>5037.5</v>
      </c>
      <c r="Y59">
        <v>5000</v>
      </c>
      <c r="Z59">
        <v>3.2500000000000001E-2</v>
      </c>
      <c r="AA59">
        <v>4875</v>
      </c>
      <c r="AB59">
        <v>5000</v>
      </c>
      <c r="AC59">
        <v>3.2500000000000001E-2</v>
      </c>
      <c r="AD59">
        <v>5037.5</v>
      </c>
      <c r="AE59">
        <v>5000</v>
      </c>
      <c r="AF59">
        <v>3.2500000000000001E-2</v>
      </c>
      <c r="AG59">
        <v>4875</v>
      </c>
      <c r="AH59">
        <v>5000</v>
      </c>
      <c r="AI59">
        <v>3.2500000000000001E-2</v>
      </c>
      <c r="AJ59">
        <v>5037.5</v>
      </c>
      <c r="AK59">
        <v>5000</v>
      </c>
      <c r="AL59">
        <v>3.2500000000000001E-2</v>
      </c>
      <c r="AM59">
        <v>5037.5</v>
      </c>
      <c r="AN59">
        <v>5000</v>
      </c>
      <c r="AO59">
        <v>3.2500000000000001E-2</v>
      </c>
      <c r="AP59">
        <v>4875</v>
      </c>
      <c r="AQ59">
        <v>5000</v>
      </c>
      <c r="AR59">
        <v>3.2500000000000001E-2</v>
      </c>
      <c r="AS59">
        <v>5037.5</v>
      </c>
      <c r="AT59">
        <v>5000</v>
      </c>
      <c r="AU59">
        <v>3.2500000000000001E-2</v>
      </c>
      <c r="AV59">
        <v>4875</v>
      </c>
      <c r="AW59">
        <v>5000</v>
      </c>
      <c r="AX59">
        <v>3.2500000000000001E-2</v>
      </c>
      <c r="AY59">
        <v>5037.5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">
      <c r="A60" t="s">
        <v>74</v>
      </c>
      <c r="B60" t="s">
        <v>75</v>
      </c>
      <c r="C60" t="s">
        <v>75</v>
      </c>
      <c r="D60">
        <v>56943</v>
      </c>
      <c r="E60">
        <v>58646</v>
      </c>
      <c r="F60" t="s">
        <v>100</v>
      </c>
      <c r="G60">
        <v>27495</v>
      </c>
      <c r="H60" t="s">
        <v>76</v>
      </c>
      <c r="I60" t="s">
        <v>93</v>
      </c>
      <c r="J60" s="55">
        <v>36951</v>
      </c>
      <c r="K60" s="55">
        <v>37711</v>
      </c>
      <c r="L60">
        <v>20000</v>
      </c>
      <c r="M60">
        <v>3.2500000000000001E-2</v>
      </c>
      <c r="N60">
        <v>0</v>
      </c>
      <c r="O60">
        <v>0</v>
      </c>
      <c r="P60">
        <v>0</v>
      </c>
      <c r="Q60">
        <v>3.2500000000000001E-2</v>
      </c>
      <c r="R60">
        <v>20150</v>
      </c>
      <c r="S60">
        <v>20000</v>
      </c>
      <c r="T60">
        <v>3.2500000000000001E-2</v>
      </c>
      <c r="U60">
        <v>18200</v>
      </c>
      <c r="V60">
        <v>20000</v>
      </c>
      <c r="W60">
        <v>3.2500000000000001E-2</v>
      </c>
      <c r="X60">
        <v>20150</v>
      </c>
      <c r="Y60">
        <v>20000</v>
      </c>
      <c r="Z60">
        <v>3.2500000000000001E-2</v>
      </c>
      <c r="AA60">
        <v>19500</v>
      </c>
      <c r="AB60">
        <v>20000</v>
      </c>
      <c r="AC60">
        <v>3.2500000000000001E-2</v>
      </c>
      <c r="AD60">
        <v>20150</v>
      </c>
      <c r="AE60">
        <v>20000</v>
      </c>
      <c r="AF60">
        <v>3.2500000000000001E-2</v>
      </c>
      <c r="AG60">
        <v>19500</v>
      </c>
      <c r="AH60">
        <v>20000</v>
      </c>
      <c r="AI60">
        <v>3.2500000000000001E-2</v>
      </c>
      <c r="AJ60">
        <v>20150</v>
      </c>
      <c r="AK60">
        <v>20000</v>
      </c>
      <c r="AL60">
        <v>3.2500000000000001E-2</v>
      </c>
      <c r="AM60">
        <v>20150</v>
      </c>
      <c r="AN60">
        <v>20000</v>
      </c>
      <c r="AO60">
        <v>3.2500000000000001E-2</v>
      </c>
      <c r="AP60">
        <v>19500</v>
      </c>
      <c r="AQ60">
        <v>20000</v>
      </c>
      <c r="AR60">
        <v>3.2500000000000001E-2</v>
      </c>
      <c r="AS60">
        <v>20150</v>
      </c>
      <c r="AT60">
        <v>20000</v>
      </c>
      <c r="AU60">
        <v>3.2500000000000001E-2</v>
      </c>
      <c r="AV60">
        <v>19500</v>
      </c>
      <c r="AW60">
        <v>20000</v>
      </c>
      <c r="AX60">
        <v>3.2500000000000001E-2</v>
      </c>
      <c r="AY60">
        <v>20150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">
      <c r="A61" t="s">
        <v>74</v>
      </c>
      <c r="B61" t="s">
        <v>75</v>
      </c>
      <c r="C61" t="s">
        <v>75</v>
      </c>
      <c r="D61">
        <v>56943</v>
      </c>
      <c r="E61">
        <v>58649</v>
      </c>
      <c r="F61" t="s">
        <v>100</v>
      </c>
      <c r="G61">
        <v>27495</v>
      </c>
      <c r="H61" t="s">
        <v>76</v>
      </c>
      <c r="I61" t="s">
        <v>93</v>
      </c>
      <c r="J61" s="55">
        <v>36951</v>
      </c>
      <c r="K61" s="55">
        <v>37711</v>
      </c>
      <c r="L61">
        <v>20000</v>
      </c>
      <c r="M61">
        <v>3.2500000000000001E-2</v>
      </c>
      <c r="N61">
        <v>0</v>
      </c>
      <c r="O61">
        <v>0</v>
      </c>
      <c r="P61">
        <v>0</v>
      </c>
      <c r="Q61">
        <v>3.2500000000000001E-2</v>
      </c>
      <c r="R61">
        <v>20150</v>
      </c>
      <c r="S61">
        <v>20000</v>
      </c>
      <c r="T61">
        <v>3.2500000000000001E-2</v>
      </c>
      <c r="U61">
        <v>18200</v>
      </c>
      <c r="V61">
        <v>20000</v>
      </c>
      <c r="W61">
        <v>3.2500000000000001E-2</v>
      </c>
      <c r="X61">
        <v>20150</v>
      </c>
      <c r="Y61">
        <v>20000</v>
      </c>
      <c r="Z61">
        <v>3.2500000000000001E-2</v>
      </c>
      <c r="AA61">
        <v>19500</v>
      </c>
      <c r="AB61">
        <v>20000</v>
      </c>
      <c r="AC61">
        <v>3.2500000000000001E-2</v>
      </c>
      <c r="AD61">
        <v>20150</v>
      </c>
      <c r="AE61">
        <v>20000</v>
      </c>
      <c r="AF61">
        <v>3.2500000000000001E-2</v>
      </c>
      <c r="AG61">
        <v>19500</v>
      </c>
      <c r="AH61">
        <v>20000</v>
      </c>
      <c r="AI61">
        <v>3.2500000000000001E-2</v>
      </c>
      <c r="AJ61">
        <v>20150</v>
      </c>
      <c r="AK61">
        <v>20000</v>
      </c>
      <c r="AL61">
        <v>3.2500000000000001E-2</v>
      </c>
      <c r="AM61">
        <v>20150</v>
      </c>
      <c r="AN61">
        <v>20000</v>
      </c>
      <c r="AO61">
        <v>3.2500000000000001E-2</v>
      </c>
      <c r="AP61">
        <v>19500</v>
      </c>
      <c r="AQ61">
        <v>20000</v>
      </c>
      <c r="AR61">
        <v>3.2500000000000001E-2</v>
      </c>
      <c r="AS61">
        <v>20150</v>
      </c>
      <c r="AT61">
        <v>20000</v>
      </c>
      <c r="AU61">
        <v>3.2500000000000001E-2</v>
      </c>
      <c r="AV61">
        <v>19500</v>
      </c>
      <c r="AW61">
        <v>20000</v>
      </c>
      <c r="AX61">
        <v>3.2500000000000001E-2</v>
      </c>
      <c r="AY61">
        <v>20150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">
      <c r="A62" t="s">
        <v>74</v>
      </c>
      <c r="B62" t="s">
        <v>75</v>
      </c>
      <c r="C62" t="s">
        <v>75</v>
      </c>
      <c r="D62">
        <v>8042</v>
      </c>
      <c r="E62">
        <v>500267</v>
      </c>
      <c r="F62" t="s">
        <v>214</v>
      </c>
      <c r="G62">
        <v>27579</v>
      </c>
      <c r="H62" t="s">
        <v>76</v>
      </c>
      <c r="I62" t="s">
        <v>93</v>
      </c>
      <c r="J62" s="55">
        <v>37012</v>
      </c>
      <c r="K62" s="55">
        <v>37407</v>
      </c>
      <c r="L62">
        <v>20000</v>
      </c>
      <c r="M62">
        <v>0.06</v>
      </c>
      <c r="N62">
        <v>0</v>
      </c>
      <c r="O62">
        <v>0</v>
      </c>
      <c r="P62">
        <v>0</v>
      </c>
      <c r="Q62">
        <v>0.06</v>
      </c>
      <c r="R62">
        <v>37200</v>
      </c>
      <c r="S62">
        <v>20000</v>
      </c>
      <c r="T62">
        <v>0.06</v>
      </c>
      <c r="U62">
        <v>33600</v>
      </c>
      <c r="V62">
        <v>20000</v>
      </c>
      <c r="W62">
        <v>0.06</v>
      </c>
      <c r="X62">
        <v>37200</v>
      </c>
      <c r="Y62">
        <v>20000</v>
      </c>
      <c r="Z62">
        <v>0.06</v>
      </c>
      <c r="AA62">
        <v>36000</v>
      </c>
      <c r="AB62">
        <v>20000</v>
      </c>
      <c r="AC62">
        <v>0.06</v>
      </c>
      <c r="AD62">
        <v>37200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2">
      <c r="A63" t="s">
        <v>74</v>
      </c>
      <c r="B63" t="s">
        <v>75</v>
      </c>
      <c r="C63" t="s">
        <v>75</v>
      </c>
      <c r="D63">
        <v>56943</v>
      </c>
      <c r="E63">
        <v>500267</v>
      </c>
      <c r="F63" t="s">
        <v>279</v>
      </c>
      <c r="G63">
        <v>27600</v>
      </c>
      <c r="H63" t="s">
        <v>76</v>
      </c>
      <c r="I63" t="s">
        <v>93</v>
      </c>
      <c r="J63" s="55">
        <v>37043</v>
      </c>
      <c r="K63" s="55">
        <v>37407</v>
      </c>
      <c r="L63">
        <v>2500</v>
      </c>
      <c r="M63">
        <v>0.09</v>
      </c>
      <c r="N63">
        <v>0</v>
      </c>
      <c r="O63">
        <v>0</v>
      </c>
      <c r="P63">
        <v>0</v>
      </c>
      <c r="Q63">
        <v>0.09</v>
      </c>
      <c r="R63">
        <v>6975</v>
      </c>
      <c r="S63">
        <v>2500</v>
      </c>
      <c r="T63">
        <v>0.09</v>
      </c>
      <c r="U63">
        <v>6300</v>
      </c>
      <c r="V63">
        <v>2500</v>
      </c>
      <c r="W63">
        <v>0.09</v>
      </c>
      <c r="X63">
        <v>6975</v>
      </c>
      <c r="Y63">
        <v>2500</v>
      </c>
      <c r="Z63">
        <v>0.09</v>
      </c>
      <c r="AA63">
        <v>6750</v>
      </c>
      <c r="AB63">
        <v>2500</v>
      </c>
      <c r="AC63">
        <v>0.09</v>
      </c>
      <c r="AD63">
        <v>6975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</row>
    <row r="64" spans="1:123" x14ac:dyDescent="0.2">
      <c r="A64" t="s">
        <v>125</v>
      </c>
      <c r="G64" s="42" t="s">
        <v>2</v>
      </c>
      <c r="H64" s="42" t="s">
        <v>76</v>
      </c>
      <c r="L64" s="42">
        <f>SUM(L8:L63)</f>
        <v>532214</v>
      </c>
      <c r="R64" s="42">
        <f>SUM(R8:R63)</f>
        <v>621991.93599999999</v>
      </c>
      <c r="S64" s="42">
        <f>SUM(S8:S63)</f>
        <v>532214</v>
      </c>
      <c r="U64" s="42">
        <f>SUM(U8:U63)</f>
        <v>561799.16800000006</v>
      </c>
      <c r="V64" s="42">
        <f>SUM(V8:V63)</f>
        <v>522214</v>
      </c>
      <c r="X64" s="42">
        <f>SUM(X8:X63)</f>
        <v>606491.93599999999</v>
      </c>
      <c r="Y64" s="42">
        <f>SUM(Y8:Y63)</f>
        <v>522214</v>
      </c>
      <c r="AA64" s="42">
        <f>SUM(AA8:AA63)</f>
        <v>586927.67999999993</v>
      </c>
      <c r="AB64" s="42">
        <f>SUM(AB8:AB63)</f>
        <v>523827</v>
      </c>
      <c r="AD64" s="42">
        <f>SUM(AD8:AD63)</f>
        <v>608992.08600000001</v>
      </c>
      <c r="AE64" s="42">
        <f>SUM(AE8:AE63)</f>
        <v>508047</v>
      </c>
      <c r="AG64" s="42">
        <f>SUM(AG8:AG63)</f>
        <v>556677.17999999993</v>
      </c>
      <c r="AH64" s="42">
        <f>SUM(AH8:AH63)</f>
        <v>512617</v>
      </c>
      <c r="AJ64" s="42">
        <f>SUM(AJ8:AJ63)</f>
        <v>582316.58600000001</v>
      </c>
      <c r="AK64" s="42">
        <f>SUM(AK8:AK63)</f>
        <v>489391</v>
      </c>
      <c r="AM64" s="42">
        <f>SUM(AM8:AM63)</f>
        <v>561816.28599999996</v>
      </c>
      <c r="AN64" s="42">
        <f>SUM(AN8:AN63)</f>
        <v>483047</v>
      </c>
      <c r="AP64" s="42">
        <f>SUM(AP8:AP63)</f>
        <v>534177.17999999993</v>
      </c>
      <c r="AQ64" s="42">
        <f>SUM(AQ8:AQ63)</f>
        <v>479714</v>
      </c>
      <c r="AS64" s="42">
        <f>SUM(AS8:AS63)</f>
        <v>546816.93599999999</v>
      </c>
      <c r="AT64" s="42">
        <f>SUM(AT8:AT63)</f>
        <v>479714</v>
      </c>
      <c r="AV64" s="42">
        <f>SUM(AV8:AV63)</f>
        <v>529177.67999999993</v>
      </c>
      <c r="AW64" s="42">
        <f>SUM(AW8:AW63)</f>
        <v>444000</v>
      </c>
      <c r="AY64" s="42">
        <f>SUM(AY8:AY63)</f>
        <v>431675</v>
      </c>
      <c r="AZ64" s="42">
        <f>SUM(AZ8:AZ63)</f>
        <v>0</v>
      </c>
      <c r="BB64" s="42">
        <f>SUM(BB8:BB63)</f>
        <v>0</v>
      </c>
      <c r="BC64" s="42">
        <f>SUM(BC8:BC63)</f>
        <v>0</v>
      </c>
      <c r="BE64" s="42">
        <f>SUM(BE8:BE63)</f>
        <v>0</v>
      </c>
      <c r="BF64" s="42">
        <f>SUM(BF8:BF63)</f>
        <v>0</v>
      </c>
      <c r="BH64" s="42">
        <f>SUM(BH8:BH63)</f>
        <v>0</v>
      </c>
      <c r="BI64" s="42">
        <f>SUM(BI8:BI63)</f>
        <v>0</v>
      </c>
      <c r="BK64" s="42">
        <f>SUM(BK8:BK63)</f>
        <v>0</v>
      </c>
      <c r="BL64" s="42">
        <f>SUM(BL8:BL63)</f>
        <v>0</v>
      </c>
      <c r="BN64" s="42">
        <f>SUM(BN8:BN63)</f>
        <v>0</v>
      </c>
      <c r="BO64" s="42">
        <f>SUM(BO8:BO63)</f>
        <v>0</v>
      </c>
      <c r="BQ64" s="42">
        <f>SUM(BQ8:BQ63)</f>
        <v>0</v>
      </c>
      <c r="BR64" s="42">
        <f>SUM(BR8:BR63)</f>
        <v>0</v>
      </c>
      <c r="BT64" s="42">
        <f>SUM(BT8:BT63)</f>
        <v>0</v>
      </c>
      <c r="BU64" s="42">
        <f>SUM(BU8:BU63)</f>
        <v>0</v>
      </c>
      <c r="BW64" s="42">
        <f>SUM(BW8:BW63)</f>
        <v>0</v>
      </c>
      <c r="BX64" s="42">
        <f>SUM(BX8:BX63)</f>
        <v>0</v>
      </c>
      <c r="BZ64" s="42">
        <f>SUM(BZ8:BZ63)</f>
        <v>0</v>
      </c>
      <c r="CA64" s="42">
        <f>SUM(CA8:CA63)</f>
        <v>0</v>
      </c>
      <c r="CC64" s="42">
        <f>SUM(CC8:CC63)</f>
        <v>0</v>
      </c>
      <c r="CD64" s="42">
        <f>SUM(CD8:CD63)</f>
        <v>0</v>
      </c>
      <c r="CF64" s="42">
        <f>SUM(CF8:CF63)</f>
        <v>0</v>
      </c>
      <c r="CG64" s="42">
        <f>SUM(CG8:CG63)</f>
        <v>0</v>
      </c>
      <c r="CI64" s="42">
        <f>SUM(CI8:CI63)</f>
        <v>0</v>
      </c>
      <c r="CJ64" s="42">
        <f>SUM(CJ8:CJ63)</f>
        <v>0</v>
      </c>
      <c r="CL64" s="42">
        <f>SUM(CL8:CL63)</f>
        <v>0</v>
      </c>
      <c r="CM64" s="42">
        <f>SUM(CM8:CM63)</f>
        <v>0</v>
      </c>
      <c r="CO64" s="42">
        <f>SUM(CO8:CO63)</f>
        <v>0</v>
      </c>
      <c r="CP64" s="42">
        <f>SUM(CP8:CP63)</f>
        <v>0</v>
      </c>
      <c r="CR64" s="42">
        <f>SUM(CR8:CR63)</f>
        <v>0</v>
      </c>
      <c r="CS64" s="42">
        <f>SUM(CS8:CS63)</f>
        <v>0</v>
      </c>
      <c r="CU64" s="42">
        <f>SUM(CU8:CU63)</f>
        <v>0</v>
      </c>
      <c r="CV64" s="42">
        <f>SUM(CV8:CV63)</f>
        <v>0</v>
      </c>
      <c r="CX64" s="42">
        <f>SUM(CX8:CX63)</f>
        <v>0</v>
      </c>
      <c r="CY64" s="42">
        <f>SUM(CY8:CY63)</f>
        <v>0</v>
      </c>
      <c r="DA64" s="42">
        <f>SUM(DA8:DA63)</f>
        <v>0</v>
      </c>
      <c r="DB64" s="42">
        <f>SUM(DB8:DB63)</f>
        <v>0</v>
      </c>
      <c r="DD64" s="42">
        <f>SUM(DD8:DD63)</f>
        <v>0</v>
      </c>
      <c r="DE64" s="42">
        <f>SUM(DE8:DE63)</f>
        <v>0</v>
      </c>
      <c r="DG64" s="42">
        <f>SUM(DG8:DG63)</f>
        <v>0</v>
      </c>
      <c r="DH64" s="42">
        <f>SUM(DH8:DH63)</f>
        <v>0</v>
      </c>
      <c r="DJ64" s="42">
        <f>SUM(DJ8:DJ63)</f>
        <v>0</v>
      </c>
      <c r="DK64" s="42">
        <f>SUM(DK8:DK63)</f>
        <v>0</v>
      </c>
      <c r="DM64" s="42">
        <f>SUM(DM8:DM63)</f>
        <v>0</v>
      </c>
      <c r="DN64" s="42">
        <f>SUM(DN8:DN63)</f>
        <v>0</v>
      </c>
      <c r="DP64" s="42">
        <f>SUM(DP8:DP63)</f>
        <v>0</v>
      </c>
      <c r="DQ64" s="42">
        <f>SUM(DQ8:DQ63)</f>
        <v>0</v>
      </c>
      <c r="DS64" s="42">
        <f>SUM(DS8:DS63)</f>
        <v>0</v>
      </c>
    </row>
    <row r="65" spans="1:123" x14ac:dyDescent="0.2">
      <c r="A65" t="s">
        <v>74</v>
      </c>
      <c r="B65" t="s">
        <v>75</v>
      </c>
      <c r="C65" t="s">
        <v>79</v>
      </c>
      <c r="D65">
        <v>8516</v>
      </c>
      <c r="E65">
        <v>56498</v>
      </c>
      <c r="F65" t="s">
        <v>106</v>
      </c>
      <c r="G65">
        <v>25025</v>
      </c>
      <c r="H65" t="s">
        <v>76</v>
      </c>
      <c r="I65" t="s">
        <v>93</v>
      </c>
      <c r="J65" s="55">
        <v>35400</v>
      </c>
      <c r="K65" s="55">
        <v>39051</v>
      </c>
      <c r="L65">
        <v>59000</v>
      </c>
      <c r="M65">
        <v>0.14499999999999999</v>
      </c>
      <c r="N65">
        <v>0</v>
      </c>
      <c r="O65">
        <v>0</v>
      </c>
      <c r="P65">
        <v>0</v>
      </c>
      <c r="Q65">
        <v>0.14499999999999999</v>
      </c>
      <c r="R65">
        <v>265205</v>
      </c>
      <c r="S65">
        <v>59000</v>
      </c>
      <c r="T65">
        <v>0.14499999999999999</v>
      </c>
      <c r="U65">
        <v>239540</v>
      </c>
      <c r="V65">
        <v>59000</v>
      </c>
      <c r="W65">
        <v>0.14499999999999999</v>
      </c>
      <c r="X65">
        <v>265205</v>
      </c>
      <c r="Y65">
        <v>59000</v>
      </c>
      <c r="Z65">
        <v>0.14499999999999999</v>
      </c>
      <c r="AA65">
        <v>256650</v>
      </c>
      <c r="AB65">
        <v>59000</v>
      </c>
      <c r="AC65">
        <v>0.14499999999999999</v>
      </c>
      <c r="AD65">
        <v>265205</v>
      </c>
      <c r="AE65">
        <v>59000</v>
      </c>
      <c r="AF65">
        <v>0.14499999999999999</v>
      </c>
      <c r="AG65">
        <v>256650</v>
      </c>
      <c r="AH65">
        <v>59000</v>
      </c>
      <c r="AI65">
        <v>0.14499999999999999</v>
      </c>
      <c r="AJ65">
        <v>265205</v>
      </c>
      <c r="AK65">
        <v>59000</v>
      </c>
      <c r="AL65">
        <v>0.14499999999999999</v>
      </c>
      <c r="AM65">
        <v>265205</v>
      </c>
      <c r="AN65">
        <v>59000</v>
      </c>
      <c r="AO65">
        <v>0.14499999999999999</v>
      </c>
      <c r="AP65">
        <v>256650</v>
      </c>
      <c r="AQ65">
        <v>59000</v>
      </c>
      <c r="AR65">
        <v>0.14499999999999999</v>
      </c>
      <c r="AS65">
        <v>265205</v>
      </c>
      <c r="AT65">
        <v>59000</v>
      </c>
      <c r="AU65">
        <v>0.14499999999999999</v>
      </c>
      <c r="AV65">
        <v>256650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">
      <c r="A66" t="s">
        <v>74</v>
      </c>
      <c r="B66" t="s">
        <v>75</v>
      </c>
      <c r="C66" t="s">
        <v>79</v>
      </c>
      <c r="D66">
        <v>8516</v>
      </c>
      <c r="E66">
        <v>56498</v>
      </c>
      <c r="F66" t="s">
        <v>106</v>
      </c>
      <c r="G66">
        <v>25025</v>
      </c>
      <c r="H66" t="s">
        <v>76</v>
      </c>
      <c r="I66" t="s">
        <v>93</v>
      </c>
      <c r="J66" s="55">
        <v>35400</v>
      </c>
      <c r="K66" s="55">
        <v>39051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59000</v>
      </c>
      <c r="AX66">
        <v>0.15</v>
      </c>
      <c r="AY66">
        <v>274350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</row>
    <row r="67" spans="1:123" x14ac:dyDescent="0.2">
      <c r="A67" t="s">
        <v>74</v>
      </c>
      <c r="B67" t="s">
        <v>75</v>
      </c>
      <c r="C67" t="s">
        <v>79</v>
      </c>
      <c r="D67">
        <v>500515</v>
      </c>
      <c r="E67">
        <v>56498</v>
      </c>
      <c r="F67" t="s">
        <v>106</v>
      </c>
      <c r="G67">
        <v>25025</v>
      </c>
      <c r="H67" t="s">
        <v>76</v>
      </c>
      <c r="I67" t="s">
        <v>93</v>
      </c>
      <c r="J67" s="55">
        <v>35400</v>
      </c>
      <c r="K67" s="55">
        <v>39051</v>
      </c>
      <c r="L67">
        <v>21000</v>
      </c>
      <c r="M67">
        <v>0.14499999999999999</v>
      </c>
      <c r="N67">
        <v>0</v>
      </c>
      <c r="O67">
        <v>0</v>
      </c>
      <c r="P67">
        <v>0</v>
      </c>
      <c r="Q67">
        <v>0.14499999999999999</v>
      </c>
      <c r="R67">
        <v>94395</v>
      </c>
      <c r="S67">
        <v>21000</v>
      </c>
      <c r="T67">
        <v>0.14499999999999999</v>
      </c>
      <c r="U67">
        <v>85260</v>
      </c>
      <c r="V67">
        <v>21000</v>
      </c>
      <c r="W67">
        <v>0.14499999999999999</v>
      </c>
      <c r="X67">
        <v>94395</v>
      </c>
      <c r="Y67">
        <v>21000</v>
      </c>
      <c r="Z67">
        <v>0.14499999999999999</v>
      </c>
      <c r="AA67">
        <v>91350</v>
      </c>
      <c r="AB67">
        <v>21000</v>
      </c>
      <c r="AC67">
        <v>0.14499999999999999</v>
      </c>
      <c r="AD67">
        <v>94395</v>
      </c>
      <c r="AE67">
        <v>21000</v>
      </c>
      <c r="AF67">
        <v>0.14499999999999999</v>
      </c>
      <c r="AG67">
        <v>91350</v>
      </c>
      <c r="AH67">
        <v>21000</v>
      </c>
      <c r="AI67">
        <v>0.14499999999999999</v>
      </c>
      <c r="AJ67">
        <v>94395</v>
      </c>
      <c r="AK67">
        <v>21000</v>
      </c>
      <c r="AL67">
        <v>0.14499999999999999</v>
      </c>
      <c r="AM67">
        <v>94395</v>
      </c>
      <c r="AN67">
        <v>21000</v>
      </c>
      <c r="AO67">
        <v>0.14499999999999999</v>
      </c>
      <c r="AP67">
        <v>91350</v>
      </c>
      <c r="AQ67">
        <v>21000</v>
      </c>
      <c r="AR67">
        <v>0.14499999999999999</v>
      </c>
      <c r="AS67">
        <v>94395</v>
      </c>
      <c r="AT67">
        <v>21000</v>
      </c>
      <c r="AU67">
        <v>0.14499999999999999</v>
      </c>
      <c r="AV67">
        <v>91350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">
      <c r="A68" t="s">
        <v>74</v>
      </c>
      <c r="B68" t="s">
        <v>75</v>
      </c>
      <c r="C68" t="s">
        <v>79</v>
      </c>
      <c r="D68">
        <v>500515</v>
      </c>
      <c r="E68">
        <v>56498</v>
      </c>
      <c r="F68" t="s">
        <v>106</v>
      </c>
      <c r="G68">
        <v>25025</v>
      </c>
      <c r="H68" t="s">
        <v>76</v>
      </c>
      <c r="I68" t="s">
        <v>93</v>
      </c>
      <c r="J68" s="55">
        <v>35400</v>
      </c>
      <c r="K68" s="55">
        <v>39051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21000</v>
      </c>
      <c r="AX68">
        <v>0.15</v>
      </c>
      <c r="AY68">
        <v>97650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">
      <c r="A69" t="s">
        <v>125</v>
      </c>
      <c r="G69" s="42" t="s">
        <v>2</v>
      </c>
      <c r="H69" s="42" t="s">
        <v>76</v>
      </c>
      <c r="L69" s="42">
        <f>SUM(L65:L68)</f>
        <v>80000</v>
      </c>
      <c r="R69" s="42">
        <f>SUM(R65:R68)</f>
        <v>359600</v>
      </c>
      <c r="S69" s="42">
        <f>SUM(S65:S68)</f>
        <v>80000</v>
      </c>
      <c r="U69" s="42">
        <f>SUM(U65:U68)</f>
        <v>324800</v>
      </c>
      <c r="V69" s="42">
        <f>SUM(V65:V68)</f>
        <v>80000</v>
      </c>
      <c r="X69" s="42">
        <f>SUM(X65:X68)</f>
        <v>359600</v>
      </c>
      <c r="Y69" s="42">
        <f>SUM(Y65:Y68)</f>
        <v>80000</v>
      </c>
      <c r="AA69" s="42">
        <f>SUM(AA65:AA68)</f>
        <v>348000</v>
      </c>
      <c r="AB69" s="42">
        <f>SUM(AB65:AB68)</f>
        <v>80000</v>
      </c>
      <c r="AD69" s="42">
        <f>SUM(AD65:AD68)</f>
        <v>359600</v>
      </c>
      <c r="AE69" s="42">
        <f>SUM(AE65:AE68)</f>
        <v>80000</v>
      </c>
      <c r="AG69" s="42">
        <f>SUM(AG65:AG68)</f>
        <v>348000</v>
      </c>
      <c r="AH69" s="42">
        <f>SUM(AH65:AH68)</f>
        <v>80000</v>
      </c>
      <c r="AJ69" s="42">
        <f>SUM(AJ65:AJ68)</f>
        <v>359600</v>
      </c>
      <c r="AK69" s="42">
        <f>SUM(AK65:AK68)</f>
        <v>80000</v>
      </c>
      <c r="AM69" s="42">
        <f>SUM(AM65:AM68)</f>
        <v>359600</v>
      </c>
      <c r="AN69" s="42">
        <f>SUM(AN65:AN68)</f>
        <v>80000</v>
      </c>
      <c r="AP69" s="42">
        <f>SUM(AP65:AP68)</f>
        <v>348000</v>
      </c>
      <c r="AQ69" s="42">
        <f>SUM(AQ65:AQ68)</f>
        <v>80000</v>
      </c>
      <c r="AS69" s="42">
        <f>SUM(AS65:AS68)</f>
        <v>359600</v>
      </c>
      <c r="AT69" s="42">
        <f>SUM(AT65:AT68)</f>
        <v>80000</v>
      </c>
      <c r="AV69" s="42">
        <f>SUM(AV65:AV68)</f>
        <v>348000</v>
      </c>
      <c r="AW69" s="42">
        <f>SUM(AW65:AW68)</f>
        <v>80000</v>
      </c>
      <c r="AY69" s="42">
        <f>SUM(AY65:AY68)</f>
        <v>372000</v>
      </c>
      <c r="AZ69" s="42">
        <f>SUM(AZ65:AZ68)</f>
        <v>0</v>
      </c>
      <c r="BB69" s="42">
        <f>SUM(BB65:BB68)</f>
        <v>0</v>
      </c>
      <c r="BC69" s="42">
        <f>SUM(BC65:BC68)</f>
        <v>0</v>
      </c>
      <c r="BE69" s="42">
        <f>SUM(BE65:BE68)</f>
        <v>0</v>
      </c>
      <c r="BF69" s="42">
        <f>SUM(BF65:BF68)</f>
        <v>0</v>
      </c>
      <c r="BH69" s="42">
        <f>SUM(BH65:BH68)</f>
        <v>0</v>
      </c>
      <c r="BI69" s="42">
        <f>SUM(BI65:BI68)</f>
        <v>0</v>
      </c>
      <c r="BK69" s="42">
        <f>SUM(BK65:BK68)</f>
        <v>0</v>
      </c>
      <c r="BL69" s="42">
        <f>SUM(BL65:BL68)</f>
        <v>0</v>
      </c>
      <c r="BN69" s="42">
        <f>SUM(BN65:BN68)</f>
        <v>0</v>
      </c>
      <c r="BO69" s="42">
        <f>SUM(BO65:BO68)</f>
        <v>0</v>
      </c>
      <c r="BQ69" s="42">
        <f>SUM(BQ65:BQ68)</f>
        <v>0</v>
      </c>
      <c r="BR69" s="42">
        <f>SUM(BR65:BR68)</f>
        <v>0</v>
      </c>
      <c r="BT69" s="42">
        <f>SUM(BT65:BT68)</f>
        <v>0</v>
      </c>
      <c r="BU69" s="42">
        <f>SUM(BU65:BU68)</f>
        <v>0</v>
      </c>
      <c r="BW69" s="42">
        <f>SUM(BW65:BW68)</f>
        <v>0</v>
      </c>
      <c r="BX69" s="42">
        <f>SUM(BX65:BX68)</f>
        <v>0</v>
      </c>
      <c r="BZ69" s="42">
        <f>SUM(BZ65:BZ68)</f>
        <v>0</v>
      </c>
      <c r="CA69" s="42">
        <f>SUM(CA65:CA68)</f>
        <v>0</v>
      </c>
      <c r="CC69" s="42">
        <f>SUM(CC65:CC68)</f>
        <v>0</v>
      </c>
      <c r="CD69" s="42">
        <f>SUM(CD65:CD68)</f>
        <v>0</v>
      </c>
      <c r="CF69" s="42">
        <f>SUM(CF65:CF68)</f>
        <v>0</v>
      </c>
      <c r="CG69" s="42">
        <f>SUM(CG65:CG68)</f>
        <v>0</v>
      </c>
      <c r="CI69" s="42">
        <f>SUM(CI65:CI68)</f>
        <v>0</v>
      </c>
      <c r="CJ69" s="42">
        <f>SUM(CJ65:CJ68)</f>
        <v>0</v>
      </c>
      <c r="CL69" s="42">
        <f>SUM(CL65:CL68)</f>
        <v>0</v>
      </c>
      <c r="CM69" s="42">
        <f>SUM(CM65:CM68)</f>
        <v>0</v>
      </c>
      <c r="CO69" s="42">
        <f>SUM(CO65:CO68)</f>
        <v>0</v>
      </c>
      <c r="CP69" s="42">
        <f>SUM(CP65:CP68)</f>
        <v>0</v>
      </c>
      <c r="CR69" s="42">
        <f>SUM(CR65:CR68)</f>
        <v>0</v>
      </c>
      <c r="CS69" s="42">
        <f>SUM(CS65:CS68)</f>
        <v>0</v>
      </c>
      <c r="CU69" s="42">
        <f>SUM(CU65:CU68)</f>
        <v>0</v>
      </c>
      <c r="CV69" s="42">
        <f>SUM(CV65:CV68)</f>
        <v>0</v>
      </c>
      <c r="CX69" s="42">
        <f>SUM(CX65:CX68)</f>
        <v>0</v>
      </c>
      <c r="CY69" s="42">
        <f>SUM(CY65:CY68)</f>
        <v>0</v>
      </c>
      <c r="DA69" s="42">
        <f>SUM(DA65:DA68)</f>
        <v>0</v>
      </c>
      <c r="DB69" s="42">
        <f>SUM(DB65:DB68)</f>
        <v>0</v>
      </c>
      <c r="DD69" s="42">
        <f>SUM(DD65:DD68)</f>
        <v>0</v>
      </c>
      <c r="DE69" s="42">
        <f>SUM(DE65:DE68)</f>
        <v>0</v>
      </c>
      <c r="DG69" s="42">
        <f>SUM(DG65:DG68)</f>
        <v>0</v>
      </c>
      <c r="DH69" s="42">
        <f>SUM(DH65:DH68)</f>
        <v>0</v>
      </c>
      <c r="DJ69" s="42">
        <f>SUM(DJ65:DJ68)</f>
        <v>0</v>
      </c>
      <c r="DK69" s="42">
        <f>SUM(DK65:DK68)</f>
        <v>0</v>
      </c>
      <c r="DM69" s="42">
        <f>SUM(DM65:DM68)</f>
        <v>0</v>
      </c>
      <c r="DN69" s="42">
        <f>SUM(DN65:DN68)</f>
        <v>0</v>
      </c>
      <c r="DP69" s="42">
        <f>SUM(DP65:DP68)</f>
        <v>0</v>
      </c>
      <c r="DQ69" s="42">
        <f>SUM(DQ65:DQ68)</f>
        <v>0</v>
      </c>
      <c r="DS69" s="42">
        <f>SUM(DS65:DS68)</f>
        <v>0</v>
      </c>
    </row>
    <row r="70" spans="1:123" x14ac:dyDescent="0.2">
      <c r="A70" t="s">
        <v>74</v>
      </c>
      <c r="B70" t="s">
        <v>75</v>
      </c>
      <c r="C70" t="s">
        <v>80</v>
      </c>
      <c r="D70">
        <v>500154</v>
      </c>
      <c r="E70">
        <v>56709</v>
      </c>
      <c r="F70" t="s">
        <v>124</v>
      </c>
      <c r="G70">
        <v>20748</v>
      </c>
      <c r="H70" t="s">
        <v>76</v>
      </c>
      <c r="I70" t="s">
        <v>93</v>
      </c>
      <c r="J70" s="55">
        <v>33664</v>
      </c>
      <c r="K70" s="55">
        <v>37315</v>
      </c>
      <c r="L70">
        <v>0</v>
      </c>
      <c r="M70">
        <v>0</v>
      </c>
      <c r="N70">
        <v>3.6899998784065247E-2</v>
      </c>
      <c r="O70">
        <v>5.7000000961124897E-3</v>
      </c>
      <c r="P70">
        <v>1.7999999690800905E-3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">
      <c r="A71" t="s">
        <v>125</v>
      </c>
      <c r="G71" s="42" t="s">
        <v>2</v>
      </c>
      <c r="H71" s="42" t="s">
        <v>76</v>
      </c>
      <c r="L71" s="42">
        <f>SUM(L70:L70)</f>
        <v>0</v>
      </c>
      <c r="R71" s="42">
        <f>SUM(R70:R70)</f>
        <v>0</v>
      </c>
      <c r="S71" s="42">
        <f>SUM(S70:S70)</f>
        <v>0</v>
      </c>
      <c r="U71" s="42">
        <f>SUM(U70:U70)</f>
        <v>0</v>
      </c>
      <c r="V71" s="42">
        <f>SUM(V70:V70)</f>
        <v>0</v>
      </c>
      <c r="X71" s="42">
        <f>SUM(X70:X70)</f>
        <v>0</v>
      </c>
      <c r="Y71" s="42">
        <f>SUM(Y70:Y70)</f>
        <v>0</v>
      </c>
      <c r="AA71" s="42">
        <f>SUM(AA70:AA70)</f>
        <v>0</v>
      </c>
      <c r="AB71" s="42">
        <f>SUM(AB70:AB70)</f>
        <v>0</v>
      </c>
      <c r="AD71" s="42">
        <f>SUM(AD70:AD70)</f>
        <v>0</v>
      </c>
      <c r="AE71" s="42">
        <f>SUM(AE70:AE70)</f>
        <v>0</v>
      </c>
      <c r="AG71" s="42">
        <f>SUM(AG70:AG70)</f>
        <v>0</v>
      </c>
      <c r="AH71" s="42">
        <f>SUM(AH70:AH70)</f>
        <v>0</v>
      </c>
      <c r="AJ71" s="42">
        <f>SUM(AJ70:AJ70)</f>
        <v>0</v>
      </c>
      <c r="AK71" s="42">
        <f>SUM(AK70:AK70)</f>
        <v>0</v>
      </c>
      <c r="AM71" s="42">
        <f>SUM(AM70:AM70)</f>
        <v>0</v>
      </c>
      <c r="AN71" s="42">
        <f>SUM(AN70:AN70)</f>
        <v>0</v>
      </c>
      <c r="AP71" s="42">
        <f>SUM(AP70:AP70)</f>
        <v>0</v>
      </c>
      <c r="AQ71" s="42">
        <f>SUM(AQ70:AQ70)</f>
        <v>0</v>
      </c>
      <c r="AS71" s="42">
        <f>SUM(AS70:AS70)</f>
        <v>0</v>
      </c>
      <c r="AT71" s="42">
        <f>SUM(AT70:AT70)</f>
        <v>0</v>
      </c>
      <c r="AV71" s="42">
        <f>SUM(AV70:AV70)</f>
        <v>0</v>
      </c>
      <c r="AW71" s="42">
        <f>SUM(AW70:AW70)</f>
        <v>0</v>
      </c>
      <c r="AY71" s="42">
        <f>SUM(AY70:AY70)</f>
        <v>0</v>
      </c>
      <c r="AZ71" s="42">
        <f>SUM(AZ70:AZ70)</f>
        <v>0</v>
      </c>
      <c r="BB71" s="42">
        <f>SUM(BB70:BB70)</f>
        <v>0</v>
      </c>
      <c r="BC71" s="42">
        <f>SUM(BC70:BC70)</f>
        <v>0</v>
      </c>
      <c r="BE71" s="42">
        <f>SUM(BE70:BE70)</f>
        <v>0</v>
      </c>
      <c r="BF71" s="42">
        <f>SUM(BF70:BF70)</f>
        <v>0</v>
      </c>
      <c r="BH71" s="42">
        <f>SUM(BH70:BH70)</f>
        <v>0</v>
      </c>
      <c r="BI71" s="42">
        <f>SUM(BI70:BI70)</f>
        <v>0</v>
      </c>
      <c r="BK71" s="42">
        <f>SUM(BK70:BK70)</f>
        <v>0</v>
      </c>
      <c r="BL71" s="42">
        <f>SUM(BL70:BL70)</f>
        <v>0</v>
      </c>
      <c r="BN71" s="42">
        <f>SUM(BN70:BN70)</f>
        <v>0</v>
      </c>
      <c r="BO71" s="42">
        <f>SUM(BO70:BO70)</f>
        <v>0</v>
      </c>
      <c r="BQ71" s="42">
        <f>SUM(BQ70:BQ70)</f>
        <v>0</v>
      </c>
      <c r="BR71" s="42">
        <f>SUM(BR70:BR70)</f>
        <v>0</v>
      </c>
      <c r="BT71" s="42">
        <f>SUM(BT70:BT70)</f>
        <v>0</v>
      </c>
      <c r="BU71" s="42">
        <f>SUM(BU70:BU70)</f>
        <v>0</v>
      </c>
      <c r="BW71" s="42">
        <f>SUM(BW70:BW70)</f>
        <v>0</v>
      </c>
      <c r="BX71" s="42">
        <f>SUM(BX70:BX70)</f>
        <v>0</v>
      </c>
      <c r="BZ71" s="42">
        <f>SUM(BZ70:BZ70)</f>
        <v>0</v>
      </c>
      <c r="CA71" s="42">
        <f>SUM(CA70:CA70)</f>
        <v>0</v>
      </c>
      <c r="CC71" s="42">
        <f>SUM(CC70:CC70)</f>
        <v>0</v>
      </c>
      <c r="CD71" s="42">
        <f>SUM(CD70:CD70)</f>
        <v>0</v>
      </c>
      <c r="CF71" s="42">
        <f>SUM(CF70:CF70)</f>
        <v>0</v>
      </c>
      <c r="CG71" s="42">
        <f>SUM(CG70:CG70)</f>
        <v>0</v>
      </c>
      <c r="CI71" s="42">
        <f>SUM(CI70:CI70)</f>
        <v>0</v>
      </c>
      <c r="CJ71" s="42">
        <f>SUM(CJ70:CJ70)</f>
        <v>0</v>
      </c>
      <c r="CL71" s="42">
        <f>SUM(CL70:CL70)</f>
        <v>0</v>
      </c>
      <c r="CM71" s="42">
        <f>SUM(CM70:CM70)</f>
        <v>0</v>
      </c>
      <c r="CO71" s="42">
        <f>SUM(CO70:CO70)</f>
        <v>0</v>
      </c>
      <c r="CP71" s="42">
        <f>SUM(CP70:CP70)</f>
        <v>0</v>
      </c>
      <c r="CR71" s="42">
        <f>SUM(CR70:CR70)</f>
        <v>0</v>
      </c>
      <c r="CS71" s="42">
        <f>SUM(CS70:CS70)</f>
        <v>0</v>
      </c>
      <c r="CU71" s="42">
        <f>SUM(CU70:CU70)</f>
        <v>0</v>
      </c>
      <c r="CV71" s="42">
        <f>SUM(CV70:CV70)</f>
        <v>0</v>
      </c>
      <c r="CX71" s="42">
        <f>SUM(CX70:CX70)</f>
        <v>0</v>
      </c>
      <c r="CY71" s="42">
        <f>SUM(CY70:CY70)</f>
        <v>0</v>
      </c>
      <c r="DA71" s="42">
        <f>SUM(DA70:DA70)</f>
        <v>0</v>
      </c>
      <c r="DB71" s="42">
        <f>SUM(DB70:DB70)</f>
        <v>0</v>
      </c>
      <c r="DD71" s="42">
        <f>SUM(DD70:DD70)</f>
        <v>0</v>
      </c>
      <c r="DE71" s="42">
        <f>SUM(DE70:DE70)</f>
        <v>0</v>
      </c>
      <c r="DG71" s="42">
        <f>SUM(DG70:DG70)</f>
        <v>0</v>
      </c>
      <c r="DH71" s="42">
        <f>SUM(DH70:DH70)</f>
        <v>0</v>
      </c>
      <c r="DJ71" s="42">
        <f>SUM(DJ70:DJ70)</f>
        <v>0</v>
      </c>
      <c r="DK71" s="42">
        <f>SUM(DK70:DK70)</f>
        <v>0</v>
      </c>
      <c r="DM71" s="42">
        <f>SUM(DM70:DM70)</f>
        <v>0</v>
      </c>
      <c r="DN71" s="42">
        <f>SUM(DN70:DN70)</f>
        <v>0</v>
      </c>
      <c r="DP71" s="42">
        <f>SUM(DP70:DP70)</f>
        <v>0</v>
      </c>
      <c r="DQ71" s="42">
        <f>SUM(DQ70:DQ70)</f>
        <v>0</v>
      </c>
      <c r="DS71" s="42">
        <f>SUM(DS70:DS70)</f>
        <v>0</v>
      </c>
    </row>
    <row r="72" spans="1:123" x14ac:dyDescent="0.2">
      <c r="A72" t="s">
        <v>74</v>
      </c>
      <c r="B72" t="s">
        <v>75</v>
      </c>
      <c r="C72" t="s">
        <v>81</v>
      </c>
      <c r="D72">
        <v>6828</v>
      </c>
      <c r="E72">
        <v>500179</v>
      </c>
      <c r="F72" t="s">
        <v>95</v>
      </c>
      <c r="G72">
        <v>27161</v>
      </c>
      <c r="H72" t="s">
        <v>76</v>
      </c>
      <c r="I72" t="s">
        <v>93</v>
      </c>
      <c r="J72" s="55">
        <v>36617</v>
      </c>
      <c r="K72" s="55">
        <v>37711</v>
      </c>
      <c r="L72">
        <v>11000</v>
      </c>
      <c r="M72">
        <v>2.5000000000000001E-2</v>
      </c>
      <c r="N72">
        <v>0</v>
      </c>
      <c r="O72">
        <v>0</v>
      </c>
      <c r="P72">
        <v>0</v>
      </c>
      <c r="Q72">
        <v>2.5000000000000001E-2</v>
      </c>
      <c r="R72">
        <v>8525</v>
      </c>
      <c r="S72">
        <v>11000</v>
      </c>
      <c r="T72">
        <v>2.5000000000000001E-2</v>
      </c>
      <c r="U72">
        <v>7700</v>
      </c>
      <c r="V72">
        <v>11000</v>
      </c>
      <c r="W72">
        <v>2.5000000000000001E-2</v>
      </c>
      <c r="X72">
        <v>8525</v>
      </c>
      <c r="Y72">
        <v>11000</v>
      </c>
      <c r="Z72">
        <v>2.5000000000000001E-2</v>
      </c>
      <c r="AA72">
        <v>8250</v>
      </c>
      <c r="AB72">
        <v>11000</v>
      </c>
      <c r="AC72">
        <v>2.5000000000000001E-2</v>
      </c>
      <c r="AD72">
        <v>8525</v>
      </c>
      <c r="AE72">
        <v>11000</v>
      </c>
      <c r="AF72">
        <v>2.5000000000000001E-2</v>
      </c>
      <c r="AG72">
        <v>8250</v>
      </c>
      <c r="AH72">
        <v>11000</v>
      </c>
      <c r="AI72">
        <v>2.5000000000000001E-2</v>
      </c>
      <c r="AJ72">
        <v>8525</v>
      </c>
      <c r="AK72">
        <v>11000</v>
      </c>
      <c r="AL72">
        <v>2.5000000000000001E-2</v>
      </c>
      <c r="AM72">
        <v>8525</v>
      </c>
      <c r="AN72">
        <v>11000</v>
      </c>
      <c r="AO72">
        <v>2.5000000000000001E-2</v>
      </c>
      <c r="AP72">
        <v>8250</v>
      </c>
      <c r="AQ72">
        <v>11000</v>
      </c>
      <c r="AR72">
        <v>2.5000000000000001E-2</v>
      </c>
      <c r="AS72">
        <v>8525</v>
      </c>
      <c r="AT72">
        <v>11000</v>
      </c>
      <c r="AU72">
        <v>2.5000000000000001E-2</v>
      </c>
      <c r="AV72">
        <v>8250</v>
      </c>
      <c r="AW72">
        <v>11000</v>
      </c>
      <c r="AX72">
        <v>2.5000000000000001E-2</v>
      </c>
      <c r="AY72">
        <v>8525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">
      <c r="A73" t="s">
        <v>74</v>
      </c>
      <c r="B73" t="s">
        <v>75</v>
      </c>
      <c r="C73" t="s">
        <v>81</v>
      </c>
      <c r="D73">
        <v>8042</v>
      </c>
      <c r="E73">
        <v>500179</v>
      </c>
      <c r="F73" t="s">
        <v>95</v>
      </c>
      <c r="G73">
        <v>27161</v>
      </c>
      <c r="H73" t="s">
        <v>76</v>
      </c>
      <c r="I73" t="s">
        <v>93</v>
      </c>
      <c r="J73" s="55">
        <v>36617</v>
      </c>
      <c r="K73" s="55">
        <v>37711</v>
      </c>
      <c r="L73">
        <v>11400</v>
      </c>
      <c r="M73">
        <v>2.5000000000000001E-2</v>
      </c>
      <c r="N73">
        <v>0</v>
      </c>
      <c r="O73">
        <v>0</v>
      </c>
      <c r="P73">
        <v>0</v>
      </c>
      <c r="Q73">
        <v>2.5000000000000001E-2</v>
      </c>
      <c r="R73">
        <v>8835</v>
      </c>
      <c r="S73">
        <v>11400</v>
      </c>
      <c r="T73">
        <v>2.5000000000000001E-2</v>
      </c>
      <c r="U73">
        <v>7980</v>
      </c>
      <c r="V73">
        <v>11400</v>
      </c>
      <c r="W73">
        <v>2.5000000000000001E-2</v>
      </c>
      <c r="X73">
        <v>8835</v>
      </c>
      <c r="Y73">
        <v>11400</v>
      </c>
      <c r="Z73">
        <v>2.5000000000000001E-2</v>
      </c>
      <c r="AA73">
        <v>8550</v>
      </c>
      <c r="AB73">
        <v>11400</v>
      </c>
      <c r="AC73">
        <v>2.5000000000000001E-2</v>
      </c>
      <c r="AD73">
        <v>8835</v>
      </c>
      <c r="AE73">
        <v>11400</v>
      </c>
      <c r="AF73">
        <v>2.5000000000000001E-2</v>
      </c>
      <c r="AG73">
        <v>8550</v>
      </c>
      <c r="AH73">
        <v>11400</v>
      </c>
      <c r="AI73">
        <v>2.5000000000000001E-2</v>
      </c>
      <c r="AJ73">
        <v>8835</v>
      </c>
      <c r="AK73">
        <v>11400</v>
      </c>
      <c r="AL73">
        <v>2.5000000000000001E-2</v>
      </c>
      <c r="AM73">
        <v>8835</v>
      </c>
      <c r="AN73">
        <v>11400</v>
      </c>
      <c r="AO73">
        <v>2.5000000000000001E-2</v>
      </c>
      <c r="AP73">
        <v>8550</v>
      </c>
      <c r="AQ73">
        <v>11400</v>
      </c>
      <c r="AR73">
        <v>2.5000000000000001E-2</v>
      </c>
      <c r="AS73">
        <v>8835</v>
      </c>
      <c r="AT73">
        <v>11400</v>
      </c>
      <c r="AU73">
        <v>2.5000000000000001E-2</v>
      </c>
      <c r="AV73">
        <v>8550</v>
      </c>
      <c r="AW73">
        <v>11400</v>
      </c>
      <c r="AX73">
        <v>2.5000000000000001E-2</v>
      </c>
      <c r="AY73">
        <v>8835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">
      <c r="A74" t="s">
        <v>74</v>
      </c>
      <c r="B74" t="s">
        <v>75</v>
      </c>
      <c r="C74" t="s">
        <v>81</v>
      </c>
      <c r="D74">
        <v>8516</v>
      </c>
      <c r="E74">
        <v>500179</v>
      </c>
      <c r="F74" t="s">
        <v>95</v>
      </c>
      <c r="G74">
        <v>27161</v>
      </c>
      <c r="H74" t="s">
        <v>76</v>
      </c>
      <c r="I74" t="s">
        <v>93</v>
      </c>
      <c r="J74" s="55">
        <v>36617</v>
      </c>
      <c r="K74" s="55">
        <v>37711</v>
      </c>
      <c r="L74">
        <v>8000</v>
      </c>
      <c r="M74">
        <v>2.5000000000000001E-2</v>
      </c>
      <c r="N74">
        <v>0</v>
      </c>
      <c r="O74">
        <v>0</v>
      </c>
      <c r="P74">
        <v>0</v>
      </c>
      <c r="Q74">
        <v>2.5000000000000001E-2</v>
      </c>
      <c r="R74">
        <v>6200</v>
      </c>
      <c r="S74">
        <v>8000</v>
      </c>
      <c r="T74">
        <v>2.5000000000000001E-2</v>
      </c>
      <c r="U74">
        <v>5600</v>
      </c>
      <c r="V74">
        <v>8000</v>
      </c>
      <c r="W74">
        <v>2.5000000000000001E-2</v>
      </c>
      <c r="X74">
        <v>6200</v>
      </c>
      <c r="Y74">
        <v>8000</v>
      </c>
      <c r="Z74">
        <v>2.5000000000000001E-2</v>
      </c>
      <c r="AA74">
        <v>6000</v>
      </c>
      <c r="AB74">
        <v>8000</v>
      </c>
      <c r="AC74">
        <v>2.5000000000000001E-2</v>
      </c>
      <c r="AD74">
        <v>6200</v>
      </c>
      <c r="AE74">
        <v>8000</v>
      </c>
      <c r="AF74">
        <v>2.5000000000000001E-2</v>
      </c>
      <c r="AG74">
        <v>6000</v>
      </c>
      <c r="AH74">
        <v>8000</v>
      </c>
      <c r="AI74">
        <v>2.5000000000000001E-2</v>
      </c>
      <c r="AJ74">
        <v>6200</v>
      </c>
      <c r="AK74">
        <v>8000</v>
      </c>
      <c r="AL74">
        <v>2.5000000000000001E-2</v>
      </c>
      <c r="AM74">
        <v>6200</v>
      </c>
      <c r="AN74">
        <v>8000</v>
      </c>
      <c r="AO74">
        <v>2.5000000000000001E-2</v>
      </c>
      <c r="AP74">
        <v>6000</v>
      </c>
      <c r="AQ74">
        <v>8000</v>
      </c>
      <c r="AR74">
        <v>2.5000000000000001E-2</v>
      </c>
      <c r="AS74">
        <v>6200</v>
      </c>
      <c r="AT74">
        <v>8000</v>
      </c>
      <c r="AU74">
        <v>2.5000000000000001E-2</v>
      </c>
      <c r="AV74">
        <v>6000</v>
      </c>
      <c r="AW74">
        <v>8000</v>
      </c>
      <c r="AX74">
        <v>2.5000000000000001E-2</v>
      </c>
      <c r="AY74">
        <v>6200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">
      <c r="A75" t="s">
        <v>74</v>
      </c>
      <c r="B75" t="s">
        <v>75</v>
      </c>
      <c r="C75" t="s">
        <v>81</v>
      </c>
      <c r="D75">
        <v>10594</v>
      </c>
      <c r="E75">
        <v>500179</v>
      </c>
      <c r="F75" t="s">
        <v>95</v>
      </c>
      <c r="G75">
        <v>27161</v>
      </c>
      <c r="H75" t="s">
        <v>76</v>
      </c>
      <c r="I75" t="s">
        <v>93</v>
      </c>
      <c r="J75" s="55">
        <v>36617</v>
      </c>
      <c r="K75" s="55">
        <v>37711</v>
      </c>
      <c r="L75">
        <v>1400</v>
      </c>
      <c r="M75">
        <v>2.5000000000000001E-2</v>
      </c>
      <c r="N75">
        <v>0</v>
      </c>
      <c r="O75">
        <v>0</v>
      </c>
      <c r="P75">
        <v>0</v>
      </c>
      <c r="Q75">
        <v>2.5000000000000001E-2</v>
      </c>
      <c r="R75">
        <v>1085</v>
      </c>
      <c r="S75">
        <v>1400</v>
      </c>
      <c r="T75">
        <v>2.5000000000000001E-2</v>
      </c>
      <c r="U75">
        <v>980</v>
      </c>
      <c r="V75">
        <v>1400</v>
      </c>
      <c r="W75">
        <v>2.5000000000000001E-2</v>
      </c>
      <c r="X75">
        <v>1085</v>
      </c>
      <c r="Y75">
        <v>1400</v>
      </c>
      <c r="Z75">
        <v>2.5000000000000001E-2</v>
      </c>
      <c r="AA75">
        <v>1050</v>
      </c>
      <c r="AB75">
        <v>1400</v>
      </c>
      <c r="AC75">
        <v>2.5000000000000001E-2</v>
      </c>
      <c r="AD75">
        <v>1085</v>
      </c>
      <c r="AE75">
        <v>1400</v>
      </c>
      <c r="AF75">
        <v>2.5000000000000001E-2</v>
      </c>
      <c r="AG75">
        <v>1050</v>
      </c>
      <c r="AH75">
        <v>1400</v>
      </c>
      <c r="AI75">
        <v>2.5000000000000001E-2</v>
      </c>
      <c r="AJ75">
        <v>1085</v>
      </c>
      <c r="AK75">
        <v>1400</v>
      </c>
      <c r="AL75">
        <v>2.5000000000000001E-2</v>
      </c>
      <c r="AM75">
        <v>1085</v>
      </c>
      <c r="AN75">
        <v>1400</v>
      </c>
      <c r="AO75">
        <v>2.5000000000000001E-2</v>
      </c>
      <c r="AP75">
        <v>1050</v>
      </c>
      <c r="AQ75">
        <v>1400</v>
      </c>
      <c r="AR75">
        <v>2.5000000000000001E-2</v>
      </c>
      <c r="AS75">
        <v>1085</v>
      </c>
      <c r="AT75">
        <v>1400</v>
      </c>
      <c r="AU75">
        <v>2.5000000000000001E-2</v>
      </c>
      <c r="AV75">
        <v>1050</v>
      </c>
      <c r="AW75">
        <v>1400</v>
      </c>
      <c r="AX75">
        <v>2.5000000000000001E-2</v>
      </c>
      <c r="AY75">
        <v>1085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">
      <c r="A76" t="s">
        <v>74</v>
      </c>
      <c r="B76" t="s">
        <v>75</v>
      </c>
      <c r="C76" t="s">
        <v>81</v>
      </c>
      <c r="D76">
        <v>56943</v>
      </c>
      <c r="E76">
        <v>500179</v>
      </c>
      <c r="F76" t="s">
        <v>95</v>
      </c>
      <c r="G76">
        <v>27161</v>
      </c>
      <c r="H76" t="s">
        <v>76</v>
      </c>
      <c r="I76" t="s">
        <v>93</v>
      </c>
      <c r="J76" s="55">
        <v>36617</v>
      </c>
      <c r="K76" s="55">
        <v>37711</v>
      </c>
      <c r="L76">
        <v>11600</v>
      </c>
      <c r="M76">
        <v>2.5000000000000001E-2</v>
      </c>
      <c r="N76">
        <v>0</v>
      </c>
      <c r="O76">
        <v>0</v>
      </c>
      <c r="P76">
        <v>0</v>
      </c>
      <c r="Q76">
        <v>2.5000000000000001E-2</v>
      </c>
      <c r="R76">
        <v>8990</v>
      </c>
      <c r="S76">
        <v>11600</v>
      </c>
      <c r="T76">
        <v>2.5000000000000001E-2</v>
      </c>
      <c r="U76">
        <v>8120</v>
      </c>
      <c r="V76">
        <v>11600</v>
      </c>
      <c r="W76">
        <v>2.5000000000000001E-2</v>
      </c>
      <c r="X76">
        <v>8990</v>
      </c>
      <c r="Y76">
        <v>11600</v>
      </c>
      <c r="Z76">
        <v>2.5000000000000001E-2</v>
      </c>
      <c r="AA76">
        <v>8700</v>
      </c>
      <c r="AB76">
        <v>11600</v>
      </c>
      <c r="AC76">
        <v>2.5000000000000001E-2</v>
      </c>
      <c r="AD76">
        <v>8990</v>
      </c>
      <c r="AE76">
        <v>11600</v>
      </c>
      <c r="AF76">
        <v>2.5000000000000001E-2</v>
      </c>
      <c r="AG76">
        <v>8700</v>
      </c>
      <c r="AH76">
        <v>11600</v>
      </c>
      <c r="AI76">
        <v>2.5000000000000001E-2</v>
      </c>
      <c r="AJ76">
        <v>8990</v>
      </c>
      <c r="AK76">
        <v>11600</v>
      </c>
      <c r="AL76">
        <v>2.5000000000000001E-2</v>
      </c>
      <c r="AM76">
        <v>8990</v>
      </c>
      <c r="AN76">
        <v>11600</v>
      </c>
      <c r="AO76">
        <v>2.5000000000000001E-2</v>
      </c>
      <c r="AP76">
        <v>8700</v>
      </c>
      <c r="AQ76">
        <v>11600</v>
      </c>
      <c r="AR76">
        <v>2.5000000000000001E-2</v>
      </c>
      <c r="AS76">
        <v>8990</v>
      </c>
      <c r="AT76">
        <v>11600</v>
      </c>
      <c r="AU76">
        <v>2.5000000000000001E-2</v>
      </c>
      <c r="AV76">
        <v>8700</v>
      </c>
      <c r="AW76">
        <v>11600</v>
      </c>
      <c r="AX76">
        <v>2.5000000000000001E-2</v>
      </c>
      <c r="AY76">
        <v>8990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">
      <c r="A77" t="s">
        <v>74</v>
      </c>
      <c r="B77" t="s">
        <v>75</v>
      </c>
      <c r="C77" t="s">
        <v>81</v>
      </c>
      <c r="D77">
        <v>57245</v>
      </c>
      <c r="E77">
        <v>500179</v>
      </c>
      <c r="F77" t="s">
        <v>95</v>
      </c>
      <c r="G77">
        <v>27161</v>
      </c>
      <c r="H77" t="s">
        <v>76</v>
      </c>
      <c r="I77" t="s">
        <v>93</v>
      </c>
      <c r="J77" s="55">
        <v>36617</v>
      </c>
      <c r="K77" s="55">
        <v>37711</v>
      </c>
      <c r="L77">
        <v>7000</v>
      </c>
      <c r="M77">
        <v>2.5000000000000001E-2</v>
      </c>
      <c r="N77">
        <v>0</v>
      </c>
      <c r="O77">
        <v>0</v>
      </c>
      <c r="P77">
        <v>0</v>
      </c>
      <c r="Q77">
        <v>2.5000000000000001E-2</v>
      </c>
      <c r="R77">
        <v>5425</v>
      </c>
      <c r="S77">
        <v>7000</v>
      </c>
      <c r="T77">
        <v>2.5000000000000001E-2</v>
      </c>
      <c r="U77">
        <v>4900</v>
      </c>
      <c r="V77">
        <v>7000</v>
      </c>
      <c r="W77">
        <v>2.5000000000000001E-2</v>
      </c>
      <c r="X77">
        <v>5425</v>
      </c>
      <c r="Y77">
        <v>7000</v>
      </c>
      <c r="Z77">
        <v>2.5000000000000001E-2</v>
      </c>
      <c r="AA77">
        <v>5250</v>
      </c>
      <c r="AB77">
        <v>7000</v>
      </c>
      <c r="AC77">
        <v>2.5000000000000001E-2</v>
      </c>
      <c r="AD77">
        <v>5425</v>
      </c>
      <c r="AE77">
        <v>7000</v>
      </c>
      <c r="AF77">
        <v>2.5000000000000001E-2</v>
      </c>
      <c r="AG77">
        <v>5250</v>
      </c>
      <c r="AH77">
        <v>7000</v>
      </c>
      <c r="AI77">
        <v>2.5000000000000001E-2</v>
      </c>
      <c r="AJ77">
        <v>5425</v>
      </c>
      <c r="AK77">
        <v>7000</v>
      </c>
      <c r="AL77">
        <v>2.5000000000000001E-2</v>
      </c>
      <c r="AM77">
        <v>5425</v>
      </c>
      <c r="AN77">
        <v>7000</v>
      </c>
      <c r="AO77">
        <v>2.5000000000000001E-2</v>
      </c>
      <c r="AP77">
        <v>5250</v>
      </c>
      <c r="AQ77">
        <v>7000</v>
      </c>
      <c r="AR77">
        <v>2.5000000000000001E-2</v>
      </c>
      <c r="AS77">
        <v>5425</v>
      </c>
      <c r="AT77">
        <v>7000</v>
      </c>
      <c r="AU77">
        <v>2.5000000000000001E-2</v>
      </c>
      <c r="AV77">
        <v>5250</v>
      </c>
      <c r="AW77">
        <v>7000</v>
      </c>
      <c r="AX77">
        <v>2.5000000000000001E-2</v>
      </c>
      <c r="AY77">
        <v>5425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">
      <c r="A78" t="s">
        <v>74</v>
      </c>
      <c r="B78" t="s">
        <v>75</v>
      </c>
      <c r="C78" t="s">
        <v>81</v>
      </c>
      <c r="D78">
        <v>57274</v>
      </c>
      <c r="E78">
        <v>500179</v>
      </c>
      <c r="F78" t="s">
        <v>95</v>
      </c>
      <c r="G78">
        <v>27161</v>
      </c>
      <c r="H78" t="s">
        <v>76</v>
      </c>
      <c r="I78" t="s">
        <v>93</v>
      </c>
      <c r="J78" s="55">
        <v>36617</v>
      </c>
      <c r="K78" s="55">
        <v>37711</v>
      </c>
      <c r="L78">
        <v>8400</v>
      </c>
      <c r="M78">
        <v>2.5000000000000001E-2</v>
      </c>
      <c r="N78">
        <v>0</v>
      </c>
      <c r="O78">
        <v>0</v>
      </c>
      <c r="P78">
        <v>0</v>
      </c>
      <c r="Q78">
        <v>2.5000000000000001E-2</v>
      </c>
      <c r="R78">
        <v>6510</v>
      </c>
      <c r="S78">
        <v>8400</v>
      </c>
      <c r="T78">
        <v>2.5000000000000001E-2</v>
      </c>
      <c r="U78">
        <v>5880</v>
      </c>
      <c r="V78">
        <v>8400</v>
      </c>
      <c r="W78">
        <v>2.5000000000000001E-2</v>
      </c>
      <c r="X78">
        <v>6510</v>
      </c>
      <c r="Y78">
        <v>8400</v>
      </c>
      <c r="Z78">
        <v>2.5000000000000001E-2</v>
      </c>
      <c r="AA78">
        <v>6300</v>
      </c>
      <c r="AB78">
        <v>8400</v>
      </c>
      <c r="AC78">
        <v>2.5000000000000001E-2</v>
      </c>
      <c r="AD78">
        <v>6510</v>
      </c>
      <c r="AE78">
        <v>8400</v>
      </c>
      <c r="AF78">
        <v>2.5000000000000001E-2</v>
      </c>
      <c r="AG78">
        <v>6300</v>
      </c>
      <c r="AH78">
        <v>8400</v>
      </c>
      <c r="AI78">
        <v>2.5000000000000001E-2</v>
      </c>
      <c r="AJ78">
        <v>6510</v>
      </c>
      <c r="AK78">
        <v>8400</v>
      </c>
      <c r="AL78">
        <v>2.5000000000000001E-2</v>
      </c>
      <c r="AM78">
        <v>6510</v>
      </c>
      <c r="AN78">
        <v>8400</v>
      </c>
      <c r="AO78">
        <v>2.5000000000000001E-2</v>
      </c>
      <c r="AP78">
        <v>6300</v>
      </c>
      <c r="AQ78">
        <v>8400</v>
      </c>
      <c r="AR78">
        <v>2.5000000000000001E-2</v>
      </c>
      <c r="AS78">
        <v>6510</v>
      </c>
      <c r="AT78">
        <v>8400</v>
      </c>
      <c r="AU78">
        <v>2.5000000000000001E-2</v>
      </c>
      <c r="AV78">
        <v>6300</v>
      </c>
      <c r="AW78">
        <v>8400</v>
      </c>
      <c r="AX78">
        <v>2.5000000000000001E-2</v>
      </c>
      <c r="AY78">
        <v>6510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">
      <c r="A79" t="s">
        <v>74</v>
      </c>
      <c r="B79" t="s">
        <v>75</v>
      </c>
      <c r="C79" t="s">
        <v>81</v>
      </c>
      <c r="D79">
        <v>500168</v>
      </c>
      <c r="E79">
        <v>500179</v>
      </c>
      <c r="F79" t="s">
        <v>95</v>
      </c>
      <c r="G79">
        <v>27161</v>
      </c>
      <c r="H79" t="s">
        <v>76</v>
      </c>
      <c r="I79" t="s">
        <v>93</v>
      </c>
      <c r="J79" s="55">
        <v>36617</v>
      </c>
      <c r="K79" s="55">
        <v>37711</v>
      </c>
      <c r="L79">
        <v>10000</v>
      </c>
      <c r="M79">
        <v>2.5000000000000001E-2</v>
      </c>
      <c r="N79">
        <v>0</v>
      </c>
      <c r="O79">
        <v>0</v>
      </c>
      <c r="P79">
        <v>0</v>
      </c>
      <c r="Q79">
        <v>2.5000000000000001E-2</v>
      </c>
      <c r="R79">
        <v>7750</v>
      </c>
      <c r="S79">
        <v>10000</v>
      </c>
      <c r="T79">
        <v>2.5000000000000001E-2</v>
      </c>
      <c r="U79">
        <v>7000</v>
      </c>
      <c r="V79">
        <v>10000</v>
      </c>
      <c r="W79">
        <v>2.5000000000000001E-2</v>
      </c>
      <c r="X79">
        <v>7750</v>
      </c>
      <c r="Y79">
        <v>10000</v>
      </c>
      <c r="Z79">
        <v>2.5000000000000001E-2</v>
      </c>
      <c r="AA79">
        <v>7500</v>
      </c>
      <c r="AB79">
        <v>10000</v>
      </c>
      <c r="AC79">
        <v>2.5000000000000001E-2</v>
      </c>
      <c r="AD79">
        <v>7750</v>
      </c>
      <c r="AE79">
        <v>10000</v>
      </c>
      <c r="AF79">
        <v>2.5000000000000001E-2</v>
      </c>
      <c r="AG79">
        <v>7500</v>
      </c>
      <c r="AH79">
        <v>10000</v>
      </c>
      <c r="AI79">
        <v>2.5000000000000001E-2</v>
      </c>
      <c r="AJ79">
        <v>7750</v>
      </c>
      <c r="AK79">
        <v>10000</v>
      </c>
      <c r="AL79">
        <v>2.5000000000000001E-2</v>
      </c>
      <c r="AM79">
        <v>7750</v>
      </c>
      <c r="AN79">
        <v>10000</v>
      </c>
      <c r="AO79">
        <v>2.5000000000000001E-2</v>
      </c>
      <c r="AP79">
        <v>7500</v>
      </c>
      <c r="AQ79">
        <v>10000</v>
      </c>
      <c r="AR79">
        <v>2.5000000000000001E-2</v>
      </c>
      <c r="AS79">
        <v>7750</v>
      </c>
      <c r="AT79">
        <v>10000</v>
      </c>
      <c r="AU79">
        <v>2.5000000000000001E-2</v>
      </c>
      <c r="AV79">
        <v>7500</v>
      </c>
      <c r="AW79">
        <v>10000</v>
      </c>
      <c r="AX79">
        <v>2.5000000000000001E-2</v>
      </c>
      <c r="AY79">
        <v>7750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">
      <c r="A80" t="s">
        <v>74</v>
      </c>
      <c r="B80" t="s">
        <v>75</v>
      </c>
      <c r="C80" t="s">
        <v>81</v>
      </c>
      <c r="D80">
        <v>500515</v>
      </c>
      <c r="E80">
        <v>500179</v>
      </c>
      <c r="F80" t="s">
        <v>95</v>
      </c>
      <c r="G80">
        <v>27161</v>
      </c>
      <c r="H80" t="s">
        <v>76</v>
      </c>
      <c r="I80" t="s">
        <v>93</v>
      </c>
      <c r="J80" s="55">
        <v>36617</v>
      </c>
      <c r="K80" s="55">
        <v>37711</v>
      </c>
      <c r="L80">
        <v>11200</v>
      </c>
      <c r="M80">
        <v>2.5000000000000001E-2</v>
      </c>
      <c r="N80">
        <v>0</v>
      </c>
      <c r="O80">
        <v>0</v>
      </c>
      <c r="P80">
        <v>0</v>
      </c>
      <c r="Q80">
        <v>2.5000000000000001E-2</v>
      </c>
      <c r="R80">
        <v>8680</v>
      </c>
      <c r="S80">
        <v>11200</v>
      </c>
      <c r="T80">
        <v>2.5000000000000001E-2</v>
      </c>
      <c r="U80">
        <v>7840</v>
      </c>
      <c r="V80">
        <v>11200</v>
      </c>
      <c r="W80">
        <v>2.5000000000000001E-2</v>
      </c>
      <c r="X80">
        <v>8680</v>
      </c>
      <c r="Y80">
        <v>11200</v>
      </c>
      <c r="Z80">
        <v>2.5000000000000001E-2</v>
      </c>
      <c r="AA80">
        <v>8400</v>
      </c>
      <c r="AB80">
        <v>11200</v>
      </c>
      <c r="AC80">
        <v>2.5000000000000001E-2</v>
      </c>
      <c r="AD80">
        <v>8680</v>
      </c>
      <c r="AE80">
        <v>11200</v>
      </c>
      <c r="AF80">
        <v>2.5000000000000001E-2</v>
      </c>
      <c r="AG80">
        <v>8400</v>
      </c>
      <c r="AH80">
        <v>11200</v>
      </c>
      <c r="AI80">
        <v>2.5000000000000001E-2</v>
      </c>
      <c r="AJ80">
        <v>8680</v>
      </c>
      <c r="AK80">
        <v>11200</v>
      </c>
      <c r="AL80">
        <v>2.5000000000000001E-2</v>
      </c>
      <c r="AM80">
        <v>8680</v>
      </c>
      <c r="AN80">
        <v>11200</v>
      </c>
      <c r="AO80">
        <v>2.5000000000000001E-2</v>
      </c>
      <c r="AP80">
        <v>8400</v>
      </c>
      <c r="AQ80">
        <v>11200</v>
      </c>
      <c r="AR80">
        <v>2.5000000000000001E-2</v>
      </c>
      <c r="AS80">
        <v>8680</v>
      </c>
      <c r="AT80">
        <v>11200</v>
      </c>
      <c r="AU80">
        <v>2.5000000000000001E-2</v>
      </c>
      <c r="AV80">
        <v>8400</v>
      </c>
      <c r="AW80">
        <v>11200</v>
      </c>
      <c r="AX80">
        <v>2.5000000000000001E-2</v>
      </c>
      <c r="AY80">
        <v>8680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">
      <c r="A81" t="s">
        <v>125</v>
      </c>
      <c r="G81" s="42" t="s">
        <v>2</v>
      </c>
      <c r="H81" s="42" t="s">
        <v>76</v>
      </c>
      <c r="L81" s="42">
        <f>SUM(L72:L80)</f>
        <v>80000</v>
      </c>
      <c r="R81" s="42">
        <f>SUM(R72:R80)</f>
        <v>62000</v>
      </c>
      <c r="S81" s="42">
        <f>SUM(S72:S80)</f>
        <v>80000</v>
      </c>
      <c r="U81" s="42">
        <f>SUM(U72:U80)</f>
        <v>56000</v>
      </c>
      <c r="V81" s="42">
        <f>SUM(V72:V80)</f>
        <v>80000</v>
      </c>
      <c r="X81" s="42">
        <f>SUM(X72:X80)</f>
        <v>62000</v>
      </c>
      <c r="Y81" s="42">
        <f>SUM(Y72:Y80)</f>
        <v>80000</v>
      </c>
      <c r="AA81" s="42">
        <f>SUM(AA72:AA80)</f>
        <v>60000</v>
      </c>
      <c r="AB81" s="42">
        <f>SUM(AB72:AB80)</f>
        <v>80000</v>
      </c>
      <c r="AD81" s="42">
        <f>SUM(AD72:AD80)</f>
        <v>62000</v>
      </c>
      <c r="AE81" s="42">
        <f>SUM(AE72:AE80)</f>
        <v>80000</v>
      </c>
      <c r="AG81" s="42">
        <f>SUM(AG72:AG80)</f>
        <v>60000</v>
      </c>
      <c r="AH81" s="42">
        <f>SUM(AH72:AH80)</f>
        <v>80000</v>
      </c>
      <c r="AJ81" s="42">
        <f>SUM(AJ72:AJ80)</f>
        <v>62000</v>
      </c>
      <c r="AK81" s="42">
        <f>SUM(AK72:AK80)</f>
        <v>80000</v>
      </c>
      <c r="AM81" s="42">
        <f>SUM(AM72:AM80)</f>
        <v>62000</v>
      </c>
      <c r="AN81" s="42">
        <f>SUM(AN72:AN80)</f>
        <v>80000</v>
      </c>
      <c r="AP81" s="42">
        <f>SUM(AP72:AP80)</f>
        <v>60000</v>
      </c>
      <c r="AQ81" s="42">
        <f>SUM(AQ72:AQ80)</f>
        <v>80000</v>
      </c>
      <c r="AS81" s="42">
        <f>SUM(AS72:AS80)</f>
        <v>62000</v>
      </c>
      <c r="AT81" s="42">
        <f>SUM(AT72:AT80)</f>
        <v>80000</v>
      </c>
      <c r="AV81" s="42">
        <f>SUM(AV72:AV80)</f>
        <v>60000</v>
      </c>
      <c r="AW81" s="42">
        <f>SUM(AW72:AW80)</f>
        <v>80000</v>
      </c>
      <c r="AY81" s="42">
        <f>SUM(AY72:AY80)</f>
        <v>62000</v>
      </c>
      <c r="AZ81" s="42">
        <f>SUM(AZ72:AZ80)</f>
        <v>0</v>
      </c>
      <c r="BB81" s="42">
        <f>SUM(BB72:BB80)</f>
        <v>0</v>
      </c>
      <c r="BC81" s="42">
        <f>SUM(BC72:BC80)</f>
        <v>0</v>
      </c>
      <c r="BE81" s="42">
        <f>SUM(BE72:BE80)</f>
        <v>0</v>
      </c>
      <c r="BF81" s="42">
        <f>SUM(BF72:BF80)</f>
        <v>0</v>
      </c>
      <c r="BH81" s="42">
        <f>SUM(BH72:BH80)</f>
        <v>0</v>
      </c>
      <c r="BI81" s="42">
        <f>SUM(BI72:BI80)</f>
        <v>0</v>
      </c>
      <c r="BK81" s="42">
        <f>SUM(BK72:BK80)</f>
        <v>0</v>
      </c>
      <c r="BL81" s="42">
        <f>SUM(BL72:BL80)</f>
        <v>0</v>
      </c>
      <c r="BN81" s="42">
        <f>SUM(BN72:BN80)</f>
        <v>0</v>
      </c>
      <c r="BO81" s="42">
        <f>SUM(BO72:BO80)</f>
        <v>0</v>
      </c>
      <c r="BQ81" s="42">
        <f>SUM(BQ72:BQ80)</f>
        <v>0</v>
      </c>
      <c r="BR81" s="42">
        <f>SUM(BR72:BR80)</f>
        <v>0</v>
      </c>
      <c r="BT81" s="42">
        <f>SUM(BT72:BT80)</f>
        <v>0</v>
      </c>
      <c r="BU81" s="42">
        <f>SUM(BU72:BU80)</f>
        <v>0</v>
      </c>
      <c r="BW81" s="42">
        <f>SUM(BW72:BW80)</f>
        <v>0</v>
      </c>
      <c r="BX81" s="42">
        <f>SUM(BX72:BX80)</f>
        <v>0</v>
      </c>
      <c r="BZ81" s="42">
        <f>SUM(BZ72:BZ80)</f>
        <v>0</v>
      </c>
      <c r="CA81" s="42">
        <f>SUM(CA72:CA80)</f>
        <v>0</v>
      </c>
      <c r="CC81" s="42">
        <f>SUM(CC72:CC80)</f>
        <v>0</v>
      </c>
      <c r="CD81" s="42">
        <f>SUM(CD72:CD80)</f>
        <v>0</v>
      </c>
      <c r="CF81" s="42">
        <f>SUM(CF72:CF80)</f>
        <v>0</v>
      </c>
      <c r="CG81" s="42">
        <f>SUM(CG72:CG80)</f>
        <v>0</v>
      </c>
      <c r="CI81" s="42">
        <f>SUM(CI72:CI80)</f>
        <v>0</v>
      </c>
      <c r="CJ81" s="42">
        <f>SUM(CJ72:CJ80)</f>
        <v>0</v>
      </c>
      <c r="CL81" s="42">
        <f>SUM(CL72:CL80)</f>
        <v>0</v>
      </c>
      <c r="CM81" s="42">
        <f>SUM(CM72:CM80)</f>
        <v>0</v>
      </c>
      <c r="CO81" s="42">
        <f>SUM(CO72:CO80)</f>
        <v>0</v>
      </c>
      <c r="CP81" s="42">
        <f>SUM(CP72:CP80)</f>
        <v>0</v>
      </c>
      <c r="CR81" s="42">
        <f>SUM(CR72:CR80)</f>
        <v>0</v>
      </c>
      <c r="CS81" s="42">
        <f>SUM(CS72:CS80)</f>
        <v>0</v>
      </c>
      <c r="CU81" s="42">
        <f>SUM(CU72:CU80)</f>
        <v>0</v>
      </c>
      <c r="CV81" s="42">
        <f>SUM(CV72:CV80)</f>
        <v>0</v>
      </c>
      <c r="CX81" s="42">
        <f>SUM(CX72:CX80)</f>
        <v>0</v>
      </c>
      <c r="CY81" s="42">
        <f>SUM(CY72:CY80)</f>
        <v>0</v>
      </c>
      <c r="DA81" s="42">
        <f>SUM(DA72:DA80)</f>
        <v>0</v>
      </c>
      <c r="DB81" s="42">
        <f>SUM(DB72:DB80)</f>
        <v>0</v>
      </c>
      <c r="DD81" s="42">
        <f>SUM(DD72:DD80)</f>
        <v>0</v>
      </c>
      <c r="DE81" s="42">
        <f>SUM(DE72:DE80)</f>
        <v>0</v>
      </c>
      <c r="DG81" s="42">
        <f>SUM(DG72:DG80)</f>
        <v>0</v>
      </c>
      <c r="DH81" s="42">
        <f>SUM(DH72:DH80)</f>
        <v>0</v>
      </c>
      <c r="DJ81" s="42">
        <f>SUM(DJ72:DJ80)</f>
        <v>0</v>
      </c>
      <c r="DK81" s="42">
        <f>SUM(DK72:DK80)</f>
        <v>0</v>
      </c>
      <c r="DM81" s="42">
        <f>SUM(DM72:DM80)</f>
        <v>0</v>
      </c>
      <c r="DN81" s="42">
        <f>SUM(DN72:DN80)</f>
        <v>0</v>
      </c>
      <c r="DP81" s="42">
        <f>SUM(DP72:DP80)</f>
        <v>0</v>
      </c>
      <c r="DQ81" s="42">
        <f>SUM(DQ72:DQ80)</f>
        <v>0</v>
      </c>
      <c r="DS81" s="42">
        <f>SUM(DS72:DS80)</f>
        <v>0</v>
      </c>
    </row>
    <row r="82" spans="1:123" x14ac:dyDescent="0.2">
      <c r="A82" s="42" t="s">
        <v>85</v>
      </c>
      <c r="G82" s="42"/>
      <c r="H82" s="42"/>
      <c r="L82" s="42">
        <f>SUM(0+L64+L69+L71+L81)</f>
        <v>692214</v>
      </c>
      <c r="R82" s="42">
        <f>SUM(0+R64+R69+R71+R81)</f>
        <v>1043591.936</v>
      </c>
      <c r="S82" s="42">
        <f>SUM(0+S64+S69+S71+S81)</f>
        <v>692214</v>
      </c>
      <c r="U82" s="42">
        <f>SUM(0+U64+U69+U71+U81)</f>
        <v>942599.16800000006</v>
      </c>
      <c r="V82" s="42">
        <f>SUM(0+V64+V69+V71+V81)</f>
        <v>682214</v>
      </c>
      <c r="X82" s="42">
        <f>SUM(0+X64+X69+X71+X81)</f>
        <v>1028091.936</v>
      </c>
      <c r="Y82" s="42">
        <f>SUM(0+Y64+Y69+Y71+Y81)</f>
        <v>682214</v>
      </c>
      <c r="AA82" s="42">
        <f>SUM(0+AA64+AA69+AA71+AA81)</f>
        <v>994927.67999999993</v>
      </c>
      <c r="AB82" s="42">
        <f>SUM(0+AB64+AB69+AB71+AB81)</f>
        <v>683827</v>
      </c>
      <c r="AD82" s="42">
        <f>SUM(0+AD64+AD69+AD71+AD81)</f>
        <v>1030592.086</v>
      </c>
      <c r="AE82" s="42">
        <f>SUM(0+AE64+AE69+AE71+AE81)</f>
        <v>668047</v>
      </c>
      <c r="AG82" s="42">
        <f>SUM(0+AG64+AG69+AG71+AG81)</f>
        <v>964677.17999999993</v>
      </c>
      <c r="AH82" s="42">
        <f>SUM(0+AH64+AH69+AH71+AH81)</f>
        <v>672617</v>
      </c>
      <c r="AJ82" s="42">
        <f>SUM(0+AJ64+AJ69+AJ71+AJ81)</f>
        <v>1003916.586</v>
      </c>
      <c r="AK82" s="42">
        <f>SUM(0+AK64+AK69+AK71+AK81)</f>
        <v>649391</v>
      </c>
      <c r="AM82" s="42">
        <f>SUM(0+AM64+AM69+AM71+AM81)</f>
        <v>983416.28599999996</v>
      </c>
      <c r="AN82" s="42">
        <f>SUM(0+AN64+AN69+AN71+AN81)</f>
        <v>643047</v>
      </c>
      <c r="AP82" s="42">
        <f>SUM(0+AP64+AP69+AP71+AP81)</f>
        <v>942177.17999999993</v>
      </c>
      <c r="AQ82" s="42">
        <f>SUM(0+AQ64+AQ69+AQ71+AQ81)</f>
        <v>639714</v>
      </c>
      <c r="AS82" s="42">
        <f>SUM(0+AS64+AS69+AS71+AS81)</f>
        <v>968416.93599999999</v>
      </c>
      <c r="AT82" s="42">
        <f>SUM(0+AT64+AT69+AT71+AT81)</f>
        <v>639714</v>
      </c>
      <c r="AV82" s="42">
        <f>SUM(0+AV64+AV69+AV71+AV81)</f>
        <v>937177.67999999993</v>
      </c>
      <c r="AW82" s="42">
        <f>SUM(0+AW64+AW69+AW71+AW81)</f>
        <v>604000</v>
      </c>
      <c r="AY82" s="42">
        <f>SUM(0+AY64+AY69+AY71+AY81)</f>
        <v>865675</v>
      </c>
      <c r="AZ82" s="42">
        <f>SUM(0+AZ64+AZ69+AZ71+AZ81)</f>
        <v>0</v>
      </c>
      <c r="BB82" s="42">
        <f>SUM(0+BB64+BB69+BB71+BB81)</f>
        <v>0</v>
      </c>
      <c r="BC82" s="42">
        <f>SUM(0+BC64+BC69+BC71+BC81)</f>
        <v>0</v>
      </c>
      <c r="BE82" s="42">
        <f>SUM(0+BE64+BE69+BE71+BE81)</f>
        <v>0</v>
      </c>
      <c r="BF82" s="42">
        <f>SUM(0+BF64+BF69+BF71+BF81)</f>
        <v>0</v>
      </c>
      <c r="BH82" s="42">
        <f>SUM(0+BH64+BH69+BH71+BH81)</f>
        <v>0</v>
      </c>
      <c r="BI82" s="42">
        <f>SUM(0+BI64+BI69+BI71+BI81)</f>
        <v>0</v>
      </c>
      <c r="BK82" s="42">
        <f>SUM(0+BK64+BK69+BK71+BK81)</f>
        <v>0</v>
      </c>
      <c r="BL82" s="42">
        <f>SUM(0+BL64+BL69+BL71+BL81)</f>
        <v>0</v>
      </c>
      <c r="BN82" s="42">
        <f>SUM(0+BN64+BN69+BN71+BN81)</f>
        <v>0</v>
      </c>
      <c r="BO82" s="42">
        <f>SUM(0+BO64+BO69+BO71+BO81)</f>
        <v>0</v>
      </c>
      <c r="BQ82" s="42">
        <f>SUM(0+BQ64+BQ69+BQ71+BQ81)</f>
        <v>0</v>
      </c>
      <c r="BR82" s="42">
        <f>SUM(0+BR64+BR69+BR71+BR81)</f>
        <v>0</v>
      </c>
      <c r="BT82" s="42">
        <f>SUM(0+BT64+BT69+BT71+BT81)</f>
        <v>0</v>
      </c>
      <c r="BU82" s="42">
        <f>SUM(0+BU64+BU69+BU71+BU81)</f>
        <v>0</v>
      </c>
      <c r="BW82" s="42">
        <f>SUM(0+BW64+BW69+BW71+BW81)</f>
        <v>0</v>
      </c>
      <c r="BX82" s="42">
        <f>SUM(0+BX64+BX69+BX71+BX81)</f>
        <v>0</v>
      </c>
      <c r="BZ82" s="42">
        <f>SUM(0+BZ64+BZ69+BZ71+BZ81)</f>
        <v>0</v>
      </c>
      <c r="CA82" s="42">
        <f>SUM(0+CA64+CA69+CA71+CA81)</f>
        <v>0</v>
      </c>
      <c r="CC82" s="42">
        <f>SUM(0+CC64+CC69+CC71+CC81)</f>
        <v>0</v>
      </c>
      <c r="CD82" s="42">
        <f>SUM(0+CD64+CD69+CD71+CD81)</f>
        <v>0</v>
      </c>
      <c r="CF82" s="42">
        <f>SUM(0+CF64+CF69+CF71+CF81)</f>
        <v>0</v>
      </c>
      <c r="CG82" s="42">
        <f>SUM(0+CG64+CG69+CG71+CG81)</f>
        <v>0</v>
      </c>
      <c r="CI82" s="42">
        <f>SUM(0+CI64+CI69+CI71+CI81)</f>
        <v>0</v>
      </c>
      <c r="CJ82" s="42">
        <f>SUM(0+CJ64+CJ69+CJ71+CJ81)</f>
        <v>0</v>
      </c>
      <c r="CL82" s="42">
        <f>SUM(0+CL64+CL69+CL71+CL81)</f>
        <v>0</v>
      </c>
      <c r="CM82" s="42">
        <f>SUM(0+CM64+CM69+CM71+CM81)</f>
        <v>0</v>
      </c>
      <c r="CO82" s="42">
        <f>SUM(0+CO64+CO69+CO71+CO81)</f>
        <v>0</v>
      </c>
      <c r="CP82" s="42">
        <f>SUM(0+CP64+CP69+CP71+CP81)</f>
        <v>0</v>
      </c>
      <c r="CR82" s="42">
        <f>SUM(0+CR64+CR69+CR71+CR81)</f>
        <v>0</v>
      </c>
      <c r="CS82" s="42">
        <f>SUM(0+CS64+CS69+CS71+CS81)</f>
        <v>0</v>
      </c>
      <c r="CU82" s="42">
        <f>SUM(0+CU64+CU69+CU71+CU81)</f>
        <v>0</v>
      </c>
      <c r="CV82" s="42">
        <f>SUM(0+CV64+CV69+CV71+CV81)</f>
        <v>0</v>
      </c>
      <c r="CX82" s="42">
        <f>SUM(0+CX64+CX69+CX71+CX81)</f>
        <v>0</v>
      </c>
      <c r="CY82" s="42">
        <f>SUM(0+CY64+CY69+CY71+CY81)</f>
        <v>0</v>
      </c>
      <c r="DA82" s="42">
        <f>SUM(0+DA64+DA69+DA71+DA81)</f>
        <v>0</v>
      </c>
      <c r="DB82" s="42">
        <f>SUM(0+DB64+DB69+DB71+DB81)</f>
        <v>0</v>
      </c>
      <c r="DD82" s="42">
        <f>SUM(0+DD64+DD69+DD71+DD81)</f>
        <v>0</v>
      </c>
      <c r="DE82" s="42">
        <f>SUM(0+DE64+DE69+DE71+DE81)</f>
        <v>0</v>
      </c>
      <c r="DG82" s="42">
        <f>SUM(0+DG64+DG69+DG71+DG81)</f>
        <v>0</v>
      </c>
      <c r="DH82" s="42">
        <f>SUM(0+DH64+DH69+DH71+DH81)</f>
        <v>0</v>
      </c>
      <c r="DJ82" s="42">
        <f>SUM(0+DJ64+DJ69+DJ71+DJ81)</f>
        <v>0</v>
      </c>
      <c r="DK82" s="42">
        <f>SUM(0+DK64+DK69+DK71+DK81)</f>
        <v>0</v>
      </c>
      <c r="DM82" s="42">
        <f>SUM(0+DM64+DM69+DM71+DM81)</f>
        <v>0</v>
      </c>
      <c r="DN82" s="42">
        <f>SUM(0+DN64+DN69+DN71+DN81)</f>
        <v>0</v>
      </c>
      <c r="DP82" s="42">
        <f>SUM(0+DP64+DP69+DP71+DP81)</f>
        <v>0</v>
      </c>
      <c r="DQ82" s="42">
        <f>SUM(0+DQ64+DQ69+DQ71+DQ81)</f>
        <v>0</v>
      </c>
      <c r="DS82" s="42">
        <f>SUM(0+DS64+DS69+DS71+DS81)</f>
        <v>0</v>
      </c>
    </row>
    <row r="83" spans="1:123" x14ac:dyDescent="0.2">
      <c r="A83" t="s">
        <v>82</v>
      </c>
      <c r="B83" t="s">
        <v>79</v>
      </c>
      <c r="C83" t="s">
        <v>79</v>
      </c>
      <c r="D83">
        <v>500540</v>
      </c>
      <c r="E83">
        <v>500538</v>
      </c>
      <c r="F83" t="s">
        <v>126</v>
      </c>
      <c r="G83">
        <v>24669</v>
      </c>
      <c r="H83" t="s">
        <v>76</v>
      </c>
      <c r="I83" t="s">
        <v>93</v>
      </c>
      <c r="J83" s="55">
        <v>35309</v>
      </c>
      <c r="K83" s="55">
        <v>38748</v>
      </c>
      <c r="L83">
        <v>12500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12500</v>
      </c>
      <c r="T83">
        <v>0</v>
      </c>
      <c r="U83">
        <v>0</v>
      </c>
      <c r="V83">
        <v>12500</v>
      </c>
      <c r="W83">
        <v>0</v>
      </c>
      <c r="X83">
        <v>0</v>
      </c>
      <c r="Y83">
        <v>12500</v>
      </c>
      <c r="Z83">
        <v>0</v>
      </c>
      <c r="AA83">
        <v>0</v>
      </c>
      <c r="AB83">
        <v>12500</v>
      </c>
      <c r="AC83">
        <v>0</v>
      </c>
      <c r="AD83">
        <v>0</v>
      </c>
      <c r="AE83">
        <v>12500</v>
      </c>
      <c r="AF83">
        <v>0</v>
      </c>
      <c r="AG83">
        <v>0</v>
      </c>
      <c r="AH83">
        <v>12500</v>
      </c>
      <c r="AI83">
        <v>0</v>
      </c>
      <c r="AJ83">
        <v>0</v>
      </c>
      <c r="AK83">
        <v>12500</v>
      </c>
      <c r="AL83">
        <v>0</v>
      </c>
      <c r="AM83">
        <v>0</v>
      </c>
      <c r="AN83">
        <v>12500</v>
      </c>
      <c r="AO83">
        <v>0</v>
      </c>
      <c r="AP83">
        <v>0</v>
      </c>
      <c r="AQ83">
        <v>12500</v>
      </c>
      <c r="AR83">
        <v>0</v>
      </c>
      <c r="AS83">
        <v>0</v>
      </c>
      <c r="AT83">
        <v>12500</v>
      </c>
      <c r="AU83">
        <v>0</v>
      </c>
      <c r="AV83">
        <v>0</v>
      </c>
      <c r="AW83">
        <v>12500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">
      <c r="A84" t="s">
        <v>82</v>
      </c>
      <c r="B84" t="s">
        <v>79</v>
      </c>
      <c r="C84" t="s">
        <v>79</v>
      </c>
      <c r="D84">
        <v>500540</v>
      </c>
      <c r="E84">
        <v>500535</v>
      </c>
      <c r="F84" t="s">
        <v>110</v>
      </c>
      <c r="G84">
        <v>24925</v>
      </c>
      <c r="H84" t="s">
        <v>76</v>
      </c>
      <c r="I84" t="s">
        <v>93</v>
      </c>
      <c r="J84" s="55">
        <v>35309</v>
      </c>
      <c r="K84" s="55">
        <v>38017</v>
      </c>
      <c r="L84">
        <v>50000</v>
      </c>
      <c r="M84">
        <v>0.06</v>
      </c>
      <c r="N84">
        <v>0</v>
      </c>
      <c r="O84">
        <v>0</v>
      </c>
      <c r="P84">
        <v>0</v>
      </c>
      <c r="Q84">
        <v>0.06</v>
      </c>
      <c r="R84">
        <v>93000</v>
      </c>
      <c r="S84">
        <v>50000</v>
      </c>
      <c r="T84">
        <v>0.06</v>
      </c>
      <c r="U84">
        <v>84000</v>
      </c>
      <c r="V84">
        <v>50000</v>
      </c>
      <c r="W84">
        <v>0.06</v>
      </c>
      <c r="X84">
        <v>93000</v>
      </c>
      <c r="Y84">
        <v>50000</v>
      </c>
      <c r="Z84">
        <v>0.06</v>
      </c>
      <c r="AA84">
        <v>90000</v>
      </c>
      <c r="AB84">
        <v>50000</v>
      </c>
      <c r="AC84">
        <v>0.06</v>
      </c>
      <c r="AD84">
        <v>93000</v>
      </c>
      <c r="AE84">
        <v>50000</v>
      </c>
      <c r="AF84">
        <v>0.06</v>
      </c>
      <c r="AG84">
        <v>90000</v>
      </c>
      <c r="AH84">
        <v>50000</v>
      </c>
      <c r="AI84">
        <v>0.06</v>
      </c>
      <c r="AJ84">
        <v>93000</v>
      </c>
      <c r="AK84">
        <v>50000</v>
      </c>
      <c r="AL84">
        <v>0.06</v>
      </c>
      <c r="AM84">
        <v>93000</v>
      </c>
      <c r="AN84">
        <v>50000</v>
      </c>
      <c r="AO84">
        <v>0.06</v>
      </c>
      <c r="AP84">
        <v>90000</v>
      </c>
      <c r="AQ84">
        <v>50000</v>
      </c>
      <c r="AR84">
        <v>0.06</v>
      </c>
      <c r="AS84">
        <v>93000</v>
      </c>
      <c r="AT84">
        <v>50000</v>
      </c>
      <c r="AU84">
        <v>0.06</v>
      </c>
      <c r="AV84">
        <v>90000</v>
      </c>
      <c r="AW84">
        <v>50000</v>
      </c>
      <c r="AX84">
        <v>0.06</v>
      </c>
      <c r="AY84">
        <v>93000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">
      <c r="A85" t="s">
        <v>82</v>
      </c>
      <c r="B85" t="s">
        <v>79</v>
      </c>
      <c r="C85" t="s">
        <v>79</v>
      </c>
      <c r="D85">
        <v>500540</v>
      </c>
      <c r="E85">
        <v>500535</v>
      </c>
      <c r="F85" t="s">
        <v>113</v>
      </c>
      <c r="G85">
        <v>24927</v>
      </c>
      <c r="H85" t="s">
        <v>76</v>
      </c>
      <c r="I85" t="s">
        <v>93</v>
      </c>
      <c r="J85" s="55">
        <v>35309</v>
      </c>
      <c r="K85" s="55">
        <v>38748</v>
      </c>
      <c r="L85">
        <v>30000</v>
      </c>
      <c r="M85">
        <v>0.10199999999999999</v>
      </c>
      <c r="N85">
        <v>0</v>
      </c>
      <c r="O85">
        <v>0</v>
      </c>
      <c r="P85">
        <v>0</v>
      </c>
      <c r="Q85">
        <v>0.10199999999999999</v>
      </c>
      <c r="R85">
        <v>94860</v>
      </c>
      <c r="S85">
        <v>30000</v>
      </c>
      <c r="T85">
        <v>0.10199999999999999</v>
      </c>
      <c r="U85">
        <v>85680</v>
      </c>
      <c r="V85">
        <v>30000</v>
      </c>
      <c r="W85">
        <v>0.10199999999999999</v>
      </c>
      <c r="X85">
        <v>94860</v>
      </c>
      <c r="Y85">
        <v>30000</v>
      </c>
      <c r="Z85">
        <v>0.10199999999999999</v>
      </c>
      <c r="AA85">
        <v>91800</v>
      </c>
      <c r="AB85">
        <v>30000</v>
      </c>
      <c r="AC85">
        <v>0.10199999999999999</v>
      </c>
      <c r="AD85">
        <v>94860</v>
      </c>
      <c r="AE85">
        <v>30000</v>
      </c>
      <c r="AF85">
        <v>0.10199999999999999</v>
      </c>
      <c r="AG85">
        <v>91800</v>
      </c>
      <c r="AH85">
        <v>30000</v>
      </c>
      <c r="AI85">
        <v>0.10199999999999999</v>
      </c>
      <c r="AJ85">
        <v>94860</v>
      </c>
      <c r="AK85">
        <v>30000</v>
      </c>
      <c r="AL85">
        <v>0.10199999999999999</v>
      </c>
      <c r="AM85">
        <v>94860</v>
      </c>
      <c r="AN85">
        <v>30000</v>
      </c>
      <c r="AO85">
        <v>0.10199999999999999</v>
      </c>
      <c r="AP85">
        <v>91800</v>
      </c>
      <c r="AQ85">
        <v>30000</v>
      </c>
      <c r="AR85">
        <v>0.10199999999999999</v>
      </c>
      <c r="AS85">
        <v>94860</v>
      </c>
      <c r="AT85">
        <v>30000</v>
      </c>
      <c r="AU85">
        <v>0.10199999999999999</v>
      </c>
      <c r="AV85">
        <v>91800</v>
      </c>
      <c r="AW85">
        <v>30000</v>
      </c>
      <c r="AX85">
        <v>0.10199999999999999</v>
      </c>
      <c r="AY85">
        <v>94860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">
      <c r="A86" t="s">
        <v>82</v>
      </c>
      <c r="B86" t="s">
        <v>79</v>
      </c>
      <c r="C86" t="s">
        <v>79</v>
      </c>
      <c r="D86">
        <v>500540</v>
      </c>
      <c r="E86">
        <v>500538</v>
      </c>
      <c r="F86" t="s">
        <v>112</v>
      </c>
      <c r="G86">
        <v>27047</v>
      </c>
      <c r="H86" t="s">
        <v>76</v>
      </c>
      <c r="I86" t="s">
        <v>93</v>
      </c>
      <c r="J86" s="55">
        <v>36557</v>
      </c>
      <c r="K86" s="55">
        <v>38717</v>
      </c>
      <c r="L86">
        <v>150000</v>
      </c>
      <c r="M86">
        <v>2.5999999999999999E-2</v>
      </c>
      <c r="N86">
        <v>0</v>
      </c>
      <c r="O86">
        <v>0</v>
      </c>
      <c r="P86">
        <v>0</v>
      </c>
      <c r="Q86">
        <v>2.5999999999999999E-2</v>
      </c>
      <c r="R86">
        <v>120900</v>
      </c>
      <c r="S86">
        <v>150000</v>
      </c>
      <c r="T86">
        <v>2.5999999999999999E-2</v>
      </c>
      <c r="U86">
        <v>109200</v>
      </c>
      <c r="V86">
        <v>150000</v>
      </c>
      <c r="W86">
        <v>2.5999999999999999E-2</v>
      </c>
      <c r="X86">
        <v>120900</v>
      </c>
      <c r="Y86">
        <v>150000</v>
      </c>
      <c r="Z86">
        <v>2.5999999999999999E-2</v>
      </c>
      <c r="AA86">
        <v>117000</v>
      </c>
      <c r="AB86">
        <v>150000</v>
      </c>
      <c r="AC86">
        <v>2.5999999999999999E-2</v>
      </c>
      <c r="AD86">
        <v>120900</v>
      </c>
      <c r="AE86">
        <v>150000</v>
      </c>
      <c r="AF86">
        <v>2.5999999999999999E-2</v>
      </c>
      <c r="AG86">
        <v>117000</v>
      </c>
      <c r="AH86">
        <v>150000</v>
      </c>
      <c r="AI86">
        <v>2.5999999999999999E-2</v>
      </c>
      <c r="AJ86">
        <v>120900</v>
      </c>
      <c r="AK86">
        <v>150000</v>
      </c>
      <c r="AL86">
        <v>2.5999999999999999E-2</v>
      </c>
      <c r="AM86">
        <v>120900</v>
      </c>
      <c r="AN86">
        <v>150000</v>
      </c>
      <c r="AO86">
        <v>2.5999999999999999E-2</v>
      </c>
      <c r="AP86">
        <v>117000</v>
      </c>
      <c r="AQ86">
        <v>150000</v>
      </c>
      <c r="AR86">
        <v>2.5999999999999999E-2</v>
      </c>
      <c r="AS86">
        <v>120900</v>
      </c>
      <c r="AT86">
        <v>150000</v>
      </c>
      <c r="AU86">
        <v>2.5999999999999999E-2</v>
      </c>
      <c r="AV86">
        <v>117000</v>
      </c>
      <c r="AW86">
        <v>150000</v>
      </c>
      <c r="AX86">
        <v>2.5999999999999999E-2</v>
      </c>
      <c r="AY86">
        <v>120900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">
      <c r="A87" t="s">
        <v>82</v>
      </c>
      <c r="B87" t="s">
        <v>79</v>
      </c>
      <c r="C87" t="s">
        <v>79</v>
      </c>
      <c r="D87">
        <v>500540</v>
      </c>
      <c r="E87">
        <v>500538</v>
      </c>
      <c r="F87" t="s">
        <v>108</v>
      </c>
      <c r="G87">
        <v>27344</v>
      </c>
      <c r="H87" t="s">
        <v>76</v>
      </c>
      <c r="I87" t="s">
        <v>93</v>
      </c>
      <c r="J87" s="55">
        <v>36892</v>
      </c>
      <c r="K87" s="55">
        <v>37621</v>
      </c>
      <c r="L87">
        <v>13500</v>
      </c>
      <c r="M87">
        <v>4.4999999999999998E-2</v>
      </c>
      <c r="N87">
        <v>0</v>
      </c>
      <c r="O87">
        <v>0</v>
      </c>
      <c r="P87">
        <v>0</v>
      </c>
      <c r="Q87">
        <v>4.4999999999999998E-2</v>
      </c>
      <c r="R87">
        <v>18832.5</v>
      </c>
      <c r="S87">
        <v>13500</v>
      </c>
      <c r="T87">
        <v>4.4999999999999998E-2</v>
      </c>
      <c r="U87">
        <v>17010</v>
      </c>
      <c r="V87">
        <v>13500</v>
      </c>
      <c r="W87">
        <v>4.4999999999999998E-2</v>
      </c>
      <c r="X87">
        <v>18832.5</v>
      </c>
      <c r="Y87">
        <v>13500</v>
      </c>
      <c r="Z87">
        <v>4.4999999999999998E-2</v>
      </c>
      <c r="AA87">
        <v>18225</v>
      </c>
      <c r="AB87">
        <v>13500</v>
      </c>
      <c r="AC87">
        <v>4.4999999999999998E-2</v>
      </c>
      <c r="AD87">
        <v>18832.5</v>
      </c>
      <c r="AE87">
        <v>13500</v>
      </c>
      <c r="AF87">
        <v>4.4999999999999998E-2</v>
      </c>
      <c r="AG87">
        <v>18225</v>
      </c>
      <c r="AH87">
        <v>13500</v>
      </c>
      <c r="AI87">
        <v>4.4999999999999998E-2</v>
      </c>
      <c r="AJ87">
        <v>18832.5</v>
      </c>
      <c r="AK87">
        <v>13500</v>
      </c>
      <c r="AL87">
        <v>4.4999999999999998E-2</v>
      </c>
      <c r="AM87">
        <v>18832.5</v>
      </c>
      <c r="AN87">
        <v>13500</v>
      </c>
      <c r="AO87">
        <v>4.4999999999999998E-2</v>
      </c>
      <c r="AP87">
        <v>18225</v>
      </c>
      <c r="AQ87">
        <v>13500</v>
      </c>
      <c r="AR87">
        <v>4.4999999999999998E-2</v>
      </c>
      <c r="AS87">
        <v>18832.5</v>
      </c>
      <c r="AT87">
        <v>13500</v>
      </c>
      <c r="AU87">
        <v>4.4999999999999998E-2</v>
      </c>
      <c r="AV87">
        <v>18225</v>
      </c>
      <c r="AW87">
        <v>13500</v>
      </c>
      <c r="AX87">
        <v>4.4999999999999998E-2</v>
      </c>
      <c r="AY87">
        <v>18832.5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">
      <c r="A88" t="s">
        <v>82</v>
      </c>
      <c r="B88" t="s">
        <v>79</v>
      </c>
      <c r="C88" t="s">
        <v>79</v>
      </c>
      <c r="D88">
        <v>500540</v>
      </c>
      <c r="E88">
        <v>500543</v>
      </c>
      <c r="F88" t="s">
        <v>111</v>
      </c>
      <c r="G88">
        <v>27460</v>
      </c>
      <c r="H88" t="s">
        <v>76</v>
      </c>
      <c r="I88" t="s">
        <v>93</v>
      </c>
      <c r="J88" s="55">
        <v>37257</v>
      </c>
      <c r="K88" s="55">
        <v>37986</v>
      </c>
      <c r="L88">
        <v>55000</v>
      </c>
      <c r="M88">
        <v>0.10199999999999999</v>
      </c>
      <c r="N88">
        <v>0</v>
      </c>
      <c r="O88">
        <v>0</v>
      </c>
      <c r="P88">
        <v>0</v>
      </c>
      <c r="Q88">
        <v>0.10199999999999999</v>
      </c>
      <c r="R88">
        <v>173910</v>
      </c>
      <c r="S88">
        <v>55000</v>
      </c>
      <c r="T88">
        <v>0.10199999999999999</v>
      </c>
      <c r="U88">
        <v>157080</v>
      </c>
      <c r="V88">
        <v>55000</v>
      </c>
      <c r="W88">
        <v>0.10199999999999999</v>
      </c>
      <c r="X88">
        <v>173910</v>
      </c>
      <c r="Y88">
        <v>55000</v>
      </c>
      <c r="Z88">
        <v>0.10199999999999999</v>
      </c>
      <c r="AA88">
        <v>168300</v>
      </c>
      <c r="AB88">
        <v>55000</v>
      </c>
      <c r="AC88">
        <v>0.10199999999999999</v>
      </c>
      <c r="AD88">
        <v>173910</v>
      </c>
      <c r="AE88">
        <v>55000</v>
      </c>
      <c r="AF88">
        <v>0.10199999999999999</v>
      </c>
      <c r="AG88">
        <v>168300</v>
      </c>
      <c r="AH88">
        <v>55000</v>
      </c>
      <c r="AI88">
        <v>0.10199999999999999</v>
      </c>
      <c r="AJ88">
        <v>173910</v>
      </c>
      <c r="AK88">
        <v>55000</v>
      </c>
      <c r="AL88">
        <v>0.10199999999999999</v>
      </c>
      <c r="AM88">
        <v>173910</v>
      </c>
      <c r="AN88">
        <v>55000</v>
      </c>
      <c r="AO88">
        <v>0.10199999999999999</v>
      </c>
      <c r="AP88">
        <v>168300</v>
      </c>
      <c r="AQ88">
        <v>55000</v>
      </c>
      <c r="AR88">
        <v>0.10199999999999999</v>
      </c>
      <c r="AS88">
        <v>173910</v>
      </c>
      <c r="AT88">
        <v>55000</v>
      </c>
      <c r="AU88">
        <v>0.10199999999999999</v>
      </c>
      <c r="AV88">
        <v>168300</v>
      </c>
      <c r="AW88">
        <v>55000</v>
      </c>
      <c r="AX88">
        <v>0.10199999999999999</v>
      </c>
      <c r="AY88">
        <v>173910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">
      <c r="A89" t="s">
        <v>125</v>
      </c>
      <c r="G89" s="42" t="s">
        <v>2</v>
      </c>
      <c r="H89" s="42" t="s">
        <v>76</v>
      </c>
      <c r="L89" s="42">
        <f>SUM(L83:L88)</f>
        <v>311000</v>
      </c>
      <c r="R89" s="42">
        <f>SUM(R83:R88)</f>
        <v>501502.5</v>
      </c>
      <c r="S89" s="42">
        <f>SUM(S83:S88)</f>
        <v>311000</v>
      </c>
      <c r="U89" s="42">
        <f>SUM(U83:U88)</f>
        <v>452970</v>
      </c>
      <c r="V89" s="42">
        <f>SUM(V83:V88)</f>
        <v>311000</v>
      </c>
      <c r="X89" s="42">
        <f>SUM(X83:X88)</f>
        <v>501502.5</v>
      </c>
      <c r="Y89" s="42">
        <f>SUM(Y83:Y88)</f>
        <v>311000</v>
      </c>
      <c r="AA89" s="42">
        <f>SUM(AA83:AA88)</f>
        <v>485325</v>
      </c>
      <c r="AB89" s="42">
        <f>SUM(AB83:AB88)</f>
        <v>311000</v>
      </c>
      <c r="AD89" s="42">
        <f>SUM(AD83:AD88)</f>
        <v>501502.5</v>
      </c>
      <c r="AE89" s="42">
        <f>SUM(AE83:AE88)</f>
        <v>311000</v>
      </c>
      <c r="AG89" s="42">
        <f>SUM(AG83:AG88)</f>
        <v>485325</v>
      </c>
      <c r="AH89" s="42">
        <f>SUM(AH83:AH88)</f>
        <v>311000</v>
      </c>
      <c r="AJ89" s="42">
        <f>SUM(AJ83:AJ88)</f>
        <v>501502.5</v>
      </c>
      <c r="AK89" s="42">
        <f>SUM(AK83:AK88)</f>
        <v>311000</v>
      </c>
      <c r="AM89" s="42">
        <f>SUM(AM83:AM88)</f>
        <v>501502.5</v>
      </c>
      <c r="AN89" s="42">
        <f>SUM(AN83:AN88)</f>
        <v>311000</v>
      </c>
      <c r="AP89" s="42">
        <f>SUM(AP83:AP88)</f>
        <v>485325</v>
      </c>
      <c r="AQ89" s="42">
        <f>SUM(AQ83:AQ88)</f>
        <v>311000</v>
      </c>
      <c r="AS89" s="42">
        <f>SUM(AS83:AS88)</f>
        <v>501502.5</v>
      </c>
      <c r="AT89" s="42">
        <f>SUM(AT83:AT88)</f>
        <v>311000</v>
      </c>
      <c r="AV89" s="42">
        <f>SUM(AV83:AV88)</f>
        <v>485325</v>
      </c>
      <c r="AW89" s="42">
        <f>SUM(AW83:AW88)</f>
        <v>311000</v>
      </c>
      <c r="AY89" s="42">
        <f>SUM(AY83:AY88)</f>
        <v>501502.5</v>
      </c>
      <c r="AZ89" s="42">
        <f>SUM(AZ83:AZ88)</f>
        <v>0</v>
      </c>
      <c r="BB89" s="42">
        <f>SUM(BB83:BB88)</f>
        <v>0</v>
      </c>
      <c r="BC89" s="42">
        <f>SUM(BC83:BC88)</f>
        <v>0</v>
      </c>
      <c r="BE89" s="42">
        <f>SUM(BE83:BE88)</f>
        <v>0</v>
      </c>
      <c r="BF89" s="42">
        <f>SUM(BF83:BF88)</f>
        <v>0</v>
      </c>
      <c r="BH89" s="42">
        <f>SUM(BH83:BH88)</f>
        <v>0</v>
      </c>
      <c r="BI89" s="42">
        <f>SUM(BI83:BI88)</f>
        <v>0</v>
      </c>
      <c r="BK89" s="42">
        <f>SUM(BK83:BK88)</f>
        <v>0</v>
      </c>
      <c r="BL89" s="42">
        <f>SUM(BL83:BL88)</f>
        <v>0</v>
      </c>
      <c r="BN89" s="42">
        <f>SUM(BN83:BN88)</f>
        <v>0</v>
      </c>
      <c r="BO89" s="42">
        <f>SUM(BO83:BO88)</f>
        <v>0</v>
      </c>
      <c r="BQ89" s="42">
        <f>SUM(BQ83:BQ88)</f>
        <v>0</v>
      </c>
      <c r="BR89" s="42">
        <f>SUM(BR83:BR88)</f>
        <v>0</v>
      </c>
      <c r="BT89" s="42">
        <f>SUM(BT83:BT88)</f>
        <v>0</v>
      </c>
      <c r="BU89" s="42">
        <f>SUM(BU83:BU88)</f>
        <v>0</v>
      </c>
      <c r="BW89" s="42">
        <f>SUM(BW83:BW88)</f>
        <v>0</v>
      </c>
      <c r="BX89" s="42">
        <f>SUM(BX83:BX88)</f>
        <v>0</v>
      </c>
      <c r="BZ89" s="42">
        <f>SUM(BZ83:BZ88)</f>
        <v>0</v>
      </c>
      <c r="CA89" s="42">
        <f>SUM(CA83:CA88)</f>
        <v>0</v>
      </c>
      <c r="CC89" s="42">
        <f>SUM(CC83:CC88)</f>
        <v>0</v>
      </c>
      <c r="CD89" s="42">
        <f>SUM(CD83:CD88)</f>
        <v>0</v>
      </c>
      <c r="CF89" s="42">
        <f>SUM(CF83:CF88)</f>
        <v>0</v>
      </c>
      <c r="CG89" s="42">
        <f>SUM(CG83:CG88)</f>
        <v>0</v>
      </c>
      <c r="CI89" s="42">
        <f>SUM(CI83:CI88)</f>
        <v>0</v>
      </c>
      <c r="CJ89" s="42">
        <f>SUM(CJ83:CJ88)</f>
        <v>0</v>
      </c>
      <c r="CL89" s="42">
        <f>SUM(CL83:CL88)</f>
        <v>0</v>
      </c>
      <c r="CM89" s="42">
        <f>SUM(CM83:CM88)</f>
        <v>0</v>
      </c>
      <c r="CO89" s="42">
        <f>SUM(CO83:CO88)</f>
        <v>0</v>
      </c>
      <c r="CP89" s="42">
        <f>SUM(CP83:CP88)</f>
        <v>0</v>
      </c>
      <c r="CR89" s="42">
        <f>SUM(CR83:CR88)</f>
        <v>0</v>
      </c>
      <c r="CS89" s="42">
        <f>SUM(CS83:CS88)</f>
        <v>0</v>
      </c>
      <c r="CU89" s="42">
        <f>SUM(CU83:CU88)</f>
        <v>0</v>
      </c>
      <c r="CV89" s="42">
        <f>SUM(CV83:CV88)</f>
        <v>0</v>
      </c>
      <c r="CX89" s="42">
        <f>SUM(CX83:CX88)</f>
        <v>0</v>
      </c>
      <c r="CY89" s="42">
        <f>SUM(CY83:CY88)</f>
        <v>0</v>
      </c>
      <c r="DA89" s="42">
        <f>SUM(DA83:DA88)</f>
        <v>0</v>
      </c>
      <c r="DB89" s="42">
        <f>SUM(DB83:DB88)</f>
        <v>0</v>
      </c>
      <c r="DD89" s="42">
        <f>SUM(DD83:DD88)</f>
        <v>0</v>
      </c>
      <c r="DE89" s="42">
        <f>SUM(DE83:DE88)</f>
        <v>0</v>
      </c>
      <c r="DG89" s="42">
        <f>SUM(DG83:DG88)</f>
        <v>0</v>
      </c>
      <c r="DH89" s="42">
        <f>SUM(DH83:DH88)</f>
        <v>0</v>
      </c>
      <c r="DJ89" s="42">
        <f>SUM(DJ83:DJ88)</f>
        <v>0</v>
      </c>
      <c r="DK89" s="42">
        <f>SUM(DK83:DK88)</f>
        <v>0</v>
      </c>
      <c r="DM89" s="42">
        <f>SUM(DM83:DM88)</f>
        <v>0</v>
      </c>
      <c r="DN89" s="42">
        <f>SUM(DN83:DN88)</f>
        <v>0</v>
      </c>
      <c r="DP89" s="42">
        <f>SUM(DP83:DP88)</f>
        <v>0</v>
      </c>
      <c r="DQ89" s="42">
        <f>SUM(DQ83:DQ88)</f>
        <v>0</v>
      </c>
      <c r="DS89" s="42">
        <f>SUM(DS83:DS88)</f>
        <v>0</v>
      </c>
    </row>
    <row r="90" spans="1:123" x14ac:dyDescent="0.2">
      <c r="A90" s="42" t="s">
        <v>87</v>
      </c>
      <c r="G90" s="42"/>
      <c r="H90" s="42"/>
      <c r="L90" s="42">
        <f>SUM(0+L89)</f>
        <v>311000</v>
      </c>
      <c r="R90" s="42">
        <f>SUM(0+R89)</f>
        <v>501502.5</v>
      </c>
      <c r="S90" s="42">
        <f>SUM(0+S89)</f>
        <v>311000</v>
      </c>
      <c r="U90" s="42">
        <f>SUM(0+U89)</f>
        <v>452970</v>
      </c>
      <c r="V90" s="42">
        <f>SUM(0+V89)</f>
        <v>311000</v>
      </c>
      <c r="X90" s="42">
        <f>SUM(0+X89)</f>
        <v>501502.5</v>
      </c>
      <c r="Y90" s="42">
        <f>SUM(0+Y89)</f>
        <v>311000</v>
      </c>
      <c r="AA90" s="42">
        <f>SUM(0+AA89)</f>
        <v>485325</v>
      </c>
      <c r="AB90" s="42">
        <f>SUM(0+AB89)</f>
        <v>311000</v>
      </c>
      <c r="AD90" s="42">
        <f>SUM(0+AD89)</f>
        <v>501502.5</v>
      </c>
      <c r="AE90" s="42">
        <f>SUM(0+AE89)</f>
        <v>311000</v>
      </c>
      <c r="AG90" s="42">
        <f>SUM(0+AG89)</f>
        <v>485325</v>
      </c>
      <c r="AH90" s="42">
        <f>SUM(0+AH89)</f>
        <v>311000</v>
      </c>
      <c r="AJ90" s="42">
        <f>SUM(0+AJ89)</f>
        <v>501502.5</v>
      </c>
      <c r="AK90" s="42">
        <f>SUM(0+AK89)</f>
        <v>311000</v>
      </c>
      <c r="AM90" s="42">
        <f>SUM(0+AM89)</f>
        <v>501502.5</v>
      </c>
      <c r="AN90" s="42">
        <f>SUM(0+AN89)</f>
        <v>311000</v>
      </c>
      <c r="AP90" s="42">
        <f>SUM(0+AP89)</f>
        <v>485325</v>
      </c>
      <c r="AQ90" s="42">
        <f>SUM(0+AQ89)</f>
        <v>311000</v>
      </c>
      <c r="AS90" s="42">
        <f>SUM(0+AS89)</f>
        <v>501502.5</v>
      </c>
      <c r="AT90" s="42">
        <f>SUM(0+AT89)</f>
        <v>311000</v>
      </c>
      <c r="AV90" s="42">
        <f>SUM(0+AV89)</f>
        <v>485325</v>
      </c>
      <c r="AW90" s="42">
        <f>SUM(0+AW89)</f>
        <v>311000</v>
      </c>
      <c r="AY90" s="42">
        <f>SUM(0+AY89)</f>
        <v>501502.5</v>
      </c>
      <c r="AZ90" s="42">
        <f>SUM(0+AZ89)</f>
        <v>0</v>
      </c>
      <c r="BB90" s="42">
        <f>SUM(0+BB89)</f>
        <v>0</v>
      </c>
      <c r="BC90" s="42">
        <f>SUM(0+BC89)</f>
        <v>0</v>
      </c>
      <c r="BE90" s="42">
        <f>SUM(0+BE89)</f>
        <v>0</v>
      </c>
      <c r="BF90" s="42">
        <f>SUM(0+BF89)</f>
        <v>0</v>
      </c>
      <c r="BH90" s="42">
        <f>SUM(0+BH89)</f>
        <v>0</v>
      </c>
      <c r="BI90" s="42">
        <f>SUM(0+BI89)</f>
        <v>0</v>
      </c>
      <c r="BK90" s="42">
        <f>SUM(0+BK89)</f>
        <v>0</v>
      </c>
      <c r="BL90" s="42">
        <f>SUM(0+BL89)</f>
        <v>0</v>
      </c>
      <c r="BN90" s="42">
        <f>SUM(0+BN89)</f>
        <v>0</v>
      </c>
      <c r="BO90" s="42">
        <f>SUM(0+BO89)</f>
        <v>0</v>
      </c>
      <c r="BQ90" s="42">
        <f>SUM(0+BQ89)</f>
        <v>0</v>
      </c>
      <c r="BR90" s="42">
        <f>SUM(0+BR89)</f>
        <v>0</v>
      </c>
      <c r="BT90" s="42">
        <f>SUM(0+BT89)</f>
        <v>0</v>
      </c>
      <c r="BU90" s="42">
        <f>SUM(0+BU89)</f>
        <v>0</v>
      </c>
      <c r="BW90" s="42">
        <f>SUM(0+BW89)</f>
        <v>0</v>
      </c>
      <c r="BX90" s="42">
        <f>SUM(0+BX89)</f>
        <v>0</v>
      </c>
      <c r="BZ90" s="42">
        <f>SUM(0+BZ89)</f>
        <v>0</v>
      </c>
      <c r="CA90" s="42">
        <f>SUM(0+CA89)</f>
        <v>0</v>
      </c>
      <c r="CC90" s="42">
        <f>SUM(0+CC89)</f>
        <v>0</v>
      </c>
      <c r="CD90" s="42">
        <f>SUM(0+CD89)</f>
        <v>0</v>
      </c>
      <c r="CF90" s="42">
        <f>SUM(0+CF89)</f>
        <v>0</v>
      </c>
      <c r="CG90" s="42">
        <f>SUM(0+CG89)</f>
        <v>0</v>
      </c>
      <c r="CI90" s="42">
        <f>SUM(0+CI89)</f>
        <v>0</v>
      </c>
      <c r="CJ90" s="42">
        <f>SUM(0+CJ89)</f>
        <v>0</v>
      </c>
      <c r="CL90" s="42">
        <f>SUM(0+CL89)</f>
        <v>0</v>
      </c>
      <c r="CM90" s="42">
        <f>SUM(0+CM89)</f>
        <v>0</v>
      </c>
      <c r="CO90" s="42">
        <f>SUM(0+CO89)</f>
        <v>0</v>
      </c>
      <c r="CP90" s="42">
        <f>SUM(0+CP89)</f>
        <v>0</v>
      </c>
      <c r="CR90" s="42">
        <f>SUM(0+CR89)</f>
        <v>0</v>
      </c>
      <c r="CS90" s="42">
        <f>SUM(0+CS89)</f>
        <v>0</v>
      </c>
      <c r="CU90" s="42">
        <f>SUM(0+CU89)</f>
        <v>0</v>
      </c>
      <c r="CV90" s="42">
        <f>SUM(0+CV89)</f>
        <v>0</v>
      </c>
      <c r="CX90" s="42">
        <f>SUM(0+CX89)</f>
        <v>0</v>
      </c>
      <c r="CY90" s="42">
        <f>SUM(0+CY89)</f>
        <v>0</v>
      </c>
      <c r="DA90" s="42">
        <f>SUM(0+DA89)</f>
        <v>0</v>
      </c>
      <c r="DB90" s="42">
        <f>SUM(0+DB89)</f>
        <v>0</v>
      </c>
      <c r="DD90" s="42">
        <f>SUM(0+DD89)</f>
        <v>0</v>
      </c>
      <c r="DE90" s="42">
        <f>SUM(0+DE89)</f>
        <v>0</v>
      </c>
      <c r="DG90" s="42">
        <f>SUM(0+DG89)</f>
        <v>0</v>
      </c>
      <c r="DH90" s="42">
        <f>SUM(0+DH89)</f>
        <v>0</v>
      </c>
      <c r="DJ90" s="42">
        <f>SUM(0+DJ89)</f>
        <v>0</v>
      </c>
      <c r="DK90" s="42">
        <f>SUM(0+DK89)</f>
        <v>0</v>
      </c>
      <c r="DM90" s="42">
        <f>SUM(0+DM89)</f>
        <v>0</v>
      </c>
      <c r="DN90" s="42">
        <f>SUM(0+DN89)</f>
        <v>0</v>
      </c>
      <c r="DP90" s="42">
        <f>SUM(0+DP89)</f>
        <v>0</v>
      </c>
      <c r="DQ90" s="42">
        <f>SUM(0+DQ89)</f>
        <v>0</v>
      </c>
      <c r="DS90" s="42">
        <f>SUM(0+DS89)</f>
        <v>0</v>
      </c>
    </row>
    <row r="91" spans="1:123" x14ac:dyDescent="0.2">
      <c r="A91" t="s">
        <v>83</v>
      </c>
      <c r="B91" t="s">
        <v>79</v>
      </c>
      <c r="C91" t="s">
        <v>79</v>
      </c>
      <c r="D91">
        <v>500545</v>
      </c>
      <c r="E91">
        <v>500535</v>
      </c>
      <c r="F91" t="s">
        <v>102</v>
      </c>
      <c r="G91">
        <v>24924</v>
      </c>
      <c r="H91" t="s">
        <v>76</v>
      </c>
      <c r="I91" t="s">
        <v>93</v>
      </c>
      <c r="J91" s="55">
        <v>35309</v>
      </c>
      <c r="K91" s="55">
        <v>38017</v>
      </c>
      <c r="L91">
        <v>25000</v>
      </c>
      <c r="M91">
        <v>0.06</v>
      </c>
      <c r="N91">
        <v>0</v>
      </c>
      <c r="O91">
        <v>0</v>
      </c>
      <c r="P91">
        <v>0</v>
      </c>
      <c r="Q91">
        <v>0.06</v>
      </c>
      <c r="R91">
        <v>46500</v>
      </c>
      <c r="S91">
        <v>25000</v>
      </c>
      <c r="T91">
        <v>0.06</v>
      </c>
      <c r="U91">
        <v>42000</v>
      </c>
      <c r="V91">
        <v>25000</v>
      </c>
      <c r="W91">
        <v>0.06</v>
      </c>
      <c r="X91">
        <v>46500</v>
      </c>
      <c r="Y91">
        <v>25000</v>
      </c>
      <c r="Z91">
        <v>0.06</v>
      </c>
      <c r="AA91">
        <v>45000</v>
      </c>
      <c r="AB91">
        <v>25000</v>
      </c>
      <c r="AC91">
        <v>0.06</v>
      </c>
      <c r="AD91">
        <v>46500</v>
      </c>
      <c r="AE91">
        <v>25000</v>
      </c>
      <c r="AF91">
        <v>0.06</v>
      </c>
      <c r="AG91">
        <v>45000</v>
      </c>
      <c r="AH91">
        <v>25000</v>
      </c>
      <c r="AI91">
        <v>0.06</v>
      </c>
      <c r="AJ91">
        <v>46500</v>
      </c>
      <c r="AK91">
        <v>25000</v>
      </c>
      <c r="AL91">
        <v>0.06</v>
      </c>
      <c r="AM91">
        <v>46500</v>
      </c>
      <c r="AN91">
        <v>25000</v>
      </c>
      <c r="AO91">
        <v>0.06</v>
      </c>
      <c r="AP91">
        <v>45000</v>
      </c>
      <c r="AQ91">
        <v>25000</v>
      </c>
      <c r="AR91">
        <v>0.06</v>
      </c>
      <c r="AS91">
        <v>46500</v>
      </c>
      <c r="AT91">
        <v>25000</v>
      </c>
      <c r="AU91">
        <v>0.06</v>
      </c>
      <c r="AV91">
        <v>45000</v>
      </c>
      <c r="AW91">
        <v>25000</v>
      </c>
      <c r="AX91">
        <v>0.06</v>
      </c>
      <c r="AY91">
        <v>46500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">
      <c r="A92" t="s">
        <v>83</v>
      </c>
      <c r="B92" t="s">
        <v>79</v>
      </c>
      <c r="C92" t="s">
        <v>79</v>
      </c>
      <c r="D92">
        <v>500545</v>
      </c>
      <c r="E92">
        <v>500535</v>
      </c>
      <c r="F92" t="s">
        <v>110</v>
      </c>
      <c r="G92">
        <v>24925</v>
      </c>
      <c r="H92" t="s">
        <v>76</v>
      </c>
      <c r="I92" t="s">
        <v>93</v>
      </c>
      <c r="J92" s="55">
        <v>35309</v>
      </c>
      <c r="K92" s="55">
        <v>38017</v>
      </c>
      <c r="L92">
        <v>50000</v>
      </c>
      <c r="M92">
        <v>0.06</v>
      </c>
      <c r="N92">
        <v>0</v>
      </c>
      <c r="O92">
        <v>0</v>
      </c>
      <c r="P92">
        <v>0</v>
      </c>
      <c r="Q92">
        <v>0.06</v>
      </c>
      <c r="R92">
        <v>93000</v>
      </c>
      <c r="S92">
        <v>50000</v>
      </c>
      <c r="T92">
        <v>0.06</v>
      </c>
      <c r="U92">
        <v>84000</v>
      </c>
      <c r="V92">
        <v>50000</v>
      </c>
      <c r="W92">
        <v>0.06</v>
      </c>
      <c r="X92">
        <v>93000</v>
      </c>
      <c r="Y92">
        <v>50000</v>
      </c>
      <c r="Z92">
        <v>0.06</v>
      </c>
      <c r="AA92">
        <v>90000</v>
      </c>
      <c r="AB92">
        <v>50000</v>
      </c>
      <c r="AC92">
        <v>0.06</v>
      </c>
      <c r="AD92">
        <v>93000</v>
      </c>
      <c r="AE92">
        <v>50000</v>
      </c>
      <c r="AF92">
        <v>0.06</v>
      </c>
      <c r="AG92">
        <v>90000</v>
      </c>
      <c r="AH92">
        <v>50000</v>
      </c>
      <c r="AI92">
        <v>0.06</v>
      </c>
      <c r="AJ92">
        <v>93000</v>
      </c>
      <c r="AK92">
        <v>50000</v>
      </c>
      <c r="AL92">
        <v>0.06</v>
      </c>
      <c r="AM92">
        <v>93000</v>
      </c>
      <c r="AN92">
        <v>50000</v>
      </c>
      <c r="AO92">
        <v>0.06</v>
      </c>
      <c r="AP92">
        <v>90000</v>
      </c>
      <c r="AQ92">
        <v>50000</v>
      </c>
      <c r="AR92">
        <v>0.06</v>
      </c>
      <c r="AS92">
        <v>93000</v>
      </c>
      <c r="AT92">
        <v>50000</v>
      </c>
      <c r="AU92">
        <v>0.06</v>
      </c>
      <c r="AV92">
        <v>90000</v>
      </c>
      <c r="AW92">
        <v>50000</v>
      </c>
      <c r="AX92">
        <v>0.06</v>
      </c>
      <c r="AY92">
        <v>93000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">
      <c r="A93" t="s">
        <v>83</v>
      </c>
      <c r="B93" t="s">
        <v>79</v>
      </c>
      <c r="C93" t="s">
        <v>79</v>
      </c>
      <c r="D93">
        <v>500545</v>
      </c>
      <c r="E93">
        <v>500535</v>
      </c>
      <c r="F93" t="s">
        <v>101</v>
      </c>
      <c r="G93">
        <v>25397</v>
      </c>
      <c r="H93" t="s">
        <v>76</v>
      </c>
      <c r="I93" t="s">
        <v>93</v>
      </c>
      <c r="J93" s="55">
        <v>35886</v>
      </c>
      <c r="K93" s="55">
        <v>37711</v>
      </c>
      <c r="L93">
        <v>10000</v>
      </c>
      <c r="M93">
        <v>0.03</v>
      </c>
      <c r="N93">
        <v>0</v>
      </c>
      <c r="O93">
        <v>0</v>
      </c>
      <c r="P93">
        <v>0</v>
      </c>
      <c r="Q93">
        <v>0.03</v>
      </c>
      <c r="R93">
        <v>9300</v>
      </c>
      <c r="S93">
        <v>10000</v>
      </c>
      <c r="T93">
        <v>0.03</v>
      </c>
      <c r="U93">
        <v>8400</v>
      </c>
      <c r="V93">
        <v>10000</v>
      </c>
      <c r="W93">
        <v>0.03</v>
      </c>
      <c r="X93">
        <v>9300</v>
      </c>
      <c r="Y93">
        <v>10000</v>
      </c>
      <c r="Z93">
        <v>0.03</v>
      </c>
      <c r="AA93">
        <v>9000</v>
      </c>
      <c r="AB93">
        <v>10000</v>
      </c>
      <c r="AC93">
        <v>0.03</v>
      </c>
      <c r="AD93">
        <v>9300</v>
      </c>
      <c r="AE93">
        <v>10000</v>
      </c>
      <c r="AF93">
        <v>0.03</v>
      </c>
      <c r="AG93">
        <v>9000</v>
      </c>
      <c r="AH93">
        <v>10000</v>
      </c>
      <c r="AI93">
        <v>0.03</v>
      </c>
      <c r="AJ93">
        <v>9300</v>
      </c>
      <c r="AK93">
        <v>10000</v>
      </c>
      <c r="AL93">
        <v>0.03</v>
      </c>
      <c r="AM93">
        <v>9300</v>
      </c>
      <c r="AN93">
        <v>10000</v>
      </c>
      <c r="AO93">
        <v>0.03</v>
      </c>
      <c r="AP93">
        <v>9000</v>
      </c>
      <c r="AQ93">
        <v>10000</v>
      </c>
      <c r="AR93">
        <v>0.03</v>
      </c>
      <c r="AS93">
        <v>9300</v>
      </c>
      <c r="AT93">
        <v>10000</v>
      </c>
      <c r="AU93">
        <v>0.03</v>
      </c>
      <c r="AV93">
        <v>9000</v>
      </c>
      <c r="AW93">
        <v>10000</v>
      </c>
      <c r="AX93">
        <v>0.03</v>
      </c>
      <c r="AY93">
        <v>9300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">
      <c r="A94" t="s">
        <v>83</v>
      </c>
      <c r="B94" t="s">
        <v>79</v>
      </c>
      <c r="C94" t="s">
        <v>79</v>
      </c>
      <c r="D94">
        <v>500545</v>
      </c>
      <c r="E94">
        <v>500533</v>
      </c>
      <c r="F94" t="s">
        <v>114</v>
      </c>
      <c r="G94">
        <v>26044</v>
      </c>
      <c r="H94" t="s">
        <v>76</v>
      </c>
      <c r="I94" t="s">
        <v>93</v>
      </c>
      <c r="J94" s="55">
        <v>35886</v>
      </c>
      <c r="K94" s="55">
        <v>37925</v>
      </c>
      <c r="L94">
        <v>85000</v>
      </c>
      <c r="M94">
        <v>0.03</v>
      </c>
      <c r="N94">
        <v>0</v>
      </c>
      <c r="O94">
        <v>0</v>
      </c>
      <c r="P94">
        <v>0</v>
      </c>
      <c r="Q94">
        <v>0.03</v>
      </c>
      <c r="R94">
        <v>79050</v>
      </c>
      <c r="S94">
        <v>85000</v>
      </c>
      <c r="T94">
        <v>0.03</v>
      </c>
      <c r="U94">
        <v>71400</v>
      </c>
      <c r="V94">
        <v>85000</v>
      </c>
      <c r="W94">
        <v>0.03</v>
      </c>
      <c r="X94">
        <v>79050</v>
      </c>
      <c r="Y94">
        <v>85000</v>
      </c>
      <c r="Z94">
        <v>0.03</v>
      </c>
      <c r="AA94">
        <v>76500</v>
      </c>
      <c r="AB94">
        <v>85000</v>
      </c>
      <c r="AC94">
        <v>0.03</v>
      </c>
      <c r="AD94">
        <v>79050</v>
      </c>
      <c r="AE94">
        <v>85000</v>
      </c>
      <c r="AF94">
        <v>0.03</v>
      </c>
      <c r="AG94">
        <v>76500</v>
      </c>
      <c r="AH94">
        <v>85000</v>
      </c>
      <c r="AI94">
        <v>0.03</v>
      </c>
      <c r="AJ94">
        <v>79050</v>
      </c>
      <c r="AK94">
        <v>85000</v>
      </c>
      <c r="AL94">
        <v>0.03</v>
      </c>
      <c r="AM94">
        <v>79050</v>
      </c>
      <c r="AN94">
        <v>85000</v>
      </c>
      <c r="AO94">
        <v>0.03</v>
      </c>
      <c r="AP94">
        <v>76500</v>
      </c>
      <c r="AQ94">
        <v>85000</v>
      </c>
      <c r="AR94">
        <v>0.03</v>
      </c>
      <c r="AS94">
        <v>79050</v>
      </c>
      <c r="AT94">
        <v>85000</v>
      </c>
      <c r="AU94">
        <v>0.03</v>
      </c>
      <c r="AV94">
        <v>76500</v>
      </c>
      <c r="AW94">
        <v>85000</v>
      </c>
      <c r="AX94">
        <v>0.03</v>
      </c>
      <c r="AY94">
        <v>79050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">
      <c r="A95" t="s">
        <v>83</v>
      </c>
      <c r="B95" t="s">
        <v>79</v>
      </c>
      <c r="C95" t="s">
        <v>79</v>
      </c>
      <c r="D95">
        <v>500545</v>
      </c>
      <c r="E95">
        <v>500533</v>
      </c>
      <c r="F95" t="s">
        <v>114</v>
      </c>
      <c r="G95">
        <v>26436</v>
      </c>
      <c r="H95" t="s">
        <v>76</v>
      </c>
      <c r="I95" t="s">
        <v>93</v>
      </c>
      <c r="J95" s="55">
        <v>36100</v>
      </c>
      <c r="K95" s="55">
        <v>37955</v>
      </c>
      <c r="L95">
        <v>59000</v>
      </c>
      <c r="M95">
        <v>0.05</v>
      </c>
      <c r="N95">
        <v>0</v>
      </c>
      <c r="O95">
        <v>0</v>
      </c>
      <c r="P95">
        <v>0</v>
      </c>
      <c r="Q95">
        <v>0.05</v>
      </c>
      <c r="R95">
        <v>91450</v>
      </c>
      <c r="S95">
        <v>59000</v>
      </c>
      <c r="T95">
        <v>0.05</v>
      </c>
      <c r="U95">
        <v>82600</v>
      </c>
      <c r="V95">
        <v>59000</v>
      </c>
      <c r="W95">
        <v>0.05</v>
      </c>
      <c r="X95">
        <v>91450</v>
      </c>
      <c r="Y95">
        <v>59000</v>
      </c>
      <c r="Z95">
        <v>0.05</v>
      </c>
      <c r="AA95">
        <v>88500</v>
      </c>
      <c r="AB95">
        <v>59000</v>
      </c>
      <c r="AC95">
        <v>0.05</v>
      </c>
      <c r="AD95">
        <v>91450</v>
      </c>
      <c r="AE95">
        <v>59000</v>
      </c>
      <c r="AF95">
        <v>0.05</v>
      </c>
      <c r="AG95">
        <v>88500</v>
      </c>
      <c r="AH95">
        <v>59000</v>
      </c>
      <c r="AI95">
        <v>0.05</v>
      </c>
      <c r="AJ95">
        <v>91450</v>
      </c>
      <c r="AK95">
        <v>59000</v>
      </c>
      <c r="AL95">
        <v>0.05</v>
      </c>
      <c r="AM95">
        <v>91450</v>
      </c>
      <c r="AN95">
        <v>59000</v>
      </c>
      <c r="AO95">
        <v>0.05</v>
      </c>
      <c r="AP95">
        <v>88500</v>
      </c>
      <c r="AQ95">
        <v>59000</v>
      </c>
      <c r="AR95">
        <v>0.05</v>
      </c>
      <c r="AS95">
        <v>91450</v>
      </c>
      <c r="AT95">
        <v>59000</v>
      </c>
      <c r="AU95">
        <v>0.05</v>
      </c>
      <c r="AV95">
        <v>88500</v>
      </c>
      <c r="AW95">
        <v>59000</v>
      </c>
      <c r="AX95">
        <v>0.05</v>
      </c>
      <c r="AY95">
        <v>91450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">
      <c r="A96" t="s">
        <v>125</v>
      </c>
      <c r="G96" s="42" t="s">
        <v>2</v>
      </c>
      <c r="H96" s="42" t="s">
        <v>76</v>
      </c>
      <c r="L96" s="42">
        <f>SUM(L91:L95)</f>
        <v>229000</v>
      </c>
      <c r="R96" s="42">
        <f>SUM(R91:R95)</f>
        <v>319300</v>
      </c>
      <c r="S96" s="42">
        <f>SUM(S91:S95)</f>
        <v>229000</v>
      </c>
      <c r="U96" s="42">
        <f>SUM(U91:U95)</f>
        <v>288400</v>
      </c>
      <c r="V96" s="42">
        <f>SUM(V91:V95)</f>
        <v>229000</v>
      </c>
      <c r="X96" s="42">
        <f>SUM(X91:X95)</f>
        <v>319300</v>
      </c>
      <c r="Y96" s="42">
        <f>SUM(Y91:Y95)</f>
        <v>229000</v>
      </c>
      <c r="AA96" s="42">
        <f>SUM(AA91:AA95)</f>
        <v>309000</v>
      </c>
      <c r="AB96" s="42">
        <f>SUM(AB91:AB95)</f>
        <v>229000</v>
      </c>
      <c r="AD96" s="42">
        <f>SUM(AD91:AD95)</f>
        <v>319300</v>
      </c>
      <c r="AE96" s="42">
        <f>SUM(AE91:AE95)</f>
        <v>229000</v>
      </c>
      <c r="AG96" s="42">
        <f>SUM(AG91:AG95)</f>
        <v>309000</v>
      </c>
      <c r="AH96" s="42">
        <f>SUM(AH91:AH95)</f>
        <v>229000</v>
      </c>
      <c r="AJ96" s="42">
        <f>SUM(AJ91:AJ95)</f>
        <v>319300</v>
      </c>
      <c r="AK96" s="42">
        <f>SUM(AK91:AK95)</f>
        <v>229000</v>
      </c>
      <c r="AM96" s="42">
        <f>SUM(AM91:AM95)</f>
        <v>319300</v>
      </c>
      <c r="AN96" s="42">
        <f>SUM(AN91:AN95)</f>
        <v>229000</v>
      </c>
      <c r="AP96" s="42">
        <f>SUM(AP91:AP95)</f>
        <v>309000</v>
      </c>
      <c r="AQ96" s="42">
        <f>SUM(AQ91:AQ95)</f>
        <v>229000</v>
      </c>
      <c r="AS96" s="42">
        <f>SUM(AS91:AS95)</f>
        <v>319300</v>
      </c>
      <c r="AT96" s="42">
        <f>SUM(AT91:AT95)</f>
        <v>229000</v>
      </c>
      <c r="AV96" s="42">
        <f>SUM(AV91:AV95)</f>
        <v>309000</v>
      </c>
      <c r="AW96" s="42">
        <f>SUM(AW91:AW95)</f>
        <v>229000</v>
      </c>
      <c r="AY96" s="42">
        <f>SUM(AY91:AY95)</f>
        <v>319300</v>
      </c>
      <c r="AZ96" s="42">
        <f>SUM(AZ91:AZ95)</f>
        <v>0</v>
      </c>
      <c r="BB96" s="42">
        <f>SUM(BB91:BB95)</f>
        <v>0</v>
      </c>
      <c r="BC96" s="42">
        <f>SUM(BC91:BC95)</f>
        <v>0</v>
      </c>
      <c r="BE96" s="42">
        <f>SUM(BE91:BE95)</f>
        <v>0</v>
      </c>
      <c r="BF96" s="42">
        <f>SUM(BF91:BF95)</f>
        <v>0</v>
      </c>
      <c r="BH96" s="42">
        <f>SUM(BH91:BH95)</f>
        <v>0</v>
      </c>
      <c r="BI96" s="42">
        <f>SUM(BI91:BI95)</f>
        <v>0</v>
      </c>
      <c r="BK96" s="42">
        <f>SUM(BK91:BK95)</f>
        <v>0</v>
      </c>
      <c r="BL96" s="42">
        <f>SUM(BL91:BL95)</f>
        <v>0</v>
      </c>
      <c r="BN96" s="42">
        <f>SUM(BN91:BN95)</f>
        <v>0</v>
      </c>
      <c r="BO96" s="42">
        <f>SUM(BO91:BO95)</f>
        <v>0</v>
      </c>
      <c r="BQ96" s="42">
        <f>SUM(BQ91:BQ95)</f>
        <v>0</v>
      </c>
      <c r="BR96" s="42">
        <f>SUM(BR91:BR95)</f>
        <v>0</v>
      </c>
      <c r="BT96" s="42">
        <f>SUM(BT91:BT95)</f>
        <v>0</v>
      </c>
      <c r="BU96" s="42">
        <f>SUM(BU91:BU95)</f>
        <v>0</v>
      </c>
      <c r="BW96" s="42">
        <f>SUM(BW91:BW95)</f>
        <v>0</v>
      </c>
      <c r="BX96" s="42">
        <f>SUM(BX91:BX95)</f>
        <v>0</v>
      </c>
      <c r="BZ96" s="42">
        <f>SUM(BZ91:BZ95)</f>
        <v>0</v>
      </c>
      <c r="CA96" s="42">
        <f>SUM(CA91:CA95)</f>
        <v>0</v>
      </c>
      <c r="CC96" s="42">
        <f>SUM(CC91:CC95)</f>
        <v>0</v>
      </c>
      <c r="CD96" s="42">
        <f>SUM(CD91:CD95)</f>
        <v>0</v>
      </c>
      <c r="CF96" s="42">
        <f>SUM(CF91:CF95)</f>
        <v>0</v>
      </c>
      <c r="CG96" s="42">
        <f>SUM(CG91:CG95)</f>
        <v>0</v>
      </c>
      <c r="CI96" s="42">
        <f>SUM(CI91:CI95)</f>
        <v>0</v>
      </c>
      <c r="CJ96" s="42">
        <f>SUM(CJ91:CJ95)</f>
        <v>0</v>
      </c>
      <c r="CL96" s="42">
        <f>SUM(CL91:CL95)</f>
        <v>0</v>
      </c>
      <c r="CM96" s="42">
        <f>SUM(CM91:CM95)</f>
        <v>0</v>
      </c>
      <c r="CO96" s="42">
        <f>SUM(CO91:CO95)</f>
        <v>0</v>
      </c>
      <c r="CP96" s="42">
        <f>SUM(CP91:CP95)</f>
        <v>0</v>
      </c>
      <c r="CR96" s="42">
        <f>SUM(CR91:CR95)</f>
        <v>0</v>
      </c>
      <c r="CS96" s="42">
        <f>SUM(CS91:CS95)</f>
        <v>0</v>
      </c>
      <c r="CU96" s="42">
        <f>SUM(CU91:CU95)</f>
        <v>0</v>
      </c>
      <c r="CV96" s="42">
        <f>SUM(CV91:CV95)</f>
        <v>0</v>
      </c>
      <c r="CX96" s="42">
        <f>SUM(CX91:CX95)</f>
        <v>0</v>
      </c>
      <c r="CY96" s="42">
        <f>SUM(CY91:CY95)</f>
        <v>0</v>
      </c>
      <c r="DA96" s="42">
        <f>SUM(DA91:DA95)</f>
        <v>0</v>
      </c>
      <c r="DB96" s="42">
        <f>SUM(DB91:DB95)</f>
        <v>0</v>
      </c>
      <c r="DD96" s="42">
        <f>SUM(DD91:DD95)</f>
        <v>0</v>
      </c>
      <c r="DE96" s="42">
        <f>SUM(DE91:DE95)</f>
        <v>0</v>
      </c>
      <c r="DG96" s="42">
        <f>SUM(DG91:DG95)</f>
        <v>0</v>
      </c>
      <c r="DH96" s="42">
        <f>SUM(DH91:DH95)</f>
        <v>0</v>
      </c>
      <c r="DJ96" s="42">
        <f>SUM(DJ91:DJ95)</f>
        <v>0</v>
      </c>
      <c r="DK96" s="42">
        <f>SUM(DK91:DK95)</f>
        <v>0</v>
      </c>
      <c r="DM96" s="42">
        <f>SUM(DM91:DM95)</f>
        <v>0</v>
      </c>
      <c r="DN96" s="42">
        <f>SUM(DN91:DN95)</f>
        <v>0</v>
      </c>
      <c r="DP96" s="42">
        <f>SUM(DP91:DP95)</f>
        <v>0</v>
      </c>
      <c r="DQ96" s="42">
        <f>SUM(DQ91:DQ95)</f>
        <v>0</v>
      </c>
      <c r="DS96" s="42">
        <f>SUM(DS91:DS95)</f>
        <v>0</v>
      </c>
    </row>
    <row r="97" spans="1:123" x14ac:dyDescent="0.2">
      <c r="A97" s="42" t="s">
        <v>89</v>
      </c>
      <c r="G97" s="42"/>
      <c r="H97" s="42"/>
      <c r="L97" s="42">
        <f>SUM(0+L96)</f>
        <v>229000</v>
      </c>
      <c r="R97" s="42">
        <f>SUM(0+R96)</f>
        <v>319300</v>
      </c>
      <c r="S97" s="42">
        <f>SUM(0+S96)</f>
        <v>229000</v>
      </c>
      <c r="U97" s="42">
        <f>SUM(0+U96)</f>
        <v>288400</v>
      </c>
      <c r="V97" s="42">
        <f>SUM(0+V96)</f>
        <v>229000</v>
      </c>
      <c r="X97" s="42">
        <f>SUM(0+X96)</f>
        <v>319300</v>
      </c>
      <c r="Y97" s="42">
        <f>SUM(0+Y96)</f>
        <v>229000</v>
      </c>
      <c r="AA97" s="42">
        <f>SUM(0+AA96)</f>
        <v>309000</v>
      </c>
      <c r="AB97" s="42">
        <f>SUM(0+AB96)</f>
        <v>229000</v>
      </c>
      <c r="AD97" s="42">
        <f>SUM(0+AD96)</f>
        <v>319300</v>
      </c>
      <c r="AE97" s="42">
        <f>SUM(0+AE96)</f>
        <v>229000</v>
      </c>
      <c r="AG97" s="42">
        <f>SUM(0+AG96)</f>
        <v>309000</v>
      </c>
      <c r="AH97" s="42">
        <f>SUM(0+AH96)</f>
        <v>229000</v>
      </c>
      <c r="AJ97" s="42">
        <f>SUM(0+AJ96)</f>
        <v>319300</v>
      </c>
      <c r="AK97" s="42">
        <f>SUM(0+AK96)</f>
        <v>229000</v>
      </c>
      <c r="AM97" s="42">
        <f>SUM(0+AM96)</f>
        <v>319300</v>
      </c>
      <c r="AN97" s="42">
        <f>SUM(0+AN96)</f>
        <v>229000</v>
      </c>
      <c r="AP97" s="42">
        <f>SUM(0+AP96)</f>
        <v>309000</v>
      </c>
      <c r="AQ97" s="42">
        <f>SUM(0+AQ96)</f>
        <v>229000</v>
      </c>
      <c r="AS97" s="42">
        <f>SUM(0+AS96)</f>
        <v>319300</v>
      </c>
      <c r="AT97" s="42">
        <f>SUM(0+AT96)</f>
        <v>229000</v>
      </c>
      <c r="AV97" s="42">
        <f>SUM(0+AV96)</f>
        <v>309000</v>
      </c>
      <c r="AW97" s="42">
        <f>SUM(0+AW96)</f>
        <v>229000</v>
      </c>
      <c r="AY97" s="42">
        <f>SUM(0+AY96)</f>
        <v>319300</v>
      </c>
      <c r="AZ97" s="42">
        <f>SUM(0+AZ96)</f>
        <v>0</v>
      </c>
      <c r="BB97" s="42">
        <f>SUM(0+BB96)</f>
        <v>0</v>
      </c>
      <c r="BC97" s="42">
        <f>SUM(0+BC96)</f>
        <v>0</v>
      </c>
      <c r="BE97" s="42">
        <f>SUM(0+BE96)</f>
        <v>0</v>
      </c>
      <c r="BF97" s="42">
        <f>SUM(0+BF96)</f>
        <v>0</v>
      </c>
      <c r="BH97" s="42">
        <f>SUM(0+BH96)</f>
        <v>0</v>
      </c>
      <c r="BI97" s="42">
        <f>SUM(0+BI96)</f>
        <v>0</v>
      </c>
      <c r="BK97" s="42">
        <f>SUM(0+BK96)</f>
        <v>0</v>
      </c>
      <c r="BL97" s="42">
        <f>SUM(0+BL96)</f>
        <v>0</v>
      </c>
      <c r="BN97" s="42">
        <f>SUM(0+BN96)</f>
        <v>0</v>
      </c>
      <c r="BO97" s="42">
        <f>SUM(0+BO96)</f>
        <v>0</v>
      </c>
      <c r="BQ97" s="42">
        <f>SUM(0+BQ96)</f>
        <v>0</v>
      </c>
      <c r="BR97" s="42">
        <f>SUM(0+BR96)</f>
        <v>0</v>
      </c>
      <c r="BT97" s="42">
        <f>SUM(0+BT96)</f>
        <v>0</v>
      </c>
      <c r="BU97" s="42">
        <f>SUM(0+BU96)</f>
        <v>0</v>
      </c>
      <c r="BW97" s="42">
        <f>SUM(0+BW96)</f>
        <v>0</v>
      </c>
      <c r="BX97" s="42">
        <f>SUM(0+BX96)</f>
        <v>0</v>
      </c>
      <c r="BZ97" s="42">
        <f>SUM(0+BZ96)</f>
        <v>0</v>
      </c>
      <c r="CA97" s="42">
        <f>SUM(0+CA96)</f>
        <v>0</v>
      </c>
      <c r="CC97" s="42">
        <f>SUM(0+CC96)</f>
        <v>0</v>
      </c>
      <c r="CD97" s="42">
        <f>SUM(0+CD96)</f>
        <v>0</v>
      </c>
      <c r="CF97" s="42">
        <f>SUM(0+CF96)</f>
        <v>0</v>
      </c>
      <c r="CG97" s="42">
        <f>SUM(0+CG96)</f>
        <v>0</v>
      </c>
      <c r="CI97" s="42">
        <f>SUM(0+CI96)</f>
        <v>0</v>
      </c>
      <c r="CJ97" s="42">
        <f>SUM(0+CJ96)</f>
        <v>0</v>
      </c>
      <c r="CL97" s="42">
        <f>SUM(0+CL96)</f>
        <v>0</v>
      </c>
      <c r="CM97" s="42">
        <f>SUM(0+CM96)</f>
        <v>0</v>
      </c>
      <c r="CO97" s="42">
        <f>SUM(0+CO96)</f>
        <v>0</v>
      </c>
      <c r="CP97" s="42">
        <f>SUM(0+CP96)</f>
        <v>0</v>
      </c>
      <c r="CR97" s="42">
        <f>SUM(0+CR96)</f>
        <v>0</v>
      </c>
      <c r="CS97" s="42">
        <f>SUM(0+CS96)</f>
        <v>0</v>
      </c>
      <c r="CU97" s="42">
        <f>SUM(0+CU96)</f>
        <v>0</v>
      </c>
      <c r="CV97" s="42">
        <f>SUM(0+CV96)</f>
        <v>0</v>
      </c>
      <c r="CX97" s="42">
        <f>SUM(0+CX96)</f>
        <v>0</v>
      </c>
      <c r="CY97" s="42">
        <f>SUM(0+CY96)</f>
        <v>0</v>
      </c>
      <c r="DA97" s="42">
        <f>SUM(0+DA96)</f>
        <v>0</v>
      </c>
      <c r="DB97" s="42">
        <f>SUM(0+DB96)</f>
        <v>0</v>
      </c>
      <c r="DD97" s="42">
        <f>SUM(0+DD96)</f>
        <v>0</v>
      </c>
      <c r="DE97" s="42">
        <f>SUM(0+DE96)</f>
        <v>0</v>
      </c>
      <c r="DG97" s="42">
        <f>SUM(0+DG96)</f>
        <v>0</v>
      </c>
      <c r="DH97" s="42">
        <f>SUM(0+DH96)</f>
        <v>0</v>
      </c>
      <c r="DJ97" s="42">
        <f>SUM(0+DJ96)</f>
        <v>0</v>
      </c>
      <c r="DK97" s="42">
        <f>SUM(0+DK96)</f>
        <v>0</v>
      </c>
      <c r="DM97" s="42">
        <f>SUM(0+DM96)</f>
        <v>0</v>
      </c>
      <c r="DN97" s="42">
        <f>SUM(0+DN96)</f>
        <v>0</v>
      </c>
      <c r="DP97" s="42">
        <f>SUM(0+DP96)</f>
        <v>0</v>
      </c>
      <c r="DQ97" s="42">
        <f>SUM(0+DQ96)</f>
        <v>0</v>
      </c>
      <c r="DS97" s="42">
        <f>SUM(0+DS96)</f>
        <v>0</v>
      </c>
    </row>
    <row r="98" spans="1:123" x14ac:dyDescent="0.2">
      <c r="A98" t="s">
        <v>127</v>
      </c>
      <c r="B98" t="s">
        <v>80</v>
      </c>
      <c r="C98" t="s">
        <v>79</v>
      </c>
      <c r="D98">
        <v>56709</v>
      </c>
      <c r="E98">
        <v>56498</v>
      </c>
      <c r="F98" t="s">
        <v>116</v>
      </c>
      <c r="G98">
        <v>20715</v>
      </c>
      <c r="H98" t="s">
        <v>76</v>
      </c>
      <c r="I98" t="s">
        <v>93</v>
      </c>
      <c r="J98" s="55">
        <v>33664</v>
      </c>
      <c r="K98" s="55">
        <v>402133</v>
      </c>
      <c r="L98">
        <v>200000</v>
      </c>
      <c r="M98">
        <v>0.1052</v>
      </c>
      <c r="N98">
        <v>0</v>
      </c>
      <c r="O98">
        <v>0</v>
      </c>
      <c r="P98">
        <v>0</v>
      </c>
      <c r="Q98">
        <v>0.1052</v>
      </c>
      <c r="R98">
        <v>652240</v>
      </c>
      <c r="S98">
        <v>200000</v>
      </c>
      <c r="T98">
        <v>0.1052</v>
      </c>
      <c r="U98">
        <v>589120</v>
      </c>
      <c r="V98">
        <v>200000</v>
      </c>
      <c r="W98">
        <v>0.1052</v>
      </c>
      <c r="X98">
        <v>652240</v>
      </c>
      <c r="Y98">
        <v>200000</v>
      </c>
      <c r="Z98">
        <v>0.1052</v>
      </c>
      <c r="AA98">
        <v>631200</v>
      </c>
      <c r="AB98">
        <v>200000</v>
      </c>
      <c r="AC98">
        <v>0.1052</v>
      </c>
      <c r="AD98">
        <v>652240</v>
      </c>
      <c r="AE98">
        <v>200000</v>
      </c>
      <c r="AF98">
        <v>0.1052</v>
      </c>
      <c r="AG98">
        <v>631200</v>
      </c>
      <c r="AH98">
        <v>200000</v>
      </c>
      <c r="AI98">
        <v>0.1052</v>
      </c>
      <c r="AJ98">
        <v>652240</v>
      </c>
      <c r="AK98">
        <v>200000</v>
      </c>
      <c r="AL98">
        <v>0.1052</v>
      </c>
      <c r="AM98">
        <v>652240</v>
      </c>
      <c r="AN98">
        <v>200000</v>
      </c>
      <c r="AO98">
        <v>0.1052</v>
      </c>
      <c r="AP98">
        <v>631200</v>
      </c>
      <c r="AQ98">
        <v>200000</v>
      </c>
      <c r="AR98">
        <v>0.1052</v>
      </c>
      <c r="AS98">
        <v>652240</v>
      </c>
      <c r="AT98">
        <v>200000</v>
      </c>
      <c r="AU98">
        <v>0.1052</v>
      </c>
      <c r="AV98">
        <v>631200</v>
      </c>
      <c r="AW98">
        <v>200000</v>
      </c>
      <c r="AX98">
        <v>0.1052</v>
      </c>
      <c r="AY98">
        <v>652240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">
      <c r="A99" t="s">
        <v>127</v>
      </c>
      <c r="B99" t="s">
        <v>80</v>
      </c>
      <c r="C99" t="s">
        <v>79</v>
      </c>
      <c r="D99">
        <v>56709</v>
      </c>
      <c r="E99">
        <v>56498</v>
      </c>
      <c r="F99" t="s">
        <v>227</v>
      </c>
      <c r="G99">
        <v>20834</v>
      </c>
      <c r="H99" t="s">
        <v>76</v>
      </c>
      <c r="I99" t="s">
        <v>93</v>
      </c>
      <c r="J99" s="55">
        <v>33664</v>
      </c>
      <c r="K99" s="55">
        <v>402133</v>
      </c>
      <c r="L99">
        <v>25000</v>
      </c>
      <c r="M99">
        <v>0.1052</v>
      </c>
      <c r="N99">
        <v>0</v>
      </c>
      <c r="O99">
        <v>0</v>
      </c>
      <c r="P99">
        <v>0</v>
      </c>
      <c r="Q99">
        <v>0.1052</v>
      </c>
      <c r="R99">
        <v>81530</v>
      </c>
      <c r="S99">
        <v>25000</v>
      </c>
      <c r="T99">
        <v>0.1052</v>
      </c>
      <c r="U99">
        <v>73640</v>
      </c>
      <c r="V99">
        <v>25000</v>
      </c>
      <c r="W99">
        <v>0.1052</v>
      </c>
      <c r="X99">
        <v>81530</v>
      </c>
      <c r="Y99">
        <v>25000</v>
      </c>
      <c r="Z99">
        <v>0.1052</v>
      </c>
      <c r="AA99">
        <v>78900</v>
      </c>
      <c r="AB99">
        <v>25000</v>
      </c>
      <c r="AC99">
        <v>0.1052</v>
      </c>
      <c r="AD99">
        <v>81530</v>
      </c>
      <c r="AE99">
        <v>25000</v>
      </c>
      <c r="AF99">
        <v>0.1052</v>
      </c>
      <c r="AG99">
        <v>78900</v>
      </c>
      <c r="AH99">
        <v>25000</v>
      </c>
      <c r="AI99">
        <v>0.1052</v>
      </c>
      <c r="AJ99">
        <v>81530</v>
      </c>
      <c r="AK99">
        <v>25000</v>
      </c>
      <c r="AL99">
        <v>0.1052</v>
      </c>
      <c r="AM99">
        <v>81530</v>
      </c>
      <c r="AN99">
        <v>25000</v>
      </c>
      <c r="AO99">
        <v>0.1052</v>
      </c>
      <c r="AP99">
        <v>78900</v>
      </c>
      <c r="AQ99">
        <v>25000</v>
      </c>
      <c r="AR99">
        <v>0.1052</v>
      </c>
      <c r="AS99">
        <v>81530</v>
      </c>
      <c r="AT99">
        <v>25000</v>
      </c>
      <c r="AU99">
        <v>0.1052</v>
      </c>
      <c r="AV99">
        <v>78900</v>
      </c>
      <c r="AW99">
        <v>25000</v>
      </c>
      <c r="AX99">
        <v>0.1052</v>
      </c>
      <c r="AY99">
        <v>81530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">
      <c r="A100" t="s">
        <v>127</v>
      </c>
      <c r="B100" t="s">
        <v>80</v>
      </c>
      <c r="C100" t="s">
        <v>79</v>
      </c>
      <c r="D100">
        <v>56709</v>
      </c>
      <c r="E100">
        <v>56498</v>
      </c>
      <c r="F100" t="s">
        <v>124</v>
      </c>
      <c r="G100">
        <v>20835</v>
      </c>
      <c r="H100" t="s">
        <v>76</v>
      </c>
      <c r="I100" t="s">
        <v>93</v>
      </c>
      <c r="J100" s="55">
        <v>33664</v>
      </c>
      <c r="K100" s="55">
        <v>37315</v>
      </c>
      <c r="L100">
        <v>20000</v>
      </c>
      <c r="M100">
        <v>0.1052</v>
      </c>
      <c r="N100">
        <v>0</v>
      </c>
      <c r="O100">
        <v>0</v>
      </c>
      <c r="P100">
        <v>0</v>
      </c>
      <c r="Q100">
        <v>0.1052</v>
      </c>
      <c r="R100">
        <v>65224</v>
      </c>
      <c r="S100">
        <v>20000</v>
      </c>
      <c r="T100">
        <v>0.1052</v>
      </c>
      <c r="U100">
        <v>58912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">
      <c r="A101" t="s">
        <v>127</v>
      </c>
      <c r="B101" t="s">
        <v>80</v>
      </c>
      <c r="C101" t="s">
        <v>79</v>
      </c>
      <c r="D101">
        <v>56709</v>
      </c>
      <c r="E101">
        <v>56498</v>
      </c>
      <c r="F101" t="s">
        <v>123</v>
      </c>
      <c r="G101">
        <v>21175</v>
      </c>
      <c r="H101" t="s">
        <v>76</v>
      </c>
      <c r="I101" t="s">
        <v>93</v>
      </c>
      <c r="J101" s="55">
        <v>33679</v>
      </c>
      <c r="K101" s="55">
        <v>402133</v>
      </c>
      <c r="L101">
        <v>150000</v>
      </c>
      <c r="M101">
        <v>0.1052</v>
      </c>
      <c r="N101">
        <v>0</v>
      </c>
      <c r="O101">
        <v>0</v>
      </c>
      <c r="P101">
        <v>0</v>
      </c>
      <c r="Q101">
        <v>0.1052</v>
      </c>
      <c r="R101">
        <v>489180</v>
      </c>
      <c r="S101">
        <v>150000</v>
      </c>
      <c r="T101">
        <v>0.1052</v>
      </c>
      <c r="U101">
        <v>441840</v>
      </c>
      <c r="V101">
        <v>150000</v>
      </c>
      <c r="W101">
        <v>0.1052</v>
      </c>
      <c r="X101">
        <v>489180</v>
      </c>
      <c r="Y101">
        <v>150000</v>
      </c>
      <c r="Z101">
        <v>0.1052</v>
      </c>
      <c r="AA101">
        <v>473400</v>
      </c>
      <c r="AB101">
        <v>150000</v>
      </c>
      <c r="AC101">
        <v>0.1052</v>
      </c>
      <c r="AD101">
        <v>489180</v>
      </c>
      <c r="AE101">
        <v>150000</v>
      </c>
      <c r="AF101">
        <v>0.1052</v>
      </c>
      <c r="AG101">
        <v>473400</v>
      </c>
      <c r="AH101">
        <v>150000</v>
      </c>
      <c r="AI101">
        <v>0.1052</v>
      </c>
      <c r="AJ101">
        <v>489180</v>
      </c>
      <c r="AK101">
        <v>150000</v>
      </c>
      <c r="AL101">
        <v>0.1052</v>
      </c>
      <c r="AM101">
        <v>489180</v>
      </c>
      <c r="AN101">
        <v>150000</v>
      </c>
      <c r="AO101">
        <v>0.1052</v>
      </c>
      <c r="AP101">
        <v>473400</v>
      </c>
      <c r="AQ101">
        <v>150000</v>
      </c>
      <c r="AR101">
        <v>0.1052</v>
      </c>
      <c r="AS101">
        <v>489180</v>
      </c>
      <c r="AT101">
        <v>150000</v>
      </c>
      <c r="AU101">
        <v>0.1052</v>
      </c>
      <c r="AV101">
        <v>473400</v>
      </c>
      <c r="AW101">
        <v>150000</v>
      </c>
      <c r="AX101">
        <v>0.1052</v>
      </c>
      <c r="AY101">
        <v>489180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">
      <c r="A102" t="s">
        <v>127</v>
      </c>
      <c r="B102" t="s">
        <v>80</v>
      </c>
      <c r="C102" t="s">
        <v>79</v>
      </c>
      <c r="D102">
        <v>56709</v>
      </c>
      <c r="E102">
        <v>56498</v>
      </c>
      <c r="F102" t="s">
        <v>108</v>
      </c>
      <c r="G102">
        <v>25923</v>
      </c>
      <c r="H102" t="s">
        <v>76</v>
      </c>
      <c r="I102" t="s">
        <v>93</v>
      </c>
      <c r="J102" s="55">
        <v>35855</v>
      </c>
      <c r="K102" s="55">
        <v>402133</v>
      </c>
      <c r="L102">
        <v>20000</v>
      </c>
      <c r="M102">
        <v>0.1052</v>
      </c>
      <c r="N102">
        <v>0</v>
      </c>
      <c r="O102">
        <v>0</v>
      </c>
      <c r="P102">
        <v>0</v>
      </c>
      <c r="Q102">
        <v>0.1052</v>
      </c>
      <c r="R102">
        <v>65224</v>
      </c>
      <c r="S102">
        <v>20000</v>
      </c>
      <c r="T102">
        <v>0.1052</v>
      </c>
      <c r="U102">
        <v>58912</v>
      </c>
      <c r="V102">
        <v>20000</v>
      </c>
      <c r="W102">
        <v>0.1052</v>
      </c>
      <c r="X102">
        <v>65224</v>
      </c>
      <c r="Y102">
        <v>20000</v>
      </c>
      <c r="Z102">
        <v>0.1052</v>
      </c>
      <c r="AA102">
        <v>63120</v>
      </c>
      <c r="AB102">
        <v>20000</v>
      </c>
      <c r="AC102">
        <v>0.1052</v>
      </c>
      <c r="AD102">
        <v>65224</v>
      </c>
      <c r="AE102">
        <v>20000</v>
      </c>
      <c r="AF102">
        <v>0.1052</v>
      </c>
      <c r="AG102">
        <v>63120</v>
      </c>
      <c r="AH102">
        <v>20000</v>
      </c>
      <c r="AI102">
        <v>0.1052</v>
      </c>
      <c r="AJ102">
        <v>65224</v>
      </c>
      <c r="AK102">
        <v>20000</v>
      </c>
      <c r="AL102">
        <v>0.1052</v>
      </c>
      <c r="AM102">
        <v>65224</v>
      </c>
      <c r="AN102">
        <v>20000</v>
      </c>
      <c r="AO102">
        <v>0.1052</v>
      </c>
      <c r="AP102">
        <v>63120</v>
      </c>
      <c r="AQ102">
        <v>20000</v>
      </c>
      <c r="AR102">
        <v>0.1052</v>
      </c>
      <c r="AS102">
        <v>65224</v>
      </c>
      <c r="AT102">
        <v>20000</v>
      </c>
      <c r="AU102">
        <v>0.1052</v>
      </c>
      <c r="AV102">
        <v>63120</v>
      </c>
      <c r="AW102">
        <v>20000</v>
      </c>
      <c r="AX102">
        <v>0.1052</v>
      </c>
      <c r="AY102">
        <v>65224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">
      <c r="A103" t="s">
        <v>127</v>
      </c>
      <c r="B103" t="s">
        <v>80</v>
      </c>
      <c r="C103" t="s">
        <v>79</v>
      </c>
      <c r="D103">
        <v>56709</v>
      </c>
      <c r="E103">
        <v>56498</v>
      </c>
      <c r="F103" t="s">
        <v>98</v>
      </c>
      <c r="G103">
        <v>26371</v>
      </c>
      <c r="H103" t="s">
        <v>76</v>
      </c>
      <c r="I103" t="s">
        <v>93</v>
      </c>
      <c r="J103" s="55">
        <v>36100</v>
      </c>
      <c r="K103" s="55">
        <v>402133</v>
      </c>
      <c r="L103">
        <v>25000</v>
      </c>
      <c r="M103">
        <v>0.1052</v>
      </c>
      <c r="N103">
        <v>0</v>
      </c>
      <c r="O103">
        <v>0</v>
      </c>
      <c r="P103">
        <v>0</v>
      </c>
      <c r="Q103">
        <v>0.1052</v>
      </c>
      <c r="R103">
        <v>81530</v>
      </c>
      <c r="S103">
        <v>25000</v>
      </c>
      <c r="T103">
        <v>0.1052</v>
      </c>
      <c r="U103">
        <v>73640</v>
      </c>
      <c r="V103">
        <v>25000</v>
      </c>
      <c r="W103">
        <v>0.1052</v>
      </c>
      <c r="X103">
        <v>81530</v>
      </c>
      <c r="Y103">
        <v>25000</v>
      </c>
      <c r="Z103">
        <v>0.1052</v>
      </c>
      <c r="AA103">
        <v>78900</v>
      </c>
      <c r="AB103">
        <v>25000</v>
      </c>
      <c r="AC103">
        <v>0.1052</v>
      </c>
      <c r="AD103">
        <v>81530</v>
      </c>
      <c r="AE103">
        <v>25000</v>
      </c>
      <c r="AF103">
        <v>0.1052</v>
      </c>
      <c r="AG103">
        <v>78900</v>
      </c>
      <c r="AH103">
        <v>25000</v>
      </c>
      <c r="AI103">
        <v>0.1052</v>
      </c>
      <c r="AJ103">
        <v>81530</v>
      </c>
      <c r="AK103">
        <v>25000</v>
      </c>
      <c r="AL103">
        <v>0.1052</v>
      </c>
      <c r="AM103">
        <v>81530</v>
      </c>
      <c r="AN103">
        <v>25000</v>
      </c>
      <c r="AO103">
        <v>0.1052</v>
      </c>
      <c r="AP103">
        <v>78900</v>
      </c>
      <c r="AQ103">
        <v>25000</v>
      </c>
      <c r="AR103">
        <v>0.1052</v>
      </c>
      <c r="AS103">
        <v>81530</v>
      </c>
      <c r="AT103">
        <v>25000</v>
      </c>
      <c r="AU103">
        <v>0.1052</v>
      </c>
      <c r="AV103">
        <v>78900</v>
      </c>
      <c r="AW103">
        <v>25000</v>
      </c>
      <c r="AX103">
        <v>0.1052</v>
      </c>
      <c r="AY103">
        <v>81530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">
      <c r="A104" t="s">
        <v>127</v>
      </c>
      <c r="B104" t="s">
        <v>80</v>
      </c>
      <c r="C104" t="s">
        <v>79</v>
      </c>
      <c r="D104">
        <v>56709</v>
      </c>
      <c r="E104">
        <v>56498</v>
      </c>
      <c r="F104" t="s">
        <v>122</v>
      </c>
      <c r="G104">
        <v>26677</v>
      </c>
      <c r="H104" t="s">
        <v>76</v>
      </c>
      <c r="I104" t="s">
        <v>93</v>
      </c>
      <c r="J104" s="55">
        <v>36251</v>
      </c>
      <c r="K104" s="55">
        <v>402133</v>
      </c>
      <c r="L104">
        <v>25000</v>
      </c>
      <c r="M104">
        <v>0.1052</v>
      </c>
      <c r="N104">
        <v>0</v>
      </c>
      <c r="O104">
        <v>0</v>
      </c>
      <c r="P104">
        <v>0</v>
      </c>
      <c r="Q104">
        <v>0.1052</v>
      </c>
      <c r="R104">
        <v>81530</v>
      </c>
      <c r="S104">
        <v>25000</v>
      </c>
      <c r="T104">
        <v>0.1052</v>
      </c>
      <c r="U104">
        <v>73640</v>
      </c>
      <c r="V104">
        <v>25000</v>
      </c>
      <c r="W104">
        <v>0.1052</v>
      </c>
      <c r="X104">
        <v>81530</v>
      </c>
      <c r="Y104">
        <v>25000</v>
      </c>
      <c r="Z104">
        <v>0.1052</v>
      </c>
      <c r="AA104">
        <v>78900</v>
      </c>
      <c r="AB104">
        <v>25000</v>
      </c>
      <c r="AC104">
        <v>0.1052</v>
      </c>
      <c r="AD104">
        <v>81530</v>
      </c>
      <c r="AE104">
        <v>25000</v>
      </c>
      <c r="AF104">
        <v>0.1052</v>
      </c>
      <c r="AG104">
        <v>78900</v>
      </c>
      <c r="AH104">
        <v>25000</v>
      </c>
      <c r="AI104">
        <v>0.1052</v>
      </c>
      <c r="AJ104">
        <v>81530</v>
      </c>
      <c r="AK104">
        <v>25000</v>
      </c>
      <c r="AL104">
        <v>0.1052</v>
      </c>
      <c r="AM104">
        <v>81530</v>
      </c>
      <c r="AN104">
        <v>25000</v>
      </c>
      <c r="AO104">
        <v>0.1052</v>
      </c>
      <c r="AP104">
        <v>78900</v>
      </c>
      <c r="AQ104">
        <v>25000</v>
      </c>
      <c r="AR104">
        <v>0.1052</v>
      </c>
      <c r="AS104">
        <v>81530</v>
      </c>
      <c r="AT104">
        <v>25000</v>
      </c>
      <c r="AU104">
        <v>0.1052</v>
      </c>
      <c r="AV104">
        <v>78900</v>
      </c>
      <c r="AW104">
        <v>25000</v>
      </c>
      <c r="AX104">
        <v>0.1052</v>
      </c>
      <c r="AY104">
        <v>81530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">
      <c r="A105" t="s">
        <v>127</v>
      </c>
      <c r="B105" t="s">
        <v>80</v>
      </c>
      <c r="C105" t="s">
        <v>79</v>
      </c>
      <c r="D105">
        <v>56709</v>
      </c>
      <c r="E105">
        <v>56498</v>
      </c>
      <c r="F105" s="41" t="s">
        <v>751</v>
      </c>
      <c r="G105">
        <v>27534</v>
      </c>
      <c r="H105" t="s">
        <v>76</v>
      </c>
      <c r="I105" t="s">
        <v>93</v>
      </c>
      <c r="J105" s="55">
        <v>37257</v>
      </c>
      <c r="K105" s="55">
        <v>37986</v>
      </c>
      <c r="L105">
        <v>32500</v>
      </c>
      <c r="M105">
        <v>0.05</v>
      </c>
      <c r="N105">
        <v>0</v>
      </c>
      <c r="O105">
        <v>0</v>
      </c>
      <c r="P105">
        <v>0</v>
      </c>
      <c r="Q105">
        <v>0.05</v>
      </c>
      <c r="R105" s="440">
        <f>32500*31*0.05</f>
        <v>50375</v>
      </c>
      <c r="S105">
        <v>32500</v>
      </c>
      <c r="T105">
        <v>0.05</v>
      </c>
      <c r="U105">
        <f>32500*28*0.05</f>
        <v>45500</v>
      </c>
      <c r="V105">
        <v>32500</v>
      </c>
      <c r="W105">
        <v>0.05</v>
      </c>
      <c r="X105">
        <f>32500*31*0.05</f>
        <v>50375</v>
      </c>
      <c r="Y105">
        <v>32500</v>
      </c>
      <c r="Z105">
        <v>0.05</v>
      </c>
      <c r="AA105">
        <f>32500*30*0.05</f>
        <v>48750</v>
      </c>
      <c r="AB105">
        <v>32500</v>
      </c>
      <c r="AC105">
        <v>0.05</v>
      </c>
      <c r="AD105">
        <f>32500*31*0.05</f>
        <v>50375</v>
      </c>
      <c r="AE105">
        <v>32500</v>
      </c>
      <c r="AF105">
        <v>0.05</v>
      </c>
      <c r="AG105">
        <f>32500*30*0.05</f>
        <v>48750</v>
      </c>
      <c r="AH105">
        <v>32500</v>
      </c>
      <c r="AI105">
        <v>0.05</v>
      </c>
      <c r="AJ105">
        <f>32500*31*0.05</f>
        <v>50375</v>
      </c>
      <c r="AK105">
        <v>32500</v>
      </c>
      <c r="AL105">
        <v>0.05</v>
      </c>
      <c r="AM105">
        <f>32500*31*0.05</f>
        <v>50375</v>
      </c>
      <c r="AN105">
        <v>32500</v>
      </c>
      <c r="AO105">
        <v>0.05</v>
      </c>
      <c r="AP105">
        <f>32500*30*0.05</f>
        <v>48750</v>
      </c>
      <c r="AQ105">
        <v>32500</v>
      </c>
      <c r="AR105">
        <v>0.05</v>
      </c>
      <c r="AS105">
        <f>32500*31*0.05</f>
        <v>50375</v>
      </c>
      <c r="AT105">
        <v>11000</v>
      </c>
      <c r="AU105">
        <v>0.05</v>
      </c>
      <c r="AV105">
        <f>32500*30*0.05</f>
        <v>48750</v>
      </c>
      <c r="AW105">
        <v>11000</v>
      </c>
      <c r="AX105">
        <v>0.05</v>
      </c>
      <c r="AY105">
        <f>32500*31*0.05</f>
        <v>50375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">
      <c r="A106" t="s">
        <v>125</v>
      </c>
      <c r="G106" s="42" t="s">
        <v>2</v>
      </c>
      <c r="H106" s="42" t="s">
        <v>76</v>
      </c>
      <c r="L106" s="42">
        <f>SUM(L98:L105)</f>
        <v>497500</v>
      </c>
      <c r="R106" s="42">
        <f>SUM(R98:R105)</f>
        <v>1566833</v>
      </c>
      <c r="S106" s="42">
        <f>SUM(S98:S105)</f>
        <v>497500</v>
      </c>
      <c r="U106" s="42">
        <f>SUM(U98:U105)</f>
        <v>1415204</v>
      </c>
      <c r="V106" s="42">
        <f>SUM(V98:V105)</f>
        <v>477500</v>
      </c>
      <c r="X106" s="42">
        <f>SUM(X98:X105)</f>
        <v>1501609</v>
      </c>
      <c r="Y106" s="42">
        <f>SUM(Y98:Y105)</f>
        <v>477500</v>
      </c>
      <c r="AA106" s="42">
        <f>SUM(AA98:AA105)</f>
        <v>1453170</v>
      </c>
      <c r="AB106" s="42">
        <f>SUM(AB98:AB105)</f>
        <v>477500</v>
      </c>
      <c r="AD106" s="42">
        <f>SUM(AD98:AD105)</f>
        <v>1501609</v>
      </c>
      <c r="AE106" s="42">
        <f>SUM(AE98:AE105)</f>
        <v>477500</v>
      </c>
      <c r="AG106" s="42">
        <f>SUM(AG98:AG105)</f>
        <v>1453170</v>
      </c>
      <c r="AH106" s="42">
        <f>SUM(AH98:AH105)</f>
        <v>477500</v>
      </c>
      <c r="AJ106" s="42">
        <f>SUM(AJ98:AJ105)</f>
        <v>1501609</v>
      </c>
      <c r="AK106" s="42">
        <f>SUM(AK98:AK105)</f>
        <v>477500</v>
      </c>
      <c r="AM106" s="42">
        <f>SUM(AM98:AM105)</f>
        <v>1501609</v>
      </c>
      <c r="AN106" s="42">
        <f>SUM(AN98:AN105)</f>
        <v>477500</v>
      </c>
      <c r="AP106" s="42">
        <f>SUM(AP98:AP105)</f>
        <v>1453170</v>
      </c>
      <c r="AQ106" s="42">
        <f>SUM(AQ98:AQ105)</f>
        <v>477500</v>
      </c>
      <c r="AS106" s="42">
        <f>SUM(AS98:AS105)</f>
        <v>1501609</v>
      </c>
      <c r="AT106" s="42">
        <f>SUM(AT98:AT105)</f>
        <v>456000</v>
      </c>
      <c r="AV106" s="42">
        <f>SUM(AV98:AV105)</f>
        <v>1453170</v>
      </c>
      <c r="AW106" s="42">
        <f>SUM(AW98:AW105)</f>
        <v>456000</v>
      </c>
      <c r="AY106" s="42">
        <f>SUM(AY98:AY105)</f>
        <v>1501609</v>
      </c>
      <c r="AZ106" s="42"/>
      <c r="BB106" s="42">
        <f>SUM(BB98:BB105)</f>
        <v>0</v>
      </c>
      <c r="BC106" s="42">
        <f>SUM(BC98:BC105)</f>
        <v>0</v>
      </c>
      <c r="BE106" s="42">
        <f>SUM(BE98:BE105)</f>
        <v>0</v>
      </c>
      <c r="BF106" s="42">
        <f>SUM(BF98:BF105)</f>
        <v>0</v>
      </c>
      <c r="BH106" s="42">
        <f>SUM(BH98:BH105)</f>
        <v>0</v>
      </c>
      <c r="BI106" s="42">
        <f>SUM(BI98:BI105)</f>
        <v>0</v>
      </c>
      <c r="BK106" s="42">
        <f>SUM(BK98:BK105)</f>
        <v>0</v>
      </c>
      <c r="BL106" s="42">
        <f>SUM(BL98:BL105)</f>
        <v>0</v>
      </c>
      <c r="BN106" s="42">
        <f>SUM(BN98:BN105)</f>
        <v>0</v>
      </c>
      <c r="BO106" s="42">
        <f>SUM(BO98:BO105)</f>
        <v>0</v>
      </c>
      <c r="BQ106" s="42">
        <f>SUM(BQ98:BQ105)</f>
        <v>0</v>
      </c>
      <c r="BR106" s="42">
        <f>SUM(BR98:BR105)</f>
        <v>0</v>
      </c>
      <c r="BT106" s="42">
        <f>SUM(BT98:BT105)</f>
        <v>0</v>
      </c>
      <c r="BU106" s="42">
        <f>SUM(BU98:BU105)</f>
        <v>0</v>
      </c>
      <c r="BW106" s="42">
        <f>SUM(BW98:BW105)</f>
        <v>0</v>
      </c>
      <c r="BX106" s="42">
        <f>SUM(BX98:BX105)</f>
        <v>0</v>
      </c>
      <c r="BZ106" s="42">
        <f>SUM(BZ98:BZ105)</f>
        <v>0</v>
      </c>
      <c r="CA106" s="42">
        <f>SUM(CA98:CA105)</f>
        <v>0</v>
      </c>
      <c r="CC106" s="42">
        <f>SUM(CC98:CC105)</f>
        <v>0</v>
      </c>
      <c r="CD106" s="42">
        <f>SUM(CD98:CD105)</f>
        <v>0</v>
      </c>
      <c r="CF106" s="42">
        <f>SUM(CF98:CF105)</f>
        <v>0</v>
      </c>
      <c r="CG106" s="42">
        <f>SUM(CG98:CG105)</f>
        <v>0</v>
      </c>
      <c r="CI106" s="42">
        <f>SUM(CI98:CI105)</f>
        <v>0</v>
      </c>
      <c r="CJ106" s="42">
        <f>SUM(CJ98:CJ105)</f>
        <v>0</v>
      </c>
      <c r="CL106" s="42">
        <f>SUM(CL98:CL105)</f>
        <v>0</v>
      </c>
      <c r="CM106" s="42">
        <f>SUM(CM98:CM105)</f>
        <v>0</v>
      </c>
      <c r="CO106" s="42">
        <f>SUM(CO98:CO105)</f>
        <v>0</v>
      </c>
      <c r="CP106" s="42">
        <f>SUM(CP98:CP105)</f>
        <v>0</v>
      </c>
      <c r="CR106" s="42">
        <f>SUM(CR98:CR105)</f>
        <v>0</v>
      </c>
      <c r="CS106" s="42">
        <f>SUM(CS98:CS105)</f>
        <v>0</v>
      </c>
      <c r="CU106" s="42">
        <f>SUM(CU98:CU105)</f>
        <v>0</v>
      </c>
      <c r="CV106" s="42">
        <f>SUM(CV98:CV105)</f>
        <v>0</v>
      </c>
      <c r="CX106" s="42">
        <f>SUM(CX98:CX105)</f>
        <v>0</v>
      </c>
      <c r="CY106" s="42">
        <f>SUM(CY98:CY105)</f>
        <v>0</v>
      </c>
      <c r="DA106" s="42">
        <f>SUM(DA98:DA105)</f>
        <v>0</v>
      </c>
      <c r="DB106" s="42">
        <f>SUM(DB98:DB105)</f>
        <v>0</v>
      </c>
      <c r="DD106" s="42">
        <f>SUM(DD98:DD105)</f>
        <v>0</v>
      </c>
      <c r="DE106" s="42">
        <f>SUM(DE98:DE105)</f>
        <v>0</v>
      </c>
      <c r="DG106" s="42">
        <f>SUM(DG98:DG105)</f>
        <v>0</v>
      </c>
      <c r="DH106" s="42">
        <f>SUM(DH98:DH105)</f>
        <v>0</v>
      </c>
      <c r="DJ106" s="42">
        <f>SUM(DJ98:DJ105)</f>
        <v>0</v>
      </c>
      <c r="DK106" s="42">
        <f>SUM(DK98:DK105)</f>
        <v>0</v>
      </c>
      <c r="DM106" s="42">
        <f>SUM(DM98:DM105)</f>
        <v>0</v>
      </c>
      <c r="DN106" s="42">
        <f>SUM(DN98:DN105)</f>
        <v>0</v>
      </c>
      <c r="DP106" s="42">
        <f>SUM(DP98:DP105)</f>
        <v>0</v>
      </c>
      <c r="DQ106" s="42">
        <f>SUM(DQ98:DQ105)</f>
        <v>0</v>
      </c>
      <c r="DS106" s="42">
        <f>SUM(DS98:DS105)</f>
        <v>0</v>
      </c>
    </row>
    <row r="107" spans="1:123" x14ac:dyDescent="0.2">
      <c r="A107" s="42" t="s">
        <v>128</v>
      </c>
      <c r="G107" s="42"/>
      <c r="H107" s="42"/>
      <c r="L107" s="42">
        <f>SUM(0+L106)</f>
        <v>497500</v>
      </c>
      <c r="R107" s="42">
        <f>SUM(0+R106)</f>
        <v>1566833</v>
      </c>
      <c r="S107" s="42">
        <f>SUM(0+S106)</f>
        <v>497500</v>
      </c>
      <c r="U107" s="42">
        <f>SUM(0+U106)</f>
        <v>1415204</v>
      </c>
      <c r="V107" s="42">
        <f>SUM(0+V106)</f>
        <v>477500</v>
      </c>
      <c r="X107" s="42">
        <f>SUM(0+X106)</f>
        <v>1501609</v>
      </c>
      <c r="Y107" s="42">
        <f>SUM(0+Y106)</f>
        <v>477500</v>
      </c>
      <c r="AA107" s="42">
        <f>SUM(0+AA106)</f>
        <v>1453170</v>
      </c>
      <c r="AB107" s="42">
        <f>SUM(0+AB106)</f>
        <v>477500</v>
      </c>
      <c r="AD107" s="42">
        <f>SUM(0+AD106)</f>
        <v>1501609</v>
      </c>
      <c r="AE107" s="42">
        <f>SUM(0+AE106)</f>
        <v>477500</v>
      </c>
      <c r="AG107" s="42">
        <f>SUM(0+AG106)</f>
        <v>1453170</v>
      </c>
      <c r="AH107" s="42">
        <f>SUM(0+AH106)</f>
        <v>477500</v>
      </c>
      <c r="AJ107" s="42">
        <f>SUM(0+AJ106)</f>
        <v>1501609</v>
      </c>
      <c r="AK107" s="42">
        <f>SUM(0+AK106)</f>
        <v>477500</v>
      </c>
      <c r="AM107" s="42">
        <f>SUM(0+AM106)</f>
        <v>1501609</v>
      </c>
      <c r="AN107" s="42">
        <f>SUM(0+AN106)</f>
        <v>477500</v>
      </c>
      <c r="AP107" s="42">
        <f>SUM(0+AP106)</f>
        <v>1453170</v>
      </c>
      <c r="AQ107" s="42">
        <f>SUM(0+AQ106)</f>
        <v>477500</v>
      </c>
      <c r="AS107" s="42">
        <f>SUM(0+AS106)</f>
        <v>1501609</v>
      </c>
      <c r="AT107" s="42">
        <f>SUM(0+AT106)</f>
        <v>456000</v>
      </c>
      <c r="AV107" s="42">
        <f>SUM(0+AV106)</f>
        <v>1453170</v>
      </c>
      <c r="AW107" s="42">
        <f>SUM(0+AW106)</f>
        <v>456000</v>
      </c>
      <c r="AY107" s="42">
        <f>SUM(0+AY106)</f>
        <v>1501609</v>
      </c>
      <c r="AZ107" s="42"/>
      <c r="BB107" s="42">
        <f>SUM(0+BB106)</f>
        <v>0</v>
      </c>
      <c r="BC107" s="42">
        <f>SUM(0+BC106)</f>
        <v>0</v>
      </c>
      <c r="BE107" s="42">
        <f>SUM(0+BE106)</f>
        <v>0</v>
      </c>
      <c r="BF107" s="42">
        <f>SUM(0+BF106)</f>
        <v>0</v>
      </c>
      <c r="BH107" s="42">
        <f>SUM(0+BH106)</f>
        <v>0</v>
      </c>
      <c r="BI107" s="42">
        <f>SUM(0+BI106)</f>
        <v>0</v>
      </c>
      <c r="BK107" s="42">
        <f>SUM(0+BK106)</f>
        <v>0</v>
      </c>
      <c r="BL107" s="42">
        <f>SUM(0+BL106)</f>
        <v>0</v>
      </c>
      <c r="BN107" s="42">
        <f>SUM(0+BN106)</f>
        <v>0</v>
      </c>
      <c r="BO107" s="42">
        <f>SUM(0+BO106)</f>
        <v>0</v>
      </c>
      <c r="BQ107" s="42">
        <f>SUM(0+BQ106)</f>
        <v>0</v>
      </c>
      <c r="BR107" s="42">
        <f>SUM(0+BR106)</f>
        <v>0</v>
      </c>
      <c r="BT107" s="42">
        <f>SUM(0+BT106)</f>
        <v>0</v>
      </c>
      <c r="BU107" s="42">
        <f>SUM(0+BU106)</f>
        <v>0</v>
      </c>
      <c r="BW107" s="42">
        <f>SUM(0+BW106)</f>
        <v>0</v>
      </c>
      <c r="BX107" s="42">
        <f>SUM(0+BX106)</f>
        <v>0</v>
      </c>
      <c r="BZ107" s="42">
        <f>SUM(0+BZ106)</f>
        <v>0</v>
      </c>
      <c r="CA107" s="42">
        <f>SUM(0+CA106)</f>
        <v>0</v>
      </c>
      <c r="CC107" s="42">
        <f>SUM(0+CC106)</f>
        <v>0</v>
      </c>
      <c r="CD107" s="42">
        <f>SUM(0+CD106)</f>
        <v>0</v>
      </c>
      <c r="CF107" s="42">
        <f>SUM(0+CF106)</f>
        <v>0</v>
      </c>
      <c r="CG107" s="42">
        <f>SUM(0+CG106)</f>
        <v>0</v>
      </c>
      <c r="CI107" s="42">
        <f>SUM(0+CI106)</f>
        <v>0</v>
      </c>
      <c r="CJ107" s="42">
        <f>SUM(0+CJ106)</f>
        <v>0</v>
      </c>
      <c r="CL107" s="42">
        <f>SUM(0+CL106)</f>
        <v>0</v>
      </c>
      <c r="CM107" s="42">
        <f>SUM(0+CM106)</f>
        <v>0</v>
      </c>
      <c r="CO107" s="42">
        <f>SUM(0+CO106)</f>
        <v>0</v>
      </c>
      <c r="CP107" s="42">
        <f>SUM(0+CP106)</f>
        <v>0</v>
      </c>
      <c r="CR107" s="42">
        <f>SUM(0+CR106)</f>
        <v>0</v>
      </c>
      <c r="CS107" s="42">
        <f>SUM(0+CS106)</f>
        <v>0</v>
      </c>
      <c r="CU107" s="42">
        <f>SUM(0+CU106)</f>
        <v>0</v>
      </c>
      <c r="CV107" s="42">
        <f>SUM(0+CV106)</f>
        <v>0</v>
      </c>
      <c r="CX107" s="42">
        <f>SUM(0+CX106)</f>
        <v>0</v>
      </c>
      <c r="CY107" s="42">
        <f>SUM(0+CY106)</f>
        <v>0</v>
      </c>
      <c r="DA107" s="42">
        <f>SUM(0+DA106)</f>
        <v>0</v>
      </c>
      <c r="DB107" s="42">
        <f>SUM(0+DB106)</f>
        <v>0</v>
      </c>
      <c r="DD107" s="42">
        <f>SUM(0+DD106)</f>
        <v>0</v>
      </c>
      <c r="DE107" s="42">
        <f>SUM(0+DE106)</f>
        <v>0</v>
      </c>
      <c r="DG107" s="42">
        <f>SUM(0+DG106)</f>
        <v>0</v>
      </c>
      <c r="DH107" s="42">
        <f>SUM(0+DH106)</f>
        <v>0</v>
      </c>
      <c r="DJ107" s="42">
        <f>SUM(0+DJ106)</f>
        <v>0</v>
      </c>
      <c r="DK107" s="42">
        <f>SUM(0+DK106)</f>
        <v>0</v>
      </c>
      <c r="DM107" s="42">
        <f>SUM(0+DM106)</f>
        <v>0</v>
      </c>
      <c r="DN107" s="42">
        <f>SUM(0+DN106)</f>
        <v>0</v>
      </c>
      <c r="DP107" s="42">
        <f>SUM(0+DP106)</f>
        <v>0</v>
      </c>
      <c r="DQ107" s="42">
        <f>SUM(0+DQ106)</f>
        <v>0</v>
      </c>
      <c r="DS107" s="42">
        <f>SUM(0+DS106)</f>
        <v>0</v>
      </c>
    </row>
    <row r="108" spans="1:123" x14ac:dyDescent="0.2">
      <c r="A108" t="s">
        <v>84</v>
      </c>
      <c r="B108" t="s">
        <v>81</v>
      </c>
      <c r="C108" t="s">
        <v>75</v>
      </c>
      <c r="D108">
        <v>10487</v>
      </c>
      <c r="E108">
        <v>1635</v>
      </c>
      <c r="F108" t="s">
        <v>116</v>
      </c>
      <c r="G108">
        <v>8255</v>
      </c>
      <c r="H108" t="s">
        <v>76</v>
      </c>
      <c r="I108" t="s">
        <v>93</v>
      </c>
      <c r="J108" s="55">
        <v>32782</v>
      </c>
      <c r="K108" s="55">
        <v>402133</v>
      </c>
      <c r="L108">
        <v>5985</v>
      </c>
      <c r="M108">
        <v>0.25359999999999999</v>
      </c>
      <c r="N108">
        <v>6.8599998950958252E-2</v>
      </c>
      <c r="O108">
        <v>5.7999999262392521E-3</v>
      </c>
      <c r="P108">
        <v>3.0000000260770321E-3</v>
      </c>
      <c r="Q108">
        <v>0.33100000000000002</v>
      </c>
      <c r="R108">
        <v>61412.084999999999</v>
      </c>
      <c r="S108">
        <v>5985</v>
      </c>
      <c r="T108">
        <v>0.33100000000000002</v>
      </c>
      <c r="U108">
        <v>55468.98</v>
      </c>
      <c r="V108">
        <v>5985</v>
      </c>
      <c r="W108">
        <v>0.33100000000000002</v>
      </c>
      <c r="X108">
        <v>61412.084999999999</v>
      </c>
      <c r="Y108">
        <v>5985</v>
      </c>
      <c r="Z108">
        <v>0.33100000000000002</v>
      </c>
      <c r="AA108">
        <v>59431.05</v>
      </c>
      <c r="AB108">
        <v>5985</v>
      </c>
      <c r="AC108">
        <v>0.33100000000000002</v>
      </c>
      <c r="AD108">
        <v>61412.084999999999</v>
      </c>
      <c r="AE108">
        <v>5985</v>
      </c>
      <c r="AF108">
        <v>0.33100000000000002</v>
      </c>
      <c r="AG108">
        <v>59431.05</v>
      </c>
      <c r="AH108">
        <v>5985</v>
      </c>
      <c r="AI108">
        <v>0.33100000000000002</v>
      </c>
      <c r="AJ108">
        <v>61412.084999999999</v>
      </c>
      <c r="AK108">
        <v>5985</v>
      </c>
      <c r="AL108">
        <v>0.33100000000000002</v>
      </c>
      <c r="AM108">
        <v>61412.084999999999</v>
      </c>
      <c r="AN108">
        <v>5985</v>
      </c>
      <c r="AO108">
        <v>0.33100000000000002</v>
      </c>
      <c r="AP108">
        <v>59431.05</v>
      </c>
      <c r="AQ108">
        <v>5985</v>
      </c>
      <c r="AR108">
        <v>0.33100000000000002</v>
      </c>
      <c r="AS108">
        <v>61412.084999999999</v>
      </c>
      <c r="AT108">
        <v>5985</v>
      </c>
      <c r="AU108">
        <v>0.33100000000000002</v>
      </c>
      <c r="AV108">
        <v>59431.05</v>
      </c>
      <c r="AW108">
        <v>5985</v>
      </c>
      <c r="AX108">
        <v>0.33100000000000002</v>
      </c>
      <c r="AY108">
        <v>61412.084999999999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">
      <c r="A109" t="s">
        <v>84</v>
      </c>
      <c r="B109" t="s">
        <v>81</v>
      </c>
      <c r="C109" t="s">
        <v>75</v>
      </c>
      <c r="D109">
        <v>10487</v>
      </c>
      <c r="E109">
        <v>8516</v>
      </c>
      <c r="F109" t="s">
        <v>116</v>
      </c>
      <c r="G109">
        <v>8255</v>
      </c>
      <c r="H109" t="s">
        <v>76</v>
      </c>
      <c r="I109" t="s">
        <v>93</v>
      </c>
      <c r="J109" s="55">
        <v>32782</v>
      </c>
      <c r="K109" s="55">
        <v>402133</v>
      </c>
      <c r="L109">
        <v>5000</v>
      </c>
      <c r="M109">
        <v>0.25359999999999999</v>
      </c>
      <c r="N109">
        <v>6.8599998950958252E-2</v>
      </c>
      <c r="O109">
        <v>5.7999999262392521E-3</v>
      </c>
      <c r="P109">
        <v>3.0000000260770321E-3</v>
      </c>
      <c r="Q109">
        <v>0.33100000000000002</v>
      </c>
      <c r="R109">
        <v>51305</v>
      </c>
      <c r="S109">
        <v>5000</v>
      </c>
      <c r="T109">
        <v>0.33100000000000002</v>
      </c>
      <c r="U109">
        <v>46340</v>
      </c>
      <c r="V109">
        <v>5000</v>
      </c>
      <c r="W109">
        <v>0.33100000000000002</v>
      </c>
      <c r="X109">
        <v>51305</v>
      </c>
      <c r="Y109">
        <v>5000</v>
      </c>
      <c r="Z109">
        <v>0.33100000000000002</v>
      </c>
      <c r="AA109">
        <v>49650</v>
      </c>
      <c r="AB109">
        <v>5000</v>
      </c>
      <c r="AC109">
        <v>0.33100000000000002</v>
      </c>
      <c r="AD109">
        <v>51305</v>
      </c>
      <c r="AE109">
        <v>5000</v>
      </c>
      <c r="AF109">
        <v>0.33100000000000002</v>
      </c>
      <c r="AG109">
        <v>49650</v>
      </c>
      <c r="AH109">
        <v>5000</v>
      </c>
      <c r="AI109">
        <v>0.33100000000000002</v>
      </c>
      <c r="AJ109">
        <v>51305</v>
      </c>
      <c r="AK109">
        <v>5000</v>
      </c>
      <c r="AL109">
        <v>0.33100000000000002</v>
      </c>
      <c r="AM109">
        <v>51305</v>
      </c>
      <c r="AN109">
        <v>5000</v>
      </c>
      <c r="AO109">
        <v>0.33100000000000002</v>
      </c>
      <c r="AP109">
        <v>49650</v>
      </c>
      <c r="AQ109">
        <v>5000</v>
      </c>
      <c r="AR109">
        <v>0.33100000000000002</v>
      </c>
      <c r="AS109">
        <v>51305</v>
      </c>
      <c r="AT109">
        <v>5000</v>
      </c>
      <c r="AU109">
        <v>0.33100000000000002</v>
      </c>
      <c r="AV109">
        <v>49650</v>
      </c>
      <c r="AW109">
        <v>5000</v>
      </c>
      <c r="AX109">
        <v>0.33100000000000002</v>
      </c>
      <c r="AY109">
        <v>51305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">
      <c r="A110" t="s">
        <v>84</v>
      </c>
      <c r="B110" t="s">
        <v>81</v>
      </c>
      <c r="C110" t="s">
        <v>75</v>
      </c>
      <c r="D110">
        <v>10487</v>
      </c>
      <c r="E110">
        <v>58646</v>
      </c>
      <c r="F110" t="s">
        <v>116</v>
      </c>
      <c r="G110">
        <v>8255</v>
      </c>
      <c r="H110" t="s">
        <v>76</v>
      </c>
      <c r="I110" t="s">
        <v>93</v>
      </c>
      <c r="J110" s="55">
        <v>32782</v>
      </c>
      <c r="K110" s="55">
        <v>402133</v>
      </c>
      <c r="L110">
        <v>114765</v>
      </c>
      <c r="M110">
        <v>0.25359999999999999</v>
      </c>
      <c r="N110">
        <v>6.8599998950958252E-2</v>
      </c>
      <c r="O110">
        <v>5.7999999262392521E-3</v>
      </c>
      <c r="P110">
        <v>3.0000000260770321E-3</v>
      </c>
      <c r="Q110">
        <v>0.33100000000000002</v>
      </c>
      <c r="R110">
        <v>1177603.665</v>
      </c>
      <c r="S110">
        <v>114765</v>
      </c>
      <c r="T110">
        <v>0.33100000000000002</v>
      </c>
      <c r="U110">
        <v>1063642.02</v>
      </c>
      <c r="V110">
        <v>114765</v>
      </c>
      <c r="W110">
        <v>0.33100000000000002</v>
      </c>
      <c r="X110">
        <v>1177603.665</v>
      </c>
      <c r="Y110">
        <v>114765</v>
      </c>
      <c r="Z110">
        <v>0.33100000000000002</v>
      </c>
      <c r="AA110">
        <v>1139616.45</v>
      </c>
      <c r="AB110">
        <v>114765</v>
      </c>
      <c r="AC110">
        <v>0.33100000000000002</v>
      </c>
      <c r="AD110">
        <v>1177603.665</v>
      </c>
      <c r="AE110">
        <v>114765</v>
      </c>
      <c r="AF110">
        <v>0.33100000000000002</v>
      </c>
      <c r="AG110">
        <v>1139616.45</v>
      </c>
      <c r="AH110">
        <v>114765</v>
      </c>
      <c r="AI110">
        <v>0.33100000000000002</v>
      </c>
      <c r="AJ110">
        <v>1177603.665</v>
      </c>
      <c r="AK110">
        <v>114765</v>
      </c>
      <c r="AL110">
        <v>0.33100000000000002</v>
      </c>
      <c r="AM110">
        <v>1177603.665</v>
      </c>
      <c r="AN110">
        <v>114765</v>
      </c>
      <c r="AO110">
        <v>0.33100000000000002</v>
      </c>
      <c r="AP110">
        <v>1139616.45</v>
      </c>
      <c r="AQ110">
        <v>114765</v>
      </c>
      <c r="AR110">
        <v>0.33100000000000002</v>
      </c>
      <c r="AS110">
        <v>1177603.665</v>
      </c>
      <c r="AT110">
        <v>114765</v>
      </c>
      <c r="AU110">
        <v>0.33100000000000002</v>
      </c>
      <c r="AV110">
        <v>1139616.45</v>
      </c>
      <c r="AW110">
        <v>114765</v>
      </c>
      <c r="AX110">
        <v>0.33100000000000002</v>
      </c>
      <c r="AY110">
        <v>1177603.665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">
      <c r="A111" t="s">
        <v>84</v>
      </c>
      <c r="B111" t="s">
        <v>81</v>
      </c>
      <c r="C111" t="s">
        <v>75</v>
      </c>
      <c r="D111">
        <v>10487</v>
      </c>
      <c r="E111">
        <v>58647</v>
      </c>
      <c r="F111" t="s">
        <v>116</v>
      </c>
      <c r="G111">
        <v>8255</v>
      </c>
      <c r="H111" t="s">
        <v>76</v>
      </c>
      <c r="I111" t="s">
        <v>93</v>
      </c>
      <c r="J111" s="55">
        <v>32782</v>
      </c>
      <c r="K111" s="55">
        <v>402133</v>
      </c>
      <c r="L111">
        <v>29905</v>
      </c>
      <c r="M111">
        <v>0.25359999999999999</v>
      </c>
      <c r="N111">
        <v>6.8599998950958252E-2</v>
      </c>
      <c r="O111">
        <v>5.7999999262392521E-3</v>
      </c>
      <c r="P111">
        <v>3.0000000260770321E-3</v>
      </c>
      <c r="Q111">
        <v>0.33100000000000002</v>
      </c>
      <c r="R111">
        <v>306855.20500000002</v>
      </c>
      <c r="S111">
        <v>29905</v>
      </c>
      <c r="T111">
        <v>0.33100000000000002</v>
      </c>
      <c r="U111">
        <v>277159.53999999998</v>
      </c>
      <c r="V111">
        <v>29905</v>
      </c>
      <c r="W111">
        <v>0.33100000000000002</v>
      </c>
      <c r="X111">
        <v>306855.20500000002</v>
      </c>
      <c r="Y111">
        <v>29905</v>
      </c>
      <c r="Z111">
        <v>0.33100000000000002</v>
      </c>
      <c r="AA111">
        <v>296956.65000000002</v>
      </c>
      <c r="AB111">
        <v>29905</v>
      </c>
      <c r="AC111">
        <v>0.33100000000000002</v>
      </c>
      <c r="AD111">
        <v>306855.20500000002</v>
      </c>
      <c r="AE111">
        <v>29905</v>
      </c>
      <c r="AF111">
        <v>0.33100000000000002</v>
      </c>
      <c r="AG111">
        <v>296956.65000000002</v>
      </c>
      <c r="AH111">
        <v>29905</v>
      </c>
      <c r="AI111">
        <v>0.33100000000000002</v>
      </c>
      <c r="AJ111">
        <v>306855.20500000002</v>
      </c>
      <c r="AK111">
        <v>29905</v>
      </c>
      <c r="AL111">
        <v>0.33100000000000002</v>
      </c>
      <c r="AM111">
        <v>306855.20500000002</v>
      </c>
      <c r="AN111">
        <v>29905</v>
      </c>
      <c r="AO111">
        <v>0.33100000000000002</v>
      </c>
      <c r="AP111">
        <v>296956.65000000002</v>
      </c>
      <c r="AQ111">
        <v>29905</v>
      </c>
      <c r="AR111">
        <v>0.33100000000000002</v>
      </c>
      <c r="AS111">
        <v>306855.20500000002</v>
      </c>
      <c r="AT111">
        <v>29905</v>
      </c>
      <c r="AU111">
        <v>0.33100000000000002</v>
      </c>
      <c r="AV111">
        <v>296956.65000000002</v>
      </c>
      <c r="AW111">
        <v>29905</v>
      </c>
      <c r="AX111">
        <v>0.33100000000000002</v>
      </c>
      <c r="AY111">
        <v>306855.20500000002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">
      <c r="A112" t="s">
        <v>84</v>
      </c>
      <c r="B112" t="s">
        <v>81</v>
      </c>
      <c r="C112" t="s">
        <v>75</v>
      </c>
      <c r="D112">
        <v>10487</v>
      </c>
      <c r="E112">
        <v>58649</v>
      </c>
      <c r="F112" t="s">
        <v>116</v>
      </c>
      <c r="G112">
        <v>8255</v>
      </c>
      <c r="H112" t="s">
        <v>76</v>
      </c>
      <c r="I112" t="s">
        <v>93</v>
      </c>
      <c r="J112" s="55">
        <v>32782</v>
      </c>
      <c r="K112" s="55">
        <v>402133</v>
      </c>
      <c r="L112">
        <v>114360</v>
      </c>
      <c r="M112">
        <v>0.25359999999999999</v>
      </c>
      <c r="N112">
        <v>6.8599998950958252E-2</v>
      </c>
      <c r="O112">
        <v>5.7999999262392521E-3</v>
      </c>
      <c r="P112">
        <v>3.0000000260770321E-3</v>
      </c>
      <c r="Q112">
        <v>0.33100000000000002</v>
      </c>
      <c r="R112">
        <v>1173447.96</v>
      </c>
      <c r="S112">
        <v>114360</v>
      </c>
      <c r="T112">
        <v>0.33100000000000002</v>
      </c>
      <c r="U112">
        <v>1059888.48</v>
      </c>
      <c r="V112">
        <v>114360</v>
      </c>
      <c r="W112">
        <v>0.33100000000000002</v>
      </c>
      <c r="X112">
        <v>1173447.96</v>
      </c>
      <c r="Y112">
        <v>114360</v>
      </c>
      <c r="Z112">
        <v>0.33100000000000002</v>
      </c>
      <c r="AA112">
        <v>1135594.8</v>
      </c>
      <c r="AB112">
        <v>114360</v>
      </c>
      <c r="AC112">
        <v>0.33100000000000002</v>
      </c>
      <c r="AD112">
        <v>1173447.96</v>
      </c>
      <c r="AE112">
        <v>114360</v>
      </c>
      <c r="AF112">
        <v>0.33100000000000002</v>
      </c>
      <c r="AG112">
        <v>1135594.8</v>
      </c>
      <c r="AH112">
        <v>114360</v>
      </c>
      <c r="AI112">
        <v>0.33100000000000002</v>
      </c>
      <c r="AJ112">
        <v>1173447.96</v>
      </c>
      <c r="AK112">
        <v>114360</v>
      </c>
      <c r="AL112">
        <v>0.33100000000000002</v>
      </c>
      <c r="AM112">
        <v>1173447.96</v>
      </c>
      <c r="AN112">
        <v>114360</v>
      </c>
      <c r="AO112">
        <v>0.33100000000000002</v>
      </c>
      <c r="AP112">
        <v>1135594.8</v>
      </c>
      <c r="AQ112">
        <v>114360</v>
      </c>
      <c r="AR112">
        <v>0.33100000000000002</v>
      </c>
      <c r="AS112">
        <v>1173447.96</v>
      </c>
      <c r="AT112">
        <v>114360</v>
      </c>
      <c r="AU112">
        <v>0.33100000000000002</v>
      </c>
      <c r="AV112">
        <v>1135594.8</v>
      </c>
      <c r="AW112">
        <v>114360</v>
      </c>
      <c r="AX112">
        <v>0.33100000000000002</v>
      </c>
      <c r="AY112">
        <v>1173447.96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">
      <c r="A113" t="s">
        <v>84</v>
      </c>
      <c r="B113" t="s">
        <v>81</v>
      </c>
      <c r="C113" t="s">
        <v>75</v>
      </c>
      <c r="D113">
        <v>10487</v>
      </c>
      <c r="E113">
        <v>59687</v>
      </c>
      <c r="F113" t="s">
        <v>116</v>
      </c>
      <c r="G113">
        <v>8255</v>
      </c>
      <c r="H113" t="s">
        <v>76</v>
      </c>
      <c r="I113" t="s">
        <v>93</v>
      </c>
      <c r="J113" s="55">
        <v>32782</v>
      </c>
      <c r="K113" s="55">
        <v>402133</v>
      </c>
      <c r="L113">
        <v>30000</v>
      </c>
      <c r="M113">
        <v>0.25359999999999999</v>
      </c>
      <c r="N113">
        <v>6.8599998950958252E-2</v>
      </c>
      <c r="O113">
        <v>5.7999999262392521E-3</v>
      </c>
      <c r="P113">
        <v>3.0000000260770321E-3</v>
      </c>
      <c r="Q113">
        <v>0.33100000000000002</v>
      </c>
      <c r="R113">
        <v>307830</v>
      </c>
      <c r="S113">
        <v>30000</v>
      </c>
      <c r="T113">
        <v>0.33100000000000002</v>
      </c>
      <c r="U113">
        <v>278040</v>
      </c>
      <c r="V113">
        <v>30000</v>
      </c>
      <c r="W113">
        <v>0.33100000000000002</v>
      </c>
      <c r="X113">
        <v>307830</v>
      </c>
      <c r="Y113">
        <v>30000</v>
      </c>
      <c r="Z113">
        <v>0.33100000000000002</v>
      </c>
      <c r="AA113">
        <v>297900</v>
      </c>
      <c r="AB113">
        <v>30000</v>
      </c>
      <c r="AC113">
        <v>0.33100000000000002</v>
      </c>
      <c r="AD113">
        <v>307830</v>
      </c>
      <c r="AE113">
        <v>30000</v>
      </c>
      <c r="AF113">
        <v>0.33100000000000002</v>
      </c>
      <c r="AG113">
        <v>297900</v>
      </c>
      <c r="AH113">
        <v>30000</v>
      </c>
      <c r="AI113">
        <v>0.33100000000000002</v>
      </c>
      <c r="AJ113">
        <v>307830</v>
      </c>
      <c r="AK113">
        <v>30000</v>
      </c>
      <c r="AL113">
        <v>0.33100000000000002</v>
      </c>
      <c r="AM113">
        <v>307830</v>
      </c>
      <c r="AN113">
        <v>30000</v>
      </c>
      <c r="AO113">
        <v>0.33100000000000002</v>
      </c>
      <c r="AP113">
        <v>297900</v>
      </c>
      <c r="AQ113">
        <v>30000</v>
      </c>
      <c r="AR113">
        <v>0.33100000000000002</v>
      </c>
      <c r="AS113">
        <v>307830</v>
      </c>
      <c r="AT113">
        <v>30000</v>
      </c>
      <c r="AU113">
        <v>0.33100000000000002</v>
      </c>
      <c r="AV113">
        <v>297900</v>
      </c>
      <c r="AW113">
        <v>30000</v>
      </c>
      <c r="AX113">
        <v>0.33100000000000002</v>
      </c>
      <c r="AY113">
        <v>307830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">
      <c r="A114" t="s">
        <v>84</v>
      </c>
      <c r="B114" t="s">
        <v>81</v>
      </c>
      <c r="C114" t="s">
        <v>75</v>
      </c>
      <c r="D114">
        <v>10487</v>
      </c>
      <c r="E114">
        <v>500303</v>
      </c>
      <c r="F114" t="s">
        <v>116</v>
      </c>
      <c r="G114">
        <v>8255</v>
      </c>
      <c r="H114" t="s">
        <v>76</v>
      </c>
      <c r="I114" t="s">
        <v>93</v>
      </c>
      <c r="J114" s="55">
        <v>32782</v>
      </c>
      <c r="K114" s="55">
        <v>402133</v>
      </c>
      <c r="L114">
        <v>5985</v>
      </c>
      <c r="M114">
        <v>0.25359999999999999</v>
      </c>
      <c r="N114">
        <v>6.8599998950958252E-2</v>
      </c>
      <c r="O114">
        <v>5.7999999262392521E-3</v>
      </c>
      <c r="P114">
        <v>3.0000000260770321E-3</v>
      </c>
      <c r="Q114">
        <v>0.33100000000000002</v>
      </c>
      <c r="R114">
        <v>61412.084999999999</v>
      </c>
      <c r="S114">
        <v>5985</v>
      </c>
      <c r="T114">
        <v>0.33100000000000002</v>
      </c>
      <c r="U114">
        <v>55468.98</v>
      </c>
      <c r="V114">
        <v>5985</v>
      </c>
      <c r="W114">
        <v>0.33100000000000002</v>
      </c>
      <c r="X114">
        <v>61412.084999999999</v>
      </c>
      <c r="Y114">
        <v>5985</v>
      </c>
      <c r="Z114">
        <v>0.33100000000000002</v>
      </c>
      <c r="AA114">
        <v>59431.05</v>
      </c>
      <c r="AB114">
        <v>5985</v>
      </c>
      <c r="AC114">
        <v>0.33100000000000002</v>
      </c>
      <c r="AD114">
        <v>61412.084999999999</v>
      </c>
      <c r="AE114">
        <v>5985</v>
      </c>
      <c r="AF114">
        <v>0.33100000000000002</v>
      </c>
      <c r="AG114">
        <v>59431.05</v>
      </c>
      <c r="AH114">
        <v>5985</v>
      </c>
      <c r="AI114">
        <v>0.33100000000000002</v>
      </c>
      <c r="AJ114">
        <v>61412.084999999999</v>
      </c>
      <c r="AK114">
        <v>5985</v>
      </c>
      <c r="AL114">
        <v>0.33100000000000002</v>
      </c>
      <c r="AM114">
        <v>61412.084999999999</v>
      </c>
      <c r="AN114">
        <v>5985</v>
      </c>
      <c r="AO114">
        <v>0.33100000000000002</v>
      </c>
      <c r="AP114">
        <v>59431.05</v>
      </c>
      <c r="AQ114">
        <v>5985</v>
      </c>
      <c r="AR114">
        <v>0.33100000000000002</v>
      </c>
      <c r="AS114">
        <v>61412.084999999999</v>
      </c>
      <c r="AT114">
        <v>5985</v>
      </c>
      <c r="AU114">
        <v>0.33100000000000002</v>
      </c>
      <c r="AV114">
        <v>59431.05</v>
      </c>
      <c r="AW114">
        <v>5985</v>
      </c>
      <c r="AX114">
        <v>0.33100000000000002</v>
      </c>
      <c r="AY114">
        <v>61412.084999999999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">
      <c r="A115" t="s">
        <v>84</v>
      </c>
      <c r="B115" t="s">
        <v>81</v>
      </c>
      <c r="C115" t="s">
        <v>75</v>
      </c>
      <c r="D115">
        <v>10487</v>
      </c>
      <c r="E115">
        <v>10703</v>
      </c>
      <c r="F115" t="s">
        <v>115</v>
      </c>
      <c r="G115">
        <v>25841</v>
      </c>
      <c r="H115" t="s">
        <v>76</v>
      </c>
      <c r="I115" t="s">
        <v>93</v>
      </c>
      <c r="J115" s="55">
        <v>35827</v>
      </c>
      <c r="K115" s="55">
        <v>37560</v>
      </c>
      <c r="L115">
        <v>5500</v>
      </c>
      <c r="M115">
        <v>0.1075</v>
      </c>
      <c r="N115">
        <v>0</v>
      </c>
      <c r="O115">
        <v>0</v>
      </c>
      <c r="P115">
        <v>0</v>
      </c>
      <c r="Q115">
        <v>0.1075</v>
      </c>
      <c r="R115">
        <v>18328.75</v>
      </c>
      <c r="S115">
        <v>5500</v>
      </c>
      <c r="T115">
        <v>0.1075</v>
      </c>
      <c r="U115">
        <v>16555</v>
      </c>
      <c r="V115">
        <v>5500</v>
      </c>
      <c r="W115">
        <v>0.1075</v>
      </c>
      <c r="X115">
        <v>18328.75</v>
      </c>
      <c r="Y115">
        <v>5500</v>
      </c>
      <c r="Z115">
        <v>0.1075</v>
      </c>
      <c r="AA115">
        <v>17737.5</v>
      </c>
      <c r="AB115">
        <v>5500</v>
      </c>
      <c r="AC115">
        <v>0.1075</v>
      </c>
      <c r="AD115">
        <v>18328.75</v>
      </c>
      <c r="AE115">
        <v>5500</v>
      </c>
      <c r="AF115">
        <v>0.1075</v>
      </c>
      <c r="AG115">
        <v>17737.5</v>
      </c>
      <c r="AH115">
        <v>5500</v>
      </c>
      <c r="AI115">
        <v>0.1075</v>
      </c>
      <c r="AJ115">
        <v>18328.75</v>
      </c>
      <c r="AK115">
        <v>5500</v>
      </c>
      <c r="AL115">
        <v>0.1075</v>
      </c>
      <c r="AM115">
        <v>18328.75</v>
      </c>
      <c r="AN115">
        <v>5500</v>
      </c>
      <c r="AO115">
        <v>0.1075</v>
      </c>
      <c r="AP115">
        <v>17737.5</v>
      </c>
      <c r="AQ115">
        <v>5500</v>
      </c>
      <c r="AR115">
        <v>0.1075</v>
      </c>
      <c r="AS115">
        <v>18328.75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">
      <c r="A116" t="s">
        <v>84</v>
      </c>
      <c r="B116" t="s">
        <v>81</v>
      </c>
      <c r="C116" t="s">
        <v>75</v>
      </c>
      <c r="D116">
        <v>10487</v>
      </c>
      <c r="E116">
        <v>58646</v>
      </c>
      <c r="F116" t="s">
        <v>115</v>
      </c>
      <c r="G116">
        <v>25841</v>
      </c>
      <c r="H116" t="s">
        <v>76</v>
      </c>
      <c r="I116" t="s">
        <v>93</v>
      </c>
      <c r="J116" s="55">
        <v>35827</v>
      </c>
      <c r="K116" s="55">
        <v>37560</v>
      </c>
      <c r="L116">
        <v>5500</v>
      </c>
      <c r="M116">
        <v>0.1075</v>
      </c>
      <c r="N116">
        <v>0</v>
      </c>
      <c r="O116">
        <v>0</v>
      </c>
      <c r="P116">
        <v>0</v>
      </c>
      <c r="Q116">
        <v>0.1075</v>
      </c>
      <c r="R116">
        <v>18328.75</v>
      </c>
      <c r="S116">
        <v>5500</v>
      </c>
      <c r="T116">
        <v>0.1075</v>
      </c>
      <c r="U116">
        <v>16555</v>
      </c>
      <c r="V116">
        <v>5500</v>
      </c>
      <c r="W116">
        <v>0.1075</v>
      </c>
      <c r="X116">
        <v>18328.75</v>
      </c>
      <c r="Y116">
        <v>5500</v>
      </c>
      <c r="Z116">
        <v>0.1075</v>
      </c>
      <c r="AA116">
        <v>17737.5</v>
      </c>
      <c r="AB116">
        <v>5500</v>
      </c>
      <c r="AC116">
        <v>0.1075</v>
      </c>
      <c r="AD116">
        <v>18328.75</v>
      </c>
      <c r="AE116">
        <v>5500</v>
      </c>
      <c r="AF116">
        <v>0.1075</v>
      </c>
      <c r="AG116">
        <v>17737.5</v>
      </c>
      <c r="AH116">
        <v>5500</v>
      </c>
      <c r="AI116">
        <v>0.1075</v>
      </c>
      <c r="AJ116">
        <v>18328.75</v>
      </c>
      <c r="AK116">
        <v>5500</v>
      </c>
      <c r="AL116">
        <v>0.1075</v>
      </c>
      <c r="AM116">
        <v>18328.75</v>
      </c>
      <c r="AN116">
        <v>5500</v>
      </c>
      <c r="AO116">
        <v>0.1075</v>
      </c>
      <c r="AP116">
        <v>17737.5</v>
      </c>
      <c r="AQ116">
        <v>5500</v>
      </c>
      <c r="AR116">
        <v>0.1075</v>
      </c>
      <c r="AS116">
        <v>18328.75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">
      <c r="A117" t="s">
        <v>84</v>
      </c>
      <c r="B117" t="s">
        <v>81</v>
      </c>
      <c r="C117" t="s">
        <v>75</v>
      </c>
      <c r="D117">
        <v>56698</v>
      </c>
      <c r="E117">
        <v>10703</v>
      </c>
      <c r="F117" t="s">
        <v>115</v>
      </c>
      <c r="G117">
        <v>25841</v>
      </c>
      <c r="H117" t="s">
        <v>76</v>
      </c>
      <c r="I117" t="s">
        <v>93</v>
      </c>
      <c r="J117" s="55">
        <v>35827</v>
      </c>
      <c r="K117" s="55">
        <v>37560</v>
      </c>
      <c r="L117">
        <v>14500</v>
      </c>
      <c r="M117">
        <v>0.1075</v>
      </c>
      <c r="N117">
        <v>0</v>
      </c>
      <c r="O117">
        <v>0</v>
      </c>
      <c r="P117">
        <v>0</v>
      </c>
      <c r="Q117">
        <v>0.1075</v>
      </c>
      <c r="R117">
        <v>48321.25</v>
      </c>
      <c r="S117">
        <v>14500</v>
      </c>
      <c r="T117">
        <v>0.1075</v>
      </c>
      <c r="U117">
        <v>43645</v>
      </c>
      <c r="V117">
        <v>14500</v>
      </c>
      <c r="W117">
        <v>0.1075</v>
      </c>
      <c r="X117">
        <v>48321.25</v>
      </c>
      <c r="Y117">
        <v>14500</v>
      </c>
      <c r="Z117">
        <v>0.1075</v>
      </c>
      <c r="AA117">
        <v>46762.5</v>
      </c>
      <c r="AB117">
        <v>14500</v>
      </c>
      <c r="AC117">
        <v>0.1075</v>
      </c>
      <c r="AD117">
        <v>48321.25</v>
      </c>
      <c r="AE117">
        <v>14500</v>
      </c>
      <c r="AF117">
        <v>0.1075</v>
      </c>
      <c r="AG117">
        <v>46762.5</v>
      </c>
      <c r="AH117">
        <v>14500</v>
      </c>
      <c r="AI117">
        <v>0.1075</v>
      </c>
      <c r="AJ117">
        <v>48321.25</v>
      </c>
      <c r="AK117">
        <v>14500</v>
      </c>
      <c r="AL117">
        <v>0.1075</v>
      </c>
      <c r="AM117">
        <v>48321.25</v>
      </c>
      <c r="AN117">
        <v>14500</v>
      </c>
      <c r="AO117">
        <v>0.1075</v>
      </c>
      <c r="AP117">
        <v>46762.5</v>
      </c>
      <c r="AQ117">
        <v>14500</v>
      </c>
      <c r="AR117">
        <v>0.1075</v>
      </c>
      <c r="AS117">
        <v>48321.25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">
      <c r="A118" t="s">
        <v>84</v>
      </c>
      <c r="B118" t="s">
        <v>81</v>
      </c>
      <c r="C118" t="s">
        <v>75</v>
      </c>
      <c r="D118">
        <v>56698</v>
      </c>
      <c r="E118">
        <v>58646</v>
      </c>
      <c r="F118" t="s">
        <v>115</v>
      </c>
      <c r="G118">
        <v>25841</v>
      </c>
      <c r="H118" t="s">
        <v>76</v>
      </c>
      <c r="I118" t="s">
        <v>93</v>
      </c>
      <c r="J118" s="55">
        <v>35827</v>
      </c>
      <c r="K118" s="55">
        <v>37560</v>
      </c>
      <c r="L118">
        <v>14500</v>
      </c>
      <c r="M118">
        <v>0.1075</v>
      </c>
      <c r="N118">
        <v>0</v>
      </c>
      <c r="O118">
        <v>0</v>
      </c>
      <c r="P118">
        <v>0</v>
      </c>
      <c r="Q118">
        <v>0.1075</v>
      </c>
      <c r="R118">
        <v>48321.25</v>
      </c>
      <c r="S118">
        <v>14500</v>
      </c>
      <c r="T118">
        <v>0.1075</v>
      </c>
      <c r="U118">
        <v>43645</v>
      </c>
      <c r="V118">
        <v>14500</v>
      </c>
      <c r="W118">
        <v>0.1075</v>
      </c>
      <c r="X118">
        <v>48321.25</v>
      </c>
      <c r="Y118">
        <v>14500</v>
      </c>
      <c r="Z118">
        <v>0.1075</v>
      </c>
      <c r="AA118">
        <v>46762.5</v>
      </c>
      <c r="AB118">
        <v>14500</v>
      </c>
      <c r="AC118">
        <v>0.1075</v>
      </c>
      <c r="AD118">
        <v>48321.25</v>
      </c>
      <c r="AE118">
        <v>14500</v>
      </c>
      <c r="AF118">
        <v>0.1075</v>
      </c>
      <c r="AG118">
        <v>46762.5</v>
      </c>
      <c r="AH118">
        <v>14500</v>
      </c>
      <c r="AI118">
        <v>0.1075</v>
      </c>
      <c r="AJ118">
        <v>48321.25</v>
      </c>
      <c r="AK118">
        <v>14500</v>
      </c>
      <c r="AL118">
        <v>0.1075</v>
      </c>
      <c r="AM118">
        <v>48321.25</v>
      </c>
      <c r="AN118">
        <v>14500</v>
      </c>
      <c r="AO118">
        <v>0.1075</v>
      </c>
      <c r="AP118">
        <v>46762.5</v>
      </c>
      <c r="AQ118">
        <v>14500</v>
      </c>
      <c r="AR118">
        <v>0.1075</v>
      </c>
      <c r="AS118">
        <v>48321.25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">
      <c r="A119" t="s">
        <v>84</v>
      </c>
      <c r="B119" t="s">
        <v>81</v>
      </c>
      <c r="C119" t="s">
        <v>75</v>
      </c>
      <c r="D119">
        <v>10487</v>
      </c>
      <c r="E119">
        <v>56339</v>
      </c>
      <c r="F119" t="s">
        <v>99</v>
      </c>
      <c r="G119">
        <v>26490</v>
      </c>
      <c r="H119" t="s">
        <v>76</v>
      </c>
      <c r="I119" t="s">
        <v>93</v>
      </c>
      <c r="J119" s="55">
        <v>36100</v>
      </c>
      <c r="K119" s="55">
        <v>37925</v>
      </c>
      <c r="L119">
        <v>33000</v>
      </c>
      <c r="M119">
        <v>0.15</v>
      </c>
      <c r="N119">
        <v>0</v>
      </c>
      <c r="O119">
        <v>0</v>
      </c>
      <c r="P119">
        <v>0</v>
      </c>
      <c r="Q119">
        <v>0.15</v>
      </c>
      <c r="R119">
        <v>153450</v>
      </c>
      <c r="S119">
        <v>33000</v>
      </c>
      <c r="T119">
        <v>0.15</v>
      </c>
      <c r="U119">
        <v>138600</v>
      </c>
      <c r="V119">
        <v>33000</v>
      </c>
      <c r="W119">
        <v>0.15</v>
      </c>
      <c r="X119">
        <v>153450</v>
      </c>
      <c r="Y119">
        <v>33000</v>
      </c>
      <c r="Z119">
        <v>0.15</v>
      </c>
      <c r="AA119">
        <v>148500</v>
      </c>
      <c r="AB119">
        <v>33000</v>
      </c>
      <c r="AC119">
        <v>0.15</v>
      </c>
      <c r="AD119">
        <v>153450</v>
      </c>
      <c r="AE119">
        <v>33000</v>
      </c>
      <c r="AF119">
        <v>0.15</v>
      </c>
      <c r="AG119">
        <v>148500</v>
      </c>
      <c r="AH119">
        <v>33000</v>
      </c>
      <c r="AI119">
        <v>0.15</v>
      </c>
      <c r="AJ119">
        <v>153450</v>
      </c>
      <c r="AK119">
        <v>33000</v>
      </c>
      <c r="AL119">
        <v>0.15</v>
      </c>
      <c r="AM119">
        <v>153450</v>
      </c>
      <c r="AN119">
        <v>33000</v>
      </c>
      <c r="AO119">
        <v>0.15</v>
      </c>
      <c r="AP119">
        <v>148500</v>
      </c>
      <c r="AQ119">
        <v>33000</v>
      </c>
      <c r="AR119">
        <v>0.15</v>
      </c>
      <c r="AS119">
        <v>153450</v>
      </c>
      <c r="AT119">
        <v>33000</v>
      </c>
      <c r="AU119">
        <v>0.15</v>
      </c>
      <c r="AV119">
        <v>148500</v>
      </c>
      <c r="AW119">
        <v>33000</v>
      </c>
      <c r="AX119">
        <v>0.15</v>
      </c>
      <c r="AY119">
        <v>153450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">
      <c r="A120" t="s">
        <v>84</v>
      </c>
      <c r="B120" t="s">
        <v>81</v>
      </c>
      <c r="C120" t="s">
        <v>75</v>
      </c>
      <c r="D120">
        <v>10487</v>
      </c>
      <c r="E120">
        <v>500238</v>
      </c>
      <c r="F120" t="s">
        <v>99</v>
      </c>
      <c r="G120">
        <v>26490</v>
      </c>
      <c r="H120" t="s">
        <v>76</v>
      </c>
      <c r="I120" t="s">
        <v>93</v>
      </c>
      <c r="J120" s="55">
        <v>36100</v>
      </c>
      <c r="K120" s="55">
        <v>37925</v>
      </c>
      <c r="L120">
        <v>2000</v>
      </c>
      <c r="M120">
        <v>0.15</v>
      </c>
      <c r="N120">
        <v>0</v>
      </c>
      <c r="O120">
        <v>0</v>
      </c>
      <c r="P120">
        <v>0</v>
      </c>
      <c r="Q120">
        <v>0.15</v>
      </c>
      <c r="R120">
        <v>9300</v>
      </c>
      <c r="S120">
        <v>2000</v>
      </c>
      <c r="T120">
        <v>0.15</v>
      </c>
      <c r="U120">
        <v>8400</v>
      </c>
      <c r="V120">
        <v>2000</v>
      </c>
      <c r="W120">
        <v>0.15</v>
      </c>
      <c r="X120">
        <v>9300</v>
      </c>
      <c r="Y120">
        <v>2000</v>
      </c>
      <c r="Z120">
        <v>0.15</v>
      </c>
      <c r="AA120">
        <v>9000</v>
      </c>
      <c r="AB120">
        <v>2000</v>
      </c>
      <c r="AC120">
        <v>0.15</v>
      </c>
      <c r="AD120">
        <v>9300</v>
      </c>
      <c r="AE120">
        <v>2000</v>
      </c>
      <c r="AF120">
        <v>0.15</v>
      </c>
      <c r="AG120">
        <v>9000</v>
      </c>
      <c r="AH120">
        <v>2000</v>
      </c>
      <c r="AI120">
        <v>0.15</v>
      </c>
      <c r="AJ120">
        <v>9300</v>
      </c>
      <c r="AK120">
        <v>2000</v>
      </c>
      <c r="AL120">
        <v>0.15</v>
      </c>
      <c r="AM120">
        <v>9300</v>
      </c>
      <c r="AN120">
        <v>2000</v>
      </c>
      <c r="AO120">
        <v>0.15</v>
      </c>
      <c r="AP120">
        <v>9000</v>
      </c>
      <c r="AQ120">
        <v>2000</v>
      </c>
      <c r="AR120">
        <v>0.15</v>
      </c>
      <c r="AS120">
        <v>9300</v>
      </c>
      <c r="AT120">
        <v>2000</v>
      </c>
      <c r="AU120">
        <v>0.15</v>
      </c>
      <c r="AV120">
        <v>9000</v>
      </c>
      <c r="AW120">
        <v>2000</v>
      </c>
      <c r="AX120">
        <v>0.15</v>
      </c>
      <c r="AY120">
        <v>9300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">
      <c r="A121" t="s">
        <v>84</v>
      </c>
      <c r="B121" t="s">
        <v>81</v>
      </c>
      <c r="C121" t="s">
        <v>75</v>
      </c>
      <c r="D121">
        <v>10487</v>
      </c>
      <c r="E121">
        <v>500303</v>
      </c>
      <c r="F121" t="s">
        <v>99</v>
      </c>
      <c r="G121">
        <v>26490</v>
      </c>
      <c r="H121" t="s">
        <v>76</v>
      </c>
      <c r="I121" t="s">
        <v>93</v>
      </c>
      <c r="J121" s="55">
        <v>36100</v>
      </c>
      <c r="K121" s="55">
        <v>37925</v>
      </c>
      <c r="L121">
        <v>800</v>
      </c>
      <c r="M121">
        <v>0.15</v>
      </c>
      <c r="N121">
        <v>0</v>
      </c>
      <c r="O121">
        <v>0</v>
      </c>
      <c r="P121">
        <v>0</v>
      </c>
      <c r="Q121">
        <v>0.15</v>
      </c>
      <c r="R121">
        <v>3720</v>
      </c>
      <c r="S121">
        <v>800</v>
      </c>
      <c r="T121">
        <v>0.15</v>
      </c>
      <c r="U121">
        <v>3360</v>
      </c>
      <c r="V121">
        <v>800</v>
      </c>
      <c r="W121">
        <v>0.15</v>
      </c>
      <c r="X121">
        <v>3720</v>
      </c>
      <c r="Y121">
        <v>800</v>
      </c>
      <c r="Z121">
        <v>0.15</v>
      </c>
      <c r="AA121">
        <v>3600</v>
      </c>
      <c r="AB121">
        <v>800</v>
      </c>
      <c r="AC121">
        <v>0.15</v>
      </c>
      <c r="AD121">
        <v>3720</v>
      </c>
      <c r="AE121">
        <v>800</v>
      </c>
      <c r="AF121">
        <v>0.15</v>
      </c>
      <c r="AG121">
        <v>3600</v>
      </c>
      <c r="AH121">
        <v>800</v>
      </c>
      <c r="AI121">
        <v>0.15</v>
      </c>
      <c r="AJ121">
        <v>3720</v>
      </c>
      <c r="AK121">
        <v>800</v>
      </c>
      <c r="AL121">
        <v>0.15</v>
      </c>
      <c r="AM121">
        <v>3720</v>
      </c>
      <c r="AN121">
        <v>800</v>
      </c>
      <c r="AO121">
        <v>0.15</v>
      </c>
      <c r="AP121">
        <v>3600</v>
      </c>
      <c r="AQ121">
        <v>800</v>
      </c>
      <c r="AR121">
        <v>0.15</v>
      </c>
      <c r="AS121">
        <v>3720</v>
      </c>
      <c r="AT121">
        <v>800</v>
      </c>
      <c r="AU121">
        <v>0.15</v>
      </c>
      <c r="AV121">
        <v>3600</v>
      </c>
      <c r="AW121">
        <v>800</v>
      </c>
      <c r="AX121">
        <v>0.15</v>
      </c>
      <c r="AY121">
        <v>3720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">
      <c r="A122" t="s">
        <v>84</v>
      </c>
      <c r="B122" t="s">
        <v>81</v>
      </c>
      <c r="C122" t="s">
        <v>75</v>
      </c>
      <c r="D122">
        <v>10487</v>
      </c>
      <c r="E122">
        <v>500305</v>
      </c>
      <c r="F122" t="s">
        <v>99</v>
      </c>
      <c r="G122">
        <v>26490</v>
      </c>
      <c r="H122" t="s">
        <v>76</v>
      </c>
      <c r="I122" t="s">
        <v>93</v>
      </c>
      <c r="J122" s="55">
        <v>36100</v>
      </c>
      <c r="K122" s="55">
        <v>37925</v>
      </c>
      <c r="L122">
        <v>32000</v>
      </c>
      <c r="M122">
        <v>0.15</v>
      </c>
      <c r="N122">
        <v>0</v>
      </c>
      <c r="O122">
        <v>0</v>
      </c>
      <c r="P122">
        <v>0</v>
      </c>
      <c r="Q122">
        <v>0.15</v>
      </c>
      <c r="R122">
        <v>148800</v>
      </c>
      <c r="S122">
        <v>32000</v>
      </c>
      <c r="T122">
        <v>0.15</v>
      </c>
      <c r="U122">
        <v>134400</v>
      </c>
      <c r="V122">
        <v>32000</v>
      </c>
      <c r="W122">
        <v>0.15</v>
      </c>
      <c r="X122">
        <v>148800</v>
      </c>
      <c r="Y122">
        <v>32000</v>
      </c>
      <c r="Z122">
        <v>0.15</v>
      </c>
      <c r="AA122">
        <v>144000</v>
      </c>
      <c r="AB122">
        <v>32000</v>
      </c>
      <c r="AC122">
        <v>0.15</v>
      </c>
      <c r="AD122">
        <v>148800</v>
      </c>
      <c r="AE122">
        <v>32000</v>
      </c>
      <c r="AF122">
        <v>0.15</v>
      </c>
      <c r="AG122">
        <v>144000</v>
      </c>
      <c r="AH122">
        <v>32000</v>
      </c>
      <c r="AI122">
        <v>0.15</v>
      </c>
      <c r="AJ122">
        <v>148800</v>
      </c>
      <c r="AK122">
        <v>32000</v>
      </c>
      <c r="AL122">
        <v>0.15</v>
      </c>
      <c r="AM122">
        <v>148800</v>
      </c>
      <c r="AN122">
        <v>32000</v>
      </c>
      <c r="AO122">
        <v>0.15</v>
      </c>
      <c r="AP122">
        <v>144000</v>
      </c>
      <c r="AQ122">
        <v>32000</v>
      </c>
      <c r="AR122">
        <v>0.15</v>
      </c>
      <c r="AS122">
        <v>148800</v>
      </c>
      <c r="AT122">
        <v>32000</v>
      </c>
      <c r="AU122">
        <v>0.15</v>
      </c>
      <c r="AV122">
        <v>144000</v>
      </c>
      <c r="AW122">
        <v>32000</v>
      </c>
      <c r="AX122">
        <v>0.15</v>
      </c>
      <c r="AY122">
        <v>148800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">
      <c r="A123" t="s">
        <v>84</v>
      </c>
      <c r="B123" t="s">
        <v>81</v>
      </c>
      <c r="C123" t="s">
        <v>75</v>
      </c>
      <c r="D123">
        <v>10487</v>
      </c>
      <c r="E123">
        <v>500307</v>
      </c>
      <c r="F123" t="s">
        <v>99</v>
      </c>
      <c r="G123">
        <v>26490</v>
      </c>
      <c r="H123" t="s">
        <v>76</v>
      </c>
      <c r="I123" t="s">
        <v>93</v>
      </c>
      <c r="J123" s="55">
        <v>36100</v>
      </c>
      <c r="K123" s="55">
        <v>37925</v>
      </c>
      <c r="L123">
        <v>2100</v>
      </c>
      <c r="M123">
        <v>0.15</v>
      </c>
      <c r="N123">
        <v>0</v>
      </c>
      <c r="O123">
        <v>0</v>
      </c>
      <c r="P123">
        <v>0</v>
      </c>
      <c r="Q123">
        <v>0.15</v>
      </c>
      <c r="R123">
        <v>9765</v>
      </c>
      <c r="S123">
        <v>2100</v>
      </c>
      <c r="T123">
        <v>0.15</v>
      </c>
      <c r="U123">
        <v>8820</v>
      </c>
      <c r="V123">
        <v>2100</v>
      </c>
      <c r="W123">
        <v>0.15</v>
      </c>
      <c r="X123">
        <v>9765</v>
      </c>
      <c r="Y123">
        <v>2100</v>
      </c>
      <c r="Z123">
        <v>0.15</v>
      </c>
      <c r="AA123">
        <v>9450</v>
      </c>
      <c r="AB123">
        <v>2100</v>
      </c>
      <c r="AC123">
        <v>0.15</v>
      </c>
      <c r="AD123">
        <v>9765</v>
      </c>
      <c r="AE123">
        <v>2100</v>
      </c>
      <c r="AF123">
        <v>0.15</v>
      </c>
      <c r="AG123">
        <v>9450</v>
      </c>
      <c r="AH123">
        <v>2100</v>
      </c>
      <c r="AI123">
        <v>0.15</v>
      </c>
      <c r="AJ123">
        <v>9765</v>
      </c>
      <c r="AK123">
        <v>2100</v>
      </c>
      <c r="AL123">
        <v>0.15</v>
      </c>
      <c r="AM123">
        <v>9765</v>
      </c>
      <c r="AN123">
        <v>2100</v>
      </c>
      <c r="AO123">
        <v>0.15</v>
      </c>
      <c r="AP123">
        <v>9450</v>
      </c>
      <c r="AQ123">
        <v>2100</v>
      </c>
      <c r="AR123">
        <v>0.15</v>
      </c>
      <c r="AS123">
        <v>9765</v>
      </c>
      <c r="AT123">
        <v>2100</v>
      </c>
      <c r="AU123">
        <v>0.15</v>
      </c>
      <c r="AV123">
        <v>9450</v>
      </c>
      <c r="AW123">
        <v>2100</v>
      </c>
      <c r="AX123">
        <v>0.15</v>
      </c>
      <c r="AY123">
        <v>9765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  <row r="124" spans="1:123" x14ac:dyDescent="0.2">
      <c r="A124" t="s">
        <v>84</v>
      </c>
      <c r="B124" t="s">
        <v>81</v>
      </c>
      <c r="C124" t="s">
        <v>75</v>
      </c>
      <c r="D124">
        <v>10487</v>
      </c>
      <c r="E124">
        <v>500313</v>
      </c>
      <c r="F124" t="s">
        <v>99</v>
      </c>
      <c r="G124">
        <v>26490</v>
      </c>
      <c r="H124" t="s">
        <v>76</v>
      </c>
      <c r="I124" t="s">
        <v>93</v>
      </c>
      <c r="J124" s="55">
        <v>36100</v>
      </c>
      <c r="K124" s="55">
        <v>37925</v>
      </c>
      <c r="L124">
        <v>100</v>
      </c>
      <c r="M124">
        <v>0.15</v>
      </c>
      <c r="N124">
        <v>0</v>
      </c>
      <c r="O124">
        <v>0</v>
      </c>
      <c r="P124">
        <v>0</v>
      </c>
      <c r="Q124">
        <v>0.15</v>
      </c>
      <c r="R124">
        <v>465</v>
      </c>
      <c r="S124">
        <v>100</v>
      </c>
      <c r="T124">
        <v>0.15</v>
      </c>
      <c r="U124">
        <v>420</v>
      </c>
      <c r="V124">
        <v>100</v>
      </c>
      <c r="W124">
        <v>0.15</v>
      </c>
      <c r="X124">
        <v>465</v>
      </c>
      <c r="Y124">
        <v>100</v>
      </c>
      <c r="Z124">
        <v>0.15</v>
      </c>
      <c r="AA124">
        <v>450</v>
      </c>
      <c r="AB124">
        <v>100</v>
      </c>
      <c r="AC124">
        <v>0.15</v>
      </c>
      <c r="AD124">
        <v>465</v>
      </c>
      <c r="AE124">
        <v>100</v>
      </c>
      <c r="AF124">
        <v>0.15</v>
      </c>
      <c r="AG124">
        <v>450</v>
      </c>
      <c r="AH124">
        <v>100</v>
      </c>
      <c r="AI124">
        <v>0.15</v>
      </c>
      <c r="AJ124">
        <v>465</v>
      </c>
      <c r="AK124">
        <v>100</v>
      </c>
      <c r="AL124">
        <v>0.15</v>
      </c>
      <c r="AM124">
        <v>465</v>
      </c>
      <c r="AN124">
        <v>100</v>
      </c>
      <c r="AO124">
        <v>0.15</v>
      </c>
      <c r="AP124">
        <v>450</v>
      </c>
      <c r="AQ124">
        <v>100</v>
      </c>
      <c r="AR124">
        <v>0.15</v>
      </c>
      <c r="AS124">
        <v>465</v>
      </c>
      <c r="AT124">
        <v>100</v>
      </c>
      <c r="AU124">
        <v>0.15</v>
      </c>
      <c r="AV124">
        <v>450</v>
      </c>
      <c r="AW124">
        <v>100</v>
      </c>
      <c r="AX124">
        <v>0.15</v>
      </c>
      <c r="AY124">
        <v>465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3" x14ac:dyDescent="0.2">
      <c r="A125" t="s">
        <v>84</v>
      </c>
      <c r="B125" t="s">
        <v>81</v>
      </c>
      <c r="C125" t="s">
        <v>75</v>
      </c>
      <c r="D125">
        <v>10487</v>
      </c>
      <c r="E125">
        <v>58646</v>
      </c>
      <c r="F125" t="s">
        <v>115</v>
      </c>
      <c r="G125">
        <v>26511</v>
      </c>
      <c r="H125" t="s">
        <v>76</v>
      </c>
      <c r="I125" t="s">
        <v>93</v>
      </c>
      <c r="J125" s="55">
        <v>36100</v>
      </c>
      <c r="K125" s="55">
        <v>37560</v>
      </c>
      <c r="L125">
        <v>5000</v>
      </c>
      <c r="M125">
        <v>0.1075</v>
      </c>
      <c r="N125">
        <v>0</v>
      </c>
      <c r="O125">
        <v>0</v>
      </c>
      <c r="P125">
        <v>0</v>
      </c>
      <c r="Q125">
        <v>0.1075</v>
      </c>
      <c r="R125">
        <v>16662.5</v>
      </c>
      <c r="S125">
        <v>5000</v>
      </c>
      <c r="T125">
        <v>0.1075</v>
      </c>
      <c r="U125">
        <v>15050</v>
      </c>
      <c r="V125">
        <v>5000</v>
      </c>
      <c r="W125">
        <v>0.1075</v>
      </c>
      <c r="X125">
        <v>16662.5</v>
      </c>
      <c r="Y125">
        <v>5000</v>
      </c>
      <c r="Z125">
        <v>0.1075</v>
      </c>
      <c r="AA125">
        <v>16125</v>
      </c>
      <c r="AB125">
        <v>5000</v>
      </c>
      <c r="AC125">
        <v>0.1075</v>
      </c>
      <c r="AD125">
        <v>16662.5</v>
      </c>
      <c r="AE125">
        <v>5000</v>
      </c>
      <c r="AF125">
        <v>0.1075</v>
      </c>
      <c r="AG125">
        <v>16125</v>
      </c>
      <c r="AH125">
        <v>5000</v>
      </c>
      <c r="AI125">
        <v>0.1075</v>
      </c>
      <c r="AJ125">
        <v>16662.5</v>
      </c>
      <c r="AK125">
        <v>5000</v>
      </c>
      <c r="AL125">
        <v>0.1075</v>
      </c>
      <c r="AM125">
        <v>16662.5</v>
      </c>
      <c r="AN125">
        <v>5000</v>
      </c>
      <c r="AO125">
        <v>0.1075</v>
      </c>
      <c r="AP125">
        <v>16125</v>
      </c>
      <c r="AQ125">
        <v>5000</v>
      </c>
      <c r="AR125">
        <v>0.1075</v>
      </c>
      <c r="AS125">
        <v>16662.5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</row>
    <row r="126" spans="1:123" x14ac:dyDescent="0.2">
      <c r="A126" t="s">
        <v>84</v>
      </c>
      <c r="B126" t="s">
        <v>81</v>
      </c>
      <c r="C126" t="s">
        <v>75</v>
      </c>
      <c r="D126">
        <v>10487</v>
      </c>
      <c r="E126">
        <v>58649</v>
      </c>
      <c r="F126" t="s">
        <v>115</v>
      </c>
      <c r="G126">
        <v>26511</v>
      </c>
      <c r="H126" t="s">
        <v>76</v>
      </c>
      <c r="I126" t="s">
        <v>93</v>
      </c>
      <c r="J126" s="55">
        <v>36100</v>
      </c>
      <c r="K126" s="55">
        <v>37560</v>
      </c>
      <c r="L126">
        <v>5000</v>
      </c>
      <c r="M126">
        <v>0.1075</v>
      </c>
      <c r="N126">
        <v>0</v>
      </c>
      <c r="O126">
        <v>0</v>
      </c>
      <c r="P126">
        <v>0</v>
      </c>
      <c r="Q126">
        <v>0.1075</v>
      </c>
      <c r="R126">
        <v>16662.5</v>
      </c>
      <c r="S126">
        <v>5000</v>
      </c>
      <c r="T126">
        <v>0.1075</v>
      </c>
      <c r="U126">
        <v>15050</v>
      </c>
      <c r="V126">
        <v>5000</v>
      </c>
      <c r="W126">
        <v>0.1075</v>
      </c>
      <c r="X126">
        <v>16662.5</v>
      </c>
      <c r="Y126">
        <v>5000</v>
      </c>
      <c r="Z126">
        <v>0.1075</v>
      </c>
      <c r="AA126">
        <v>16125</v>
      </c>
      <c r="AB126">
        <v>5000</v>
      </c>
      <c r="AC126">
        <v>0.1075</v>
      </c>
      <c r="AD126">
        <v>16662.5</v>
      </c>
      <c r="AE126">
        <v>5000</v>
      </c>
      <c r="AF126">
        <v>0.1075</v>
      </c>
      <c r="AG126">
        <v>16125</v>
      </c>
      <c r="AH126">
        <v>5000</v>
      </c>
      <c r="AI126">
        <v>0.1075</v>
      </c>
      <c r="AJ126">
        <v>16662.5</v>
      </c>
      <c r="AK126">
        <v>5000</v>
      </c>
      <c r="AL126">
        <v>0.1075</v>
      </c>
      <c r="AM126">
        <v>16662.5</v>
      </c>
      <c r="AN126">
        <v>5000</v>
      </c>
      <c r="AO126">
        <v>0.1075</v>
      </c>
      <c r="AP126">
        <v>16125</v>
      </c>
      <c r="AQ126">
        <v>5000</v>
      </c>
      <c r="AR126">
        <v>0.1075</v>
      </c>
      <c r="AS126">
        <v>16662.5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</row>
    <row r="127" spans="1:123" x14ac:dyDescent="0.2">
      <c r="A127" t="s">
        <v>84</v>
      </c>
      <c r="B127" t="s">
        <v>81</v>
      </c>
      <c r="C127" t="s">
        <v>75</v>
      </c>
      <c r="D127">
        <v>56698</v>
      </c>
      <c r="E127">
        <v>58646</v>
      </c>
      <c r="F127" t="s">
        <v>115</v>
      </c>
      <c r="G127">
        <v>26511</v>
      </c>
      <c r="H127" t="s">
        <v>76</v>
      </c>
      <c r="I127" t="s">
        <v>93</v>
      </c>
      <c r="J127" s="55">
        <v>36100</v>
      </c>
      <c r="K127" s="55">
        <v>37560</v>
      </c>
      <c r="L127">
        <v>5500</v>
      </c>
      <c r="M127">
        <v>0.1075</v>
      </c>
      <c r="N127">
        <v>0</v>
      </c>
      <c r="O127">
        <v>0</v>
      </c>
      <c r="P127">
        <v>0</v>
      </c>
      <c r="Q127">
        <v>0.1075</v>
      </c>
      <c r="R127">
        <v>18328.75</v>
      </c>
      <c r="S127">
        <v>5500</v>
      </c>
      <c r="T127">
        <v>0.1075</v>
      </c>
      <c r="U127">
        <v>16555</v>
      </c>
      <c r="V127">
        <v>5500</v>
      </c>
      <c r="W127">
        <v>0.1075</v>
      </c>
      <c r="X127">
        <v>18328.75</v>
      </c>
      <c r="Y127">
        <v>5500</v>
      </c>
      <c r="Z127">
        <v>0.1075</v>
      </c>
      <c r="AA127">
        <v>17737.5</v>
      </c>
      <c r="AB127">
        <v>5500</v>
      </c>
      <c r="AC127">
        <v>0.1075</v>
      </c>
      <c r="AD127">
        <v>18328.75</v>
      </c>
      <c r="AE127">
        <v>5500</v>
      </c>
      <c r="AF127">
        <v>0.1075</v>
      </c>
      <c r="AG127">
        <v>17737.5</v>
      </c>
      <c r="AH127">
        <v>5500</v>
      </c>
      <c r="AI127">
        <v>0.1075</v>
      </c>
      <c r="AJ127">
        <v>18328.75</v>
      </c>
      <c r="AK127">
        <v>5500</v>
      </c>
      <c r="AL127">
        <v>0.1075</v>
      </c>
      <c r="AM127">
        <v>18328.75</v>
      </c>
      <c r="AN127">
        <v>5500</v>
      </c>
      <c r="AO127">
        <v>0.1075</v>
      </c>
      <c r="AP127">
        <v>17737.5</v>
      </c>
      <c r="AQ127">
        <v>5500</v>
      </c>
      <c r="AR127">
        <v>0.1075</v>
      </c>
      <c r="AS127">
        <v>18328.75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</row>
    <row r="128" spans="1:123" x14ac:dyDescent="0.2">
      <c r="A128" t="s">
        <v>84</v>
      </c>
      <c r="B128" t="s">
        <v>81</v>
      </c>
      <c r="C128" t="s">
        <v>75</v>
      </c>
      <c r="D128">
        <v>56698</v>
      </c>
      <c r="E128">
        <v>58649</v>
      </c>
      <c r="F128" t="s">
        <v>115</v>
      </c>
      <c r="G128">
        <v>26511</v>
      </c>
      <c r="H128" t="s">
        <v>76</v>
      </c>
      <c r="I128" t="s">
        <v>93</v>
      </c>
      <c r="J128" s="55">
        <v>36100</v>
      </c>
      <c r="K128" s="55">
        <v>37560</v>
      </c>
      <c r="L128">
        <v>5500</v>
      </c>
      <c r="M128">
        <v>0.1075</v>
      </c>
      <c r="N128">
        <v>0</v>
      </c>
      <c r="O128">
        <v>0</v>
      </c>
      <c r="P128">
        <v>0</v>
      </c>
      <c r="Q128">
        <v>0.1075</v>
      </c>
      <c r="R128">
        <v>18328.75</v>
      </c>
      <c r="S128">
        <v>5500</v>
      </c>
      <c r="T128">
        <v>0.1075</v>
      </c>
      <c r="U128">
        <v>16555</v>
      </c>
      <c r="V128">
        <v>5500</v>
      </c>
      <c r="W128">
        <v>0.1075</v>
      </c>
      <c r="X128">
        <v>18328.75</v>
      </c>
      <c r="Y128">
        <v>5500</v>
      </c>
      <c r="Z128">
        <v>0.1075</v>
      </c>
      <c r="AA128">
        <v>17737.5</v>
      </c>
      <c r="AB128">
        <v>5500</v>
      </c>
      <c r="AC128">
        <v>0.1075</v>
      </c>
      <c r="AD128">
        <v>18328.75</v>
      </c>
      <c r="AE128">
        <v>5500</v>
      </c>
      <c r="AF128">
        <v>0.1075</v>
      </c>
      <c r="AG128">
        <v>17737.5</v>
      </c>
      <c r="AH128">
        <v>5500</v>
      </c>
      <c r="AI128">
        <v>0.1075</v>
      </c>
      <c r="AJ128">
        <v>18328.75</v>
      </c>
      <c r="AK128">
        <v>5500</v>
      </c>
      <c r="AL128">
        <v>0.1075</v>
      </c>
      <c r="AM128">
        <v>18328.75</v>
      </c>
      <c r="AN128">
        <v>5500</v>
      </c>
      <c r="AO128">
        <v>0.1075</v>
      </c>
      <c r="AP128">
        <v>17737.5</v>
      </c>
      <c r="AQ128">
        <v>5500</v>
      </c>
      <c r="AR128">
        <v>0.1075</v>
      </c>
      <c r="AS128">
        <v>18328.75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</row>
    <row r="129" spans="1:123" x14ac:dyDescent="0.2">
      <c r="A129" t="s">
        <v>84</v>
      </c>
      <c r="B129" t="s">
        <v>81</v>
      </c>
      <c r="C129" t="s">
        <v>75</v>
      </c>
      <c r="D129">
        <v>10487</v>
      </c>
      <c r="E129">
        <v>58646</v>
      </c>
      <c r="F129" t="s">
        <v>117</v>
      </c>
      <c r="G129">
        <v>26683</v>
      </c>
      <c r="H129" t="s">
        <v>76</v>
      </c>
      <c r="I129" t="s">
        <v>93</v>
      </c>
      <c r="J129" s="55">
        <v>36220</v>
      </c>
      <c r="K129" s="55">
        <v>37711</v>
      </c>
      <c r="L129">
        <v>8000</v>
      </c>
      <c r="M129">
        <v>0.3473</v>
      </c>
      <c r="N129">
        <v>0</v>
      </c>
      <c r="O129">
        <v>0</v>
      </c>
      <c r="P129">
        <v>0</v>
      </c>
      <c r="Q129">
        <v>0.3473</v>
      </c>
      <c r="R129">
        <v>86130.4</v>
      </c>
      <c r="S129">
        <v>8000</v>
      </c>
      <c r="T129">
        <v>0.3473</v>
      </c>
      <c r="U129">
        <v>77795.199999999997</v>
      </c>
      <c r="V129">
        <v>8000</v>
      </c>
      <c r="W129">
        <v>0.3473</v>
      </c>
      <c r="X129">
        <v>86130.4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</row>
    <row r="130" spans="1:123" x14ac:dyDescent="0.2">
      <c r="A130" t="s">
        <v>84</v>
      </c>
      <c r="B130" t="s">
        <v>81</v>
      </c>
      <c r="C130" t="s">
        <v>75</v>
      </c>
      <c r="D130">
        <v>10487</v>
      </c>
      <c r="E130">
        <v>58646</v>
      </c>
      <c r="F130" t="s">
        <v>98</v>
      </c>
      <c r="G130">
        <v>26758</v>
      </c>
      <c r="H130" t="s">
        <v>76</v>
      </c>
      <c r="I130" t="s">
        <v>93</v>
      </c>
      <c r="J130" s="55">
        <v>36647</v>
      </c>
      <c r="K130" s="55">
        <v>38472</v>
      </c>
      <c r="L130">
        <v>23000</v>
      </c>
      <c r="M130">
        <v>0.11119999999999999</v>
      </c>
      <c r="N130">
        <v>0</v>
      </c>
      <c r="O130">
        <v>0</v>
      </c>
      <c r="P130">
        <v>0</v>
      </c>
      <c r="Q130">
        <v>0.11119999999999999</v>
      </c>
      <c r="R130">
        <v>79285.600000000006</v>
      </c>
      <c r="S130">
        <v>23000</v>
      </c>
      <c r="T130">
        <v>0.11119999999999999</v>
      </c>
      <c r="U130">
        <v>71612.800000000003</v>
      </c>
      <c r="V130">
        <v>23000</v>
      </c>
      <c r="W130">
        <v>0.11119999999999999</v>
      </c>
      <c r="X130">
        <v>79285.600000000006</v>
      </c>
      <c r="Y130">
        <v>23000</v>
      </c>
      <c r="Z130">
        <v>0.11119999999999999</v>
      </c>
      <c r="AA130">
        <v>76728</v>
      </c>
      <c r="AB130">
        <v>23000</v>
      </c>
      <c r="AC130">
        <v>0.11119999999999999</v>
      </c>
      <c r="AD130">
        <v>79285.600000000006</v>
      </c>
      <c r="AE130">
        <v>23000</v>
      </c>
      <c r="AF130">
        <v>0.11119999999999999</v>
      </c>
      <c r="AG130">
        <v>76728</v>
      </c>
      <c r="AH130">
        <v>23000</v>
      </c>
      <c r="AI130">
        <v>0.11119999999999999</v>
      </c>
      <c r="AJ130">
        <v>79285.600000000006</v>
      </c>
      <c r="AK130">
        <v>23000</v>
      </c>
      <c r="AL130">
        <v>0.11119999999999999</v>
      </c>
      <c r="AM130">
        <v>79285.600000000006</v>
      </c>
      <c r="AN130">
        <v>23000</v>
      </c>
      <c r="AO130">
        <v>0.11119999999999999</v>
      </c>
      <c r="AP130">
        <v>76728</v>
      </c>
      <c r="AQ130">
        <v>23000</v>
      </c>
      <c r="AR130">
        <v>0.11119999999999999</v>
      </c>
      <c r="AS130">
        <v>79285.600000000006</v>
      </c>
      <c r="AT130">
        <v>23000</v>
      </c>
      <c r="AU130">
        <v>0.11119999999999999</v>
      </c>
      <c r="AV130">
        <v>76728</v>
      </c>
      <c r="AW130">
        <v>23000</v>
      </c>
      <c r="AX130">
        <v>0.11119999999999999</v>
      </c>
      <c r="AY130">
        <v>79285.600000000006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1:123" x14ac:dyDescent="0.2">
      <c r="A131" t="s">
        <v>84</v>
      </c>
      <c r="B131" t="s">
        <v>81</v>
      </c>
      <c r="C131" t="s">
        <v>75</v>
      </c>
      <c r="D131">
        <v>10487</v>
      </c>
      <c r="E131">
        <v>58649</v>
      </c>
      <c r="F131" t="s">
        <v>98</v>
      </c>
      <c r="G131">
        <v>26758</v>
      </c>
      <c r="H131" t="s">
        <v>76</v>
      </c>
      <c r="I131" t="s">
        <v>93</v>
      </c>
      <c r="J131" s="55">
        <v>36647</v>
      </c>
      <c r="K131" s="55">
        <v>38472</v>
      </c>
      <c r="L131">
        <v>17000</v>
      </c>
      <c r="M131">
        <v>0.11119999999999999</v>
      </c>
      <c r="N131">
        <v>0</v>
      </c>
      <c r="O131">
        <v>0</v>
      </c>
      <c r="P131">
        <v>0</v>
      </c>
      <c r="Q131">
        <v>0.11119999999999999</v>
      </c>
      <c r="R131">
        <v>58602.400000000001</v>
      </c>
      <c r="S131">
        <v>17000</v>
      </c>
      <c r="T131">
        <v>0.11119999999999999</v>
      </c>
      <c r="U131">
        <v>52931.199999999997</v>
      </c>
      <c r="V131">
        <v>17000</v>
      </c>
      <c r="W131">
        <v>0.11119999999999999</v>
      </c>
      <c r="X131">
        <v>58602.400000000001</v>
      </c>
      <c r="Y131">
        <v>17000</v>
      </c>
      <c r="Z131">
        <v>0.11119999999999999</v>
      </c>
      <c r="AA131">
        <v>56712</v>
      </c>
      <c r="AB131">
        <v>17000</v>
      </c>
      <c r="AC131">
        <v>0.11119999999999999</v>
      </c>
      <c r="AD131">
        <v>58602.400000000001</v>
      </c>
      <c r="AE131">
        <v>17000</v>
      </c>
      <c r="AF131">
        <v>0.11119999999999999</v>
      </c>
      <c r="AG131">
        <v>56712</v>
      </c>
      <c r="AH131">
        <v>17000</v>
      </c>
      <c r="AI131">
        <v>0.11119999999999999</v>
      </c>
      <c r="AJ131">
        <v>58602.400000000001</v>
      </c>
      <c r="AK131">
        <v>17000</v>
      </c>
      <c r="AL131">
        <v>0.11119999999999999</v>
      </c>
      <c r="AM131">
        <v>58602.400000000001</v>
      </c>
      <c r="AN131">
        <v>17000</v>
      </c>
      <c r="AO131">
        <v>0.11119999999999999</v>
      </c>
      <c r="AP131">
        <v>56712</v>
      </c>
      <c r="AQ131">
        <v>17000</v>
      </c>
      <c r="AR131">
        <v>0.11119999999999999</v>
      </c>
      <c r="AS131">
        <v>58602.400000000001</v>
      </c>
      <c r="AT131">
        <v>17000</v>
      </c>
      <c r="AU131">
        <v>0.11119999999999999</v>
      </c>
      <c r="AV131">
        <v>56712</v>
      </c>
      <c r="AW131">
        <v>17000</v>
      </c>
      <c r="AX131">
        <v>0.11119999999999999</v>
      </c>
      <c r="AY131">
        <v>58602.400000000001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</row>
    <row r="132" spans="1:123" x14ac:dyDescent="0.2">
      <c r="A132" t="s">
        <v>84</v>
      </c>
      <c r="B132" t="s">
        <v>81</v>
      </c>
      <c r="C132" t="s">
        <v>75</v>
      </c>
      <c r="D132">
        <v>10487</v>
      </c>
      <c r="E132">
        <v>58649</v>
      </c>
      <c r="F132" t="s">
        <v>107</v>
      </c>
      <c r="G132">
        <v>26819</v>
      </c>
      <c r="H132" t="s">
        <v>76</v>
      </c>
      <c r="I132" t="s">
        <v>93</v>
      </c>
      <c r="J132" s="55">
        <v>36647</v>
      </c>
      <c r="K132" s="55">
        <v>38472</v>
      </c>
      <c r="L132">
        <v>10000</v>
      </c>
      <c r="M132">
        <v>0.12</v>
      </c>
      <c r="N132">
        <v>0</v>
      </c>
      <c r="O132">
        <v>0</v>
      </c>
      <c r="P132">
        <v>0</v>
      </c>
      <c r="Q132">
        <v>0.12</v>
      </c>
      <c r="R132">
        <v>37200</v>
      </c>
      <c r="S132">
        <v>10000</v>
      </c>
      <c r="T132">
        <v>0.12</v>
      </c>
      <c r="U132">
        <v>33600</v>
      </c>
      <c r="V132">
        <v>10000</v>
      </c>
      <c r="W132">
        <v>0.12</v>
      </c>
      <c r="X132">
        <v>37200</v>
      </c>
      <c r="Y132">
        <v>10000</v>
      </c>
      <c r="Z132">
        <v>0.12</v>
      </c>
      <c r="AA132">
        <v>36000</v>
      </c>
      <c r="AB132">
        <v>10000</v>
      </c>
      <c r="AC132">
        <v>0.12</v>
      </c>
      <c r="AD132">
        <v>37200</v>
      </c>
      <c r="AE132">
        <v>10000</v>
      </c>
      <c r="AF132">
        <v>0.12</v>
      </c>
      <c r="AG132">
        <v>36000</v>
      </c>
      <c r="AH132">
        <v>10000</v>
      </c>
      <c r="AI132">
        <v>0.12</v>
      </c>
      <c r="AJ132">
        <v>37200</v>
      </c>
      <c r="AK132">
        <v>10000</v>
      </c>
      <c r="AL132">
        <v>0.12</v>
      </c>
      <c r="AM132">
        <v>37200</v>
      </c>
      <c r="AN132">
        <v>10000</v>
      </c>
      <c r="AO132">
        <v>0.12</v>
      </c>
      <c r="AP132">
        <v>36000</v>
      </c>
      <c r="AQ132">
        <v>10000</v>
      </c>
      <c r="AR132">
        <v>0.12</v>
      </c>
      <c r="AS132">
        <v>37200</v>
      </c>
      <c r="AT132">
        <v>10000</v>
      </c>
      <c r="AU132">
        <v>0.12</v>
      </c>
      <c r="AV132">
        <v>36000</v>
      </c>
      <c r="AW132">
        <v>10000</v>
      </c>
      <c r="AX132">
        <v>0.12</v>
      </c>
      <c r="AY132">
        <v>37200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</row>
    <row r="133" spans="1:123" x14ac:dyDescent="0.2">
      <c r="A133" t="s">
        <v>84</v>
      </c>
      <c r="B133" t="s">
        <v>81</v>
      </c>
      <c r="C133" t="s">
        <v>75</v>
      </c>
      <c r="D133">
        <v>78003</v>
      </c>
      <c r="E133">
        <v>58646</v>
      </c>
      <c r="F133" t="s">
        <v>424</v>
      </c>
      <c r="G133">
        <v>27252</v>
      </c>
      <c r="H133" t="s">
        <v>76</v>
      </c>
      <c r="I133" t="s">
        <v>93</v>
      </c>
      <c r="J133" s="55">
        <v>36831</v>
      </c>
      <c r="K133" s="55">
        <v>40482</v>
      </c>
      <c r="L133">
        <v>14000</v>
      </c>
      <c r="M133">
        <v>0.155</v>
      </c>
      <c r="N133">
        <v>0</v>
      </c>
      <c r="O133">
        <v>0</v>
      </c>
      <c r="P133">
        <v>0</v>
      </c>
      <c r="Q133">
        <v>0.155</v>
      </c>
      <c r="R133">
        <v>67270</v>
      </c>
      <c r="S133">
        <v>14000</v>
      </c>
      <c r="T133">
        <v>0.155</v>
      </c>
      <c r="U133">
        <v>60760</v>
      </c>
      <c r="V133">
        <v>14000</v>
      </c>
      <c r="W133">
        <v>0.155</v>
      </c>
      <c r="X133">
        <v>67270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</row>
    <row r="134" spans="1:123" x14ac:dyDescent="0.2">
      <c r="A134" t="s">
        <v>84</v>
      </c>
      <c r="B134" t="s">
        <v>81</v>
      </c>
      <c r="C134" t="s">
        <v>75</v>
      </c>
      <c r="D134">
        <v>78003</v>
      </c>
      <c r="E134">
        <v>58646</v>
      </c>
      <c r="F134" t="s">
        <v>424</v>
      </c>
      <c r="G134">
        <v>27252</v>
      </c>
      <c r="H134" t="s">
        <v>76</v>
      </c>
      <c r="I134" t="s">
        <v>93</v>
      </c>
      <c r="J134" s="55">
        <v>36831</v>
      </c>
      <c r="K134" s="55">
        <v>40482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14000</v>
      </c>
      <c r="AU134">
        <v>0.16</v>
      </c>
      <c r="AV134">
        <v>67200</v>
      </c>
      <c r="AW134">
        <v>14000</v>
      </c>
      <c r="AX134">
        <v>0.16</v>
      </c>
      <c r="AY134">
        <v>69440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</row>
    <row r="135" spans="1:123" x14ac:dyDescent="0.2">
      <c r="A135" t="s">
        <v>84</v>
      </c>
      <c r="B135" t="s">
        <v>81</v>
      </c>
      <c r="C135" t="s">
        <v>75</v>
      </c>
      <c r="D135">
        <v>10487</v>
      </c>
      <c r="E135">
        <v>58646</v>
      </c>
      <c r="F135" t="s">
        <v>105</v>
      </c>
      <c r="G135">
        <v>27340</v>
      </c>
      <c r="H135" t="s">
        <v>76</v>
      </c>
      <c r="I135" t="s">
        <v>93</v>
      </c>
      <c r="J135" s="55">
        <v>36923</v>
      </c>
      <c r="K135" s="55">
        <v>37287</v>
      </c>
      <c r="L135">
        <v>10000</v>
      </c>
      <c r="M135">
        <v>0.3473</v>
      </c>
      <c r="N135">
        <v>0</v>
      </c>
      <c r="O135">
        <v>0</v>
      </c>
      <c r="P135">
        <v>0</v>
      </c>
      <c r="Q135">
        <v>0.3473</v>
      </c>
      <c r="R135">
        <v>107663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</row>
    <row r="136" spans="1:123" x14ac:dyDescent="0.2">
      <c r="A136" t="s">
        <v>84</v>
      </c>
      <c r="B136" t="s">
        <v>81</v>
      </c>
      <c r="C136" t="s">
        <v>75</v>
      </c>
      <c r="D136">
        <v>56698</v>
      </c>
      <c r="E136">
        <v>58646</v>
      </c>
      <c r="F136" t="s">
        <v>105</v>
      </c>
      <c r="G136">
        <v>27340</v>
      </c>
      <c r="H136" t="s">
        <v>76</v>
      </c>
      <c r="I136" t="s">
        <v>93</v>
      </c>
      <c r="J136" s="55">
        <v>36923</v>
      </c>
      <c r="K136" s="55">
        <v>37287</v>
      </c>
      <c r="L136">
        <v>10000</v>
      </c>
      <c r="M136">
        <v>0.3473</v>
      </c>
      <c r="N136">
        <v>0</v>
      </c>
      <c r="O136">
        <v>0</v>
      </c>
      <c r="P136">
        <v>0</v>
      </c>
      <c r="Q136">
        <v>0.3473</v>
      </c>
      <c r="R136">
        <v>107663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</row>
    <row r="137" spans="1:123" x14ac:dyDescent="0.2">
      <c r="A137" t="s">
        <v>84</v>
      </c>
      <c r="B137" t="s">
        <v>81</v>
      </c>
      <c r="C137" t="s">
        <v>75</v>
      </c>
      <c r="D137">
        <v>10487</v>
      </c>
      <c r="E137">
        <v>58646</v>
      </c>
      <c r="F137" t="s">
        <v>103</v>
      </c>
      <c r="G137">
        <v>27352</v>
      </c>
      <c r="H137" t="s">
        <v>76</v>
      </c>
      <c r="I137" t="s">
        <v>93</v>
      </c>
      <c r="J137" s="55">
        <v>37196</v>
      </c>
      <c r="K137" s="55">
        <v>37560</v>
      </c>
      <c r="L137">
        <v>21500</v>
      </c>
      <c r="M137">
        <v>0.3</v>
      </c>
      <c r="N137">
        <v>0</v>
      </c>
      <c r="O137">
        <v>0</v>
      </c>
      <c r="P137">
        <v>0</v>
      </c>
      <c r="Q137">
        <v>0.3</v>
      </c>
      <c r="R137">
        <v>199950</v>
      </c>
      <c r="S137">
        <v>21500</v>
      </c>
      <c r="T137">
        <v>0.3</v>
      </c>
      <c r="U137">
        <v>180600</v>
      </c>
      <c r="V137">
        <v>21500</v>
      </c>
      <c r="W137">
        <v>0.3</v>
      </c>
      <c r="X137">
        <v>199950</v>
      </c>
      <c r="Y137">
        <v>21500</v>
      </c>
      <c r="Z137">
        <v>0.3</v>
      </c>
      <c r="AA137">
        <v>193500</v>
      </c>
      <c r="AB137">
        <v>21500</v>
      </c>
      <c r="AC137">
        <v>0.3</v>
      </c>
      <c r="AD137">
        <v>199950</v>
      </c>
      <c r="AE137">
        <v>21500</v>
      </c>
      <c r="AF137">
        <v>0.3</v>
      </c>
      <c r="AG137">
        <v>193500</v>
      </c>
      <c r="AH137">
        <v>21500</v>
      </c>
      <c r="AI137">
        <v>0.3</v>
      </c>
      <c r="AJ137">
        <v>199950</v>
      </c>
      <c r="AK137">
        <v>21500</v>
      </c>
      <c r="AL137">
        <v>0.3</v>
      </c>
      <c r="AM137">
        <v>199950</v>
      </c>
      <c r="AN137">
        <v>21500</v>
      </c>
      <c r="AO137">
        <v>0.3</v>
      </c>
      <c r="AP137">
        <v>193500</v>
      </c>
      <c r="AQ137">
        <v>21500</v>
      </c>
      <c r="AR137">
        <v>0.3</v>
      </c>
      <c r="AS137">
        <v>199950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</row>
    <row r="138" spans="1:123" x14ac:dyDescent="0.2">
      <c r="A138" t="s">
        <v>84</v>
      </c>
      <c r="B138" t="s">
        <v>81</v>
      </c>
      <c r="C138" t="s">
        <v>75</v>
      </c>
      <c r="D138">
        <v>56698</v>
      </c>
      <c r="E138">
        <v>58649</v>
      </c>
      <c r="F138" s="41" t="s">
        <v>751</v>
      </c>
      <c r="G138">
        <v>27581</v>
      </c>
      <c r="H138" t="s">
        <v>76</v>
      </c>
      <c r="I138" t="s">
        <v>93</v>
      </c>
      <c r="J138" s="55">
        <v>37196</v>
      </c>
      <c r="K138" s="55">
        <v>37925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14000</v>
      </c>
      <c r="Z138">
        <v>0.2</v>
      </c>
      <c r="AA138">
        <f>14000*30*0.2</f>
        <v>84000</v>
      </c>
      <c r="AB138">
        <v>14000</v>
      </c>
      <c r="AC138">
        <v>0.2</v>
      </c>
      <c r="AD138">
        <f>14000*31*0.2</f>
        <v>86800</v>
      </c>
      <c r="AE138">
        <v>14000</v>
      </c>
      <c r="AF138">
        <v>0.2</v>
      </c>
      <c r="AG138">
        <f>14000*30*0.2</f>
        <v>84000</v>
      </c>
      <c r="AH138">
        <v>14000</v>
      </c>
      <c r="AI138">
        <v>0.2</v>
      </c>
      <c r="AJ138">
        <f>14000*31*0.2</f>
        <v>86800</v>
      </c>
      <c r="AK138">
        <v>14000</v>
      </c>
      <c r="AL138">
        <v>0.2</v>
      </c>
      <c r="AM138">
        <f>14000*31*0.2</f>
        <v>86800</v>
      </c>
      <c r="AN138">
        <v>14000</v>
      </c>
      <c r="AO138">
        <v>0.2</v>
      </c>
      <c r="AP138">
        <f>14000*30*0.2</f>
        <v>84000</v>
      </c>
      <c r="AQ138">
        <v>14000</v>
      </c>
      <c r="AR138">
        <v>0.2</v>
      </c>
      <c r="AS138">
        <f>14000*31*0.2</f>
        <v>86800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</row>
    <row r="139" spans="1:123" x14ac:dyDescent="0.2">
      <c r="A139" t="s">
        <v>125</v>
      </c>
      <c r="G139" s="42" t="s">
        <v>2</v>
      </c>
      <c r="H139" s="42" t="s">
        <v>76</v>
      </c>
      <c r="L139" s="42">
        <f>SUM(L108:L138)</f>
        <v>550500</v>
      </c>
      <c r="R139" s="42">
        <f>SUM(R108:R138)</f>
        <v>4412412.9000000004</v>
      </c>
      <c r="S139" s="42">
        <f>SUM(S108:S138)</f>
        <v>530500</v>
      </c>
      <c r="U139" s="42">
        <f>SUM(U108:U138)</f>
        <v>3790917.2</v>
      </c>
      <c r="V139" s="42">
        <f>SUM(V108:V138)</f>
        <v>530500</v>
      </c>
      <c r="X139" s="42">
        <f>SUM(X108:X138)</f>
        <v>4197086.9000000004</v>
      </c>
      <c r="Y139" s="42">
        <f>SUM(Y108:Y138)</f>
        <v>522500</v>
      </c>
      <c r="AA139" s="42">
        <f>SUM(AA108:AA138)</f>
        <v>3997245</v>
      </c>
      <c r="AB139" s="42">
        <f>SUM(AB108:AB138)</f>
        <v>522500</v>
      </c>
      <c r="AD139" s="42">
        <f>SUM(AD108:AD138)</f>
        <v>4130486.5</v>
      </c>
      <c r="AE139" s="42">
        <f>SUM(AE108:AE138)</f>
        <v>522500</v>
      </c>
      <c r="AG139" s="42">
        <f>SUM(AG108:AG138)</f>
        <v>3997245</v>
      </c>
      <c r="AH139" s="42">
        <f>SUM(AH108:AH138)</f>
        <v>522500</v>
      </c>
      <c r="AJ139" s="42">
        <f>SUM(AJ108:AJ138)</f>
        <v>4130486.5</v>
      </c>
      <c r="AK139" s="42">
        <f>SUM(AK108:AK138)</f>
        <v>522500</v>
      </c>
      <c r="AM139" s="42">
        <f>SUM(AM108:AM138)</f>
        <v>4130486.5</v>
      </c>
      <c r="AN139" s="42">
        <f>SUM(AN108:AN138)</f>
        <v>522500</v>
      </c>
      <c r="AP139" s="42">
        <f>SUM(AP108:AP138)</f>
        <v>3997245</v>
      </c>
      <c r="AQ139" s="42">
        <f>SUM(AQ108:AQ138)</f>
        <v>522500</v>
      </c>
      <c r="AS139" s="42">
        <f>SUM(AS108:AS138)</f>
        <v>4130486.5</v>
      </c>
      <c r="AT139" s="42">
        <f>SUM(AT108:AT138)</f>
        <v>440000</v>
      </c>
      <c r="AV139" s="42">
        <f>SUM(AV108:AV138)</f>
        <v>3590220</v>
      </c>
      <c r="AW139" s="42">
        <f>SUM(AW108:AW138)</f>
        <v>440000</v>
      </c>
      <c r="AY139" s="42">
        <f>SUM(AY108:AY138)</f>
        <v>3709894</v>
      </c>
      <c r="AZ139" s="42">
        <f>SUM(AZ108:AZ138)</f>
        <v>0</v>
      </c>
      <c r="BB139" s="42">
        <f>SUM(BB108:BB138)</f>
        <v>0</v>
      </c>
      <c r="BC139" s="42">
        <f>SUM(BC108:BC138)</f>
        <v>0</v>
      </c>
      <c r="BE139" s="42">
        <f>SUM(BE108:BE138)</f>
        <v>0</v>
      </c>
      <c r="BF139" s="42">
        <f>SUM(BF108:BF138)</f>
        <v>0</v>
      </c>
      <c r="BH139" s="42">
        <f>SUM(BH108:BH138)</f>
        <v>0</v>
      </c>
      <c r="BI139" s="42">
        <f>SUM(BI108:BI138)</f>
        <v>0</v>
      </c>
      <c r="BK139" s="42">
        <f>SUM(BK108:BK138)</f>
        <v>0</v>
      </c>
      <c r="BL139" s="42">
        <f>SUM(BL108:BL138)</f>
        <v>0</v>
      </c>
      <c r="BN139" s="42">
        <f>SUM(BN108:BN138)</f>
        <v>0</v>
      </c>
      <c r="BO139" s="42">
        <f>SUM(BO108:BO138)</f>
        <v>0</v>
      </c>
      <c r="BQ139" s="42">
        <f>SUM(BQ108:BQ138)</f>
        <v>0</v>
      </c>
      <c r="BR139" s="42">
        <f>SUM(BR108:BR138)</f>
        <v>0</v>
      </c>
      <c r="BT139" s="42">
        <f>SUM(BT108:BT138)</f>
        <v>0</v>
      </c>
      <c r="BU139" s="42">
        <f>SUM(BU108:BU138)</f>
        <v>0</v>
      </c>
      <c r="BW139" s="42">
        <f>SUM(BW108:BW138)</f>
        <v>0</v>
      </c>
      <c r="BX139" s="42">
        <f>SUM(BX108:BX138)</f>
        <v>0</v>
      </c>
      <c r="BZ139" s="42">
        <f>SUM(BZ108:BZ138)</f>
        <v>0</v>
      </c>
      <c r="CA139" s="42">
        <f>SUM(CA108:CA138)</f>
        <v>0</v>
      </c>
      <c r="CC139" s="42">
        <f>SUM(CC108:CC138)</f>
        <v>0</v>
      </c>
      <c r="CD139" s="42">
        <f>SUM(CD108:CD138)</f>
        <v>0</v>
      </c>
      <c r="CF139" s="42">
        <f>SUM(CF108:CF138)</f>
        <v>0</v>
      </c>
      <c r="CG139" s="42">
        <f>SUM(CG108:CG138)</f>
        <v>0</v>
      </c>
      <c r="CI139" s="42">
        <f>SUM(CI108:CI138)</f>
        <v>0</v>
      </c>
      <c r="CJ139" s="42">
        <f>SUM(CJ108:CJ138)</f>
        <v>0</v>
      </c>
      <c r="CL139" s="42">
        <f>SUM(CL108:CL138)</f>
        <v>0</v>
      </c>
      <c r="CM139" s="42">
        <f>SUM(CM108:CM138)</f>
        <v>0</v>
      </c>
      <c r="CO139" s="42">
        <f>SUM(CO108:CO138)</f>
        <v>0</v>
      </c>
      <c r="CP139" s="42">
        <f>SUM(CP108:CP138)</f>
        <v>0</v>
      </c>
      <c r="CR139" s="42">
        <f>SUM(CR108:CR138)</f>
        <v>0</v>
      </c>
      <c r="CS139" s="42">
        <f>SUM(CS108:CS138)</f>
        <v>0</v>
      </c>
      <c r="CU139" s="42">
        <f>SUM(CU108:CU138)</f>
        <v>0</v>
      </c>
      <c r="CV139" s="42">
        <f>SUM(CV108:CV138)</f>
        <v>0</v>
      </c>
      <c r="CX139" s="42">
        <f>SUM(CX108:CX138)</f>
        <v>0</v>
      </c>
      <c r="CY139" s="42">
        <f>SUM(CY108:CY138)</f>
        <v>0</v>
      </c>
      <c r="DA139" s="42">
        <f>SUM(DA108:DA138)</f>
        <v>0</v>
      </c>
      <c r="DB139" s="42">
        <f>SUM(DB108:DB138)</f>
        <v>0</v>
      </c>
      <c r="DD139" s="42">
        <f>SUM(DD108:DD138)</f>
        <v>0</v>
      </c>
      <c r="DE139" s="42">
        <f>SUM(DE108:DE138)</f>
        <v>0</v>
      </c>
      <c r="DG139" s="42">
        <f>SUM(DG108:DG138)</f>
        <v>0</v>
      </c>
      <c r="DH139" s="42">
        <f>SUM(DH108:DH138)</f>
        <v>0</v>
      </c>
      <c r="DJ139" s="42">
        <f>SUM(DJ108:DJ138)</f>
        <v>0</v>
      </c>
      <c r="DK139" s="42">
        <f>SUM(DK108:DK138)</f>
        <v>0</v>
      </c>
      <c r="DM139" s="42">
        <f>SUM(DM108:DM138)</f>
        <v>0</v>
      </c>
      <c r="DN139" s="42">
        <f>SUM(DN108:DN138)</f>
        <v>0</v>
      </c>
      <c r="DP139" s="42">
        <f>SUM(DP108:DP138)</f>
        <v>0</v>
      </c>
      <c r="DQ139" s="42">
        <f>SUM(DQ108:DQ138)</f>
        <v>0</v>
      </c>
      <c r="DS139" s="42">
        <f>SUM(DS108:DS138)</f>
        <v>0</v>
      </c>
    </row>
    <row r="140" spans="1:123" x14ac:dyDescent="0.2">
      <c r="A140" t="s">
        <v>84</v>
      </c>
      <c r="B140" t="s">
        <v>81</v>
      </c>
      <c r="C140" t="s">
        <v>78</v>
      </c>
      <c r="D140">
        <v>10487</v>
      </c>
      <c r="E140">
        <v>500543</v>
      </c>
      <c r="F140" t="s">
        <v>111</v>
      </c>
      <c r="G140">
        <v>25071</v>
      </c>
      <c r="H140" t="s">
        <v>76</v>
      </c>
      <c r="I140" t="s">
        <v>93</v>
      </c>
      <c r="J140" s="55">
        <v>35400</v>
      </c>
      <c r="K140" s="55">
        <v>39782</v>
      </c>
      <c r="L140">
        <v>60000</v>
      </c>
      <c r="M140">
        <v>0.18</v>
      </c>
      <c r="N140">
        <v>0</v>
      </c>
      <c r="O140">
        <v>0</v>
      </c>
      <c r="P140">
        <v>0</v>
      </c>
      <c r="Q140">
        <v>0.18</v>
      </c>
      <c r="R140">
        <v>334800</v>
      </c>
      <c r="S140">
        <v>60000</v>
      </c>
      <c r="T140">
        <v>0.18</v>
      </c>
      <c r="U140">
        <v>302400</v>
      </c>
      <c r="V140">
        <v>60000</v>
      </c>
      <c r="W140">
        <v>0.18</v>
      </c>
      <c r="X140">
        <v>334800</v>
      </c>
      <c r="Y140">
        <v>60000</v>
      </c>
      <c r="Z140">
        <v>0.18</v>
      </c>
      <c r="AA140">
        <v>324000</v>
      </c>
      <c r="AB140">
        <v>60000</v>
      </c>
      <c r="AC140">
        <v>0.18</v>
      </c>
      <c r="AD140">
        <v>334800</v>
      </c>
      <c r="AE140">
        <v>60000</v>
      </c>
      <c r="AF140">
        <v>0.18</v>
      </c>
      <c r="AG140">
        <v>324000</v>
      </c>
      <c r="AH140">
        <v>60000</v>
      </c>
      <c r="AI140">
        <v>0.18</v>
      </c>
      <c r="AJ140">
        <v>334800</v>
      </c>
      <c r="AK140">
        <v>60000</v>
      </c>
      <c r="AL140">
        <v>0.18</v>
      </c>
      <c r="AM140">
        <v>334800</v>
      </c>
      <c r="AN140">
        <v>60000</v>
      </c>
      <c r="AO140">
        <v>0.18</v>
      </c>
      <c r="AP140">
        <v>324000</v>
      </c>
      <c r="AQ140">
        <v>60000</v>
      </c>
      <c r="AR140">
        <v>0.18</v>
      </c>
      <c r="AS140">
        <v>334800</v>
      </c>
      <c r="AT140">
        <v>60000</v>
      </c>
      <c r="AU140">
        <v>0.18</v>
      </c>
      <c r="AV140">
        <v>324000</v>
      </c>
      <c r="AW140">
        <v>60000</v>
      </c>
      <c r="AX140">
        <v>0.18</v>
      </c>
      <c r="AY140">
        <v>334800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</row>
    <row r="141" spans="1:123" x14ac:dyDescent="0.2">
      <c r="A141" t="s">
        <v>125</v>
      </c>
      <c r="G141" s="42" t="s">
        <v>2</v>
      </c>
      <c r="H141" s="42" t="s">
        <v>76</v>
      </c>
      <c r="L141" s="42">
        <f>SUM(L140:L140)</f>
        <v>60000</v>
      </c>
      <c r="R141" s="42">
        <f>SUM(R140:R140)</f>
        <v>334800</v>
      </c>
      <c r="S141" s="42">
        <f>SUM(S140:S140)</f>
        <v>60000</v>
      </c>
      <c r="U141" s="42">
        <f>SUM(U140:U140)</f>
        <v>302400</v>
      </c>
      <c r="V141" s="42">
        <f>SUM(V140:V140)</f>
        <v>60000</v>
      </c>
      <c r="X141" s="42">
        <f>SUM(X140:X140)</f>
        <v>334800</v>
      </c>
      <c r="Y141" s="42">
        <f>SUM(Y140:Y140)</f>
        <v>60000</v>
      </c>
      <c r="AA141" s="42">
        <f>SUM(AA140:AA140)</f>
        <v>324000</v>
      </c>
      <c r="AB141" s="42">
        <f>SUM(AB140:AB140)</f>
        <v>60000</v>
      </c>
      <c r="AD141" s="42">
        <f>SUM(AD140:AD140)</f>
        <v>334800</v>
      </c>
      <c r="AE141" s="42">
        <f>SUM(AE140:AE140)</f>
        <v>60000</v>
      </c>
      <c r="AG141" s="42">
        <f>SUM(AG140:AG140)</f>
        <v>324000</v>
      </c>
      <c r="AH141" s="42">
        <f>SUM(AH140:AH140)</f>
        <v>60000</v>
      </c>
      <c r="AJ141" s="42">
        <f>SUM(AJ140:AJ140)</f>
        <v>334800</v>
      </c>
      <c r="AK141" s="42">
        <f>SUM(AK140:AK140)</f>
        <v>60000</v>
      </c>
      <c r="AM141" s="42">
        <f>SUM(AM140:AM140)</f>
        <v>334800</v>
      </c>
      <c r="AN141" s="42">
        <f>SUM(AN140:AN140)</f>
        <v>60000</v>
      </c>
      <c r="AP141" s="42">
        <f>SUM(AP140:AP140)</f>
        <v>324000</v>
      </c>
      <c r="AQ141" s="42">
        <f>SUM(AQ140:AQ140)</f>
        <v>60000</v>
      </c>
      <c r="AS141" s="42">
        <f>SUM(AS140:AS140)</f>
        <v>334800</v>
      </c>
      <c r="AT141" s="42">
        <f>SUM(AT140:AT140)</f>
        <v>60000</v>
      </c>
      <c r="AV141" s="42">
        <f>SUM(AV140:AV140)</f>
        <v>324000</v>
      </c>
      <c r="AW141" s="42">
        <f>SUM(AW140:AW140)</f>
        <v>60000</v>
      </c>
      <c r="AY141" s="42">
        <f>SUM(AY140:AY140)</f>
        <v>334800</v>
      </c>
      <c r="AZ141" s="42">
        <f>SUM(AZ140:AZ140)</f>
        <v>0</v>
      </c>
      <c r="BB141" s="42">
        <f>SUM(BB140:BB140)</f>
        <v>0</v>
      </c>
      <c r="BC141" s="42">
        <f>SUM(BC140:BC140)</f>
        <v>0</v>
      </c>
      <c r="BE141" s="42">
        <f>SUM(BE140:BE140)</f>
        <v>0</v>
      </c>
      <c r="BF141" s="42">
        <f>SUM(BF140:BF140)</f>
        <v>0</v>
      </c>
      <c r="BH141" s="42">
        <f>SUM(BH140:BH140)</f>
        <v>0</v>
      </c>
      <c r="BI141" s="42">
        <f>SUM(BI140:BI140)</f>
        <v>0</v>
      </c>
      <c r="BK141" s="42">
        <f>SUM(BK140:BK140)</f>
        <v>0</v>
      </c>
      <c r="BL141" s="42">
        <f>SUM(BL140:BL140)</f>
        <v>0</v>
      </c>
      <c r="BN141" s="42">
        <f>SUM(BN140:BN140)</f>
        <v>0</v>
      </c>
      <c r="BO141" s="42">
        <f>SUM(BO140:BO140)</f>
        <v>0</v>
      </c>
      <c r="BQ141" s="42">
        <f>SUM(BQ140:BQ140)</f>
        <v>0</v>
      </c>
      <c r="BR141" s="42">
        <f>SUM(BR140:BR140)</f>
        <v>0</v>
      </c>
      <c r="BT141" s="42">
        <f>SUM(BT140:BT140)</f>
        <v>0</v>
      </c>
      <c r="BU141" s="42">
        <f>SUM(BU140:BU140)</f>
        <v>0</v>
      </c>
      <c r="BW141" s="42">
        <f>SUM(BW140:BW140)</f>
        <v>0</v>
      </c>
      <c r="BX141" s="42">
        <f>SUM(BX140:BX140)</f>
        <v>0</v>
      </c>
      <c r="BZ141" s="42">
        <f>SUM(BZ140:BZ140)</f>
        <v>0</v>
      </c>
      <c r="CA141" s="42">
        <f>SUM(CA140:CA140)</f>
        <v>0</v>
      </c>
      <c r="CC141" s="42">
        <f>SUM(CC140:CC140)</f>
        <v>0</v>
      </c>
      <c r="CD141" s="42">
        <f>SUM(CD140:CD140)</f>
        <v>0</v>
      </c>
      <c r="CF141" s="42">
        <f>SUM(CF140:CF140)</f>
        <v>0</v>
      </c>
      <c r="CG141" s="42">
        <f>SUM(CG140:CG140)</f>
        <v>0</v>
      </c>
      <c r="CI141" s="42">
        <f>SUM(CI140:CI140)</f>
        <v>0</v>
      </c>
      <c r="CJ141" s="42">
        <f>SUM(CJ140:CJ140)</f>
        <v>0</v>
      </c>
      <c r="CL141" s="42">
        <f>SUM(CL140:CL140)</f>
        <v>0</v>
      </c>
      <c r="CM141" s="42">
        <f>SUM(CM140:CM140)</f>
        <v>0</v>
      </c>
      <c r="CO141" s="42">
        <f>SUM(CO140:CO140)</f>
        <v>0</v>
      </c>
      <c r="CP141" s="42">
        <f>SUM(CP140:CP140)</f>
        <v>0</v>
      </c>
      <c r="CR141" s="42">
        <f>SUM(CR140:CR140)</f>
        <v>0</v>
      </c>
      <c r="CS141" s="42">
        <f>SUM(CS140:CS140)</f>
        <v>0</v>
      </c>
      <c r="CU141" s="42">
        <f>SUM(CU140:CU140)</f>
        <v>0</v>
      </c>
      <c r="CV141" s="42">
        <f>SUM(CV140:CV140)</f>
        <v>0</v>
      </c>
      <c r="CX141" s="42">
        <f>SUM(CX140:CX140)</f>
        <v>0</v>
      </c>
      <c r="CY141" s="42">
        <f>SUM(CY140:CY140)</f>
        <v>0</v>
      </c>
      <c r="DA141" s="42">
        <f>SUM(DA140:DA140)</f>
        <v>0</v>
      </c>
      <c r="DB141" s="42">
        <f>SUM(DB140:DB140)</f>
        <v>0</v>
      </c>
      <c r="DD141" s="42">
        <f>SUM(DD140:DD140)</f>
        <v>0</v>
      </c>
      <c r="DE141" s="42">
        <f>SUM(DE140:DE140)</f>
        <v>0</v>
      </c>
      <c r="DG141" s="42">
        <f>SUM(DG140:DG140)</f>
        <v>0</v>
      </c>
      <c r="DH141" s="42">
        <f>SUM(DH140:DH140)</f>
        <v>0</v>
      </c>
      <c r="DJ141" s="42">
        <f>SUM(DJ140:DJ140)</f>
        <v>0</v>
      </c>
      <c r="DK141" s="42">
        <f>SUM(DK140:DK140)</f>
        <v>0</v>
      </c>
      <c r="DM141" s="42">
        <f>SUM(DM140:DM140)</f>
        <v>0</v>
      </c>
      <c r="DN141" s="42">
        <f>SUM(DN140:DN140)</f>
        <v>0</v>
      </c>
      <c r="DP141" s="42">
        <f>SUM(DP140:DP140)</f>
        <v>0</v>
      </c>
      <c r="DQ141" s="42">
        <f>SUM(DQ140:DQ140)</f>
        <v>0</v>
      </c>
      <c r="DS141" s="42">
        <f>SUM(DS140:DS140)</f>
        <v>0</v>
      </c>
    </row>
    <row r="142" spans="1:123" x14ac:dyDescent="0.2">
      <c r="A142" t="s">
        <v>84</v>
      </c>
      <c r="B142" t="s">
        <v>81</v>
      </c>
      <c r="C142" t="s">
        <v>79</v>
      </c>
      <c r="D142">
        <v>56698</v>
      </c>
      <c r="E142">
        <v>56498</v>
      </c>
      <c r="F142" t="s">
        <v>120</v>
      </c>
      <c r="G142">
        <v>24670</v>
      </c>
      <c r="H142" t="s">
        <v>76</v>
      </c>
      <c r="I142" t="s">
        <v>93</v>
      </c>
      <c r="J142" s="55">
        <v>35490</v>
      </c>
      <c r="K142" s="55">
        <v>42825</v>
      </c>
      <c r="L142">
        <v>10000</v>
      </c>
      <c r="M142">
        <v>0.17</v>
      </c>
      <c r="N142">
        <v>0</v>
      </c>
      <c r="O142">
        <v>0</v>
      </c>
      <c r="P142">
        <v>0</v>
      </c>
      <c r="Q142">
        <v>0.17</v>
      </c>
      <c r="R142">
        <v>52700</v>
      </c>
      <c r="S142">
        <v>10000</v>
      </c>
      <c r="T142">
        <v>0.17</v>
      </c>
      <c r="U142">
        <v>47600</v>
      </c>
      <c r="V142">
        <v>10000</v>
      </c>
      <c r="W142">
        <v>0.17</v>
      </c>
      <c r="X142">
        <v>52700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</row>
    <row r="143" spans="1:123" x14ac:dyDescent="0.2">
      <c r="A143" t="s">
        <v>84</v>
      </c>
      <c r="B143" t="s">
        <v>81</v>
      </c>
      <c r="C143" t="s">
        <v>79</v>
      </c>
      <c r="D143">
        <v>56698</v>
      </c>
      <c r="E143">
        <v>56498</v>
      </c>
      <c r="F143" t="s">
        <v>120</v>
      </c>
      <c r="G143">
        <v>24670</v>
      </c>
      <c r="H143" t="s">
        <v>76</v>
      </c>
      <c r="I143" t="s">
        <v>93</v>
      </c>
      <c r="J143" s="55">
        <v>35490</v>
      </c>
      <c r="K143" s="55">
        <v>42825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10000</v>
      </c>
      <c r="Z143">
        <v>0.17499999999999999</v>
      </c>
      <c r="AA143">
        <v>52500</v>
      </c>
      <c r="AB143">
        <v>10000</v>
      </c>
      <c r="AC143">
        <v>0.17499999999999999</v>
      </c>
      <c r="AD143">
        <v>54250</v>
      </c>
      <c r="AE143">
        <v>10000</v>
      </c>
      <c r="AF143">
        <v>0.17499999999999999</v>
      </c>
      <c r="AG143">
        <v>52500</v>
      </c>
      <c r="AH143">
        <v>10000</v>
      </c>
      <c r="AI143">
        <v>0.17499999999999999</v>
      </c>
      <c r="AJ143">
        <v>54250</v>
      </c>
      <c r="AK143">
        <v>10000</v>
      </c>
      <c r="AL143">
        <v>0.17499999999999999</v>
      </c>
      <c r="AM143">
        <v>54250</v>
      </c>
      <c r="AN143">
        <v>10000</v>
      </c>
      <c r="AO143">
        <v>0.17499999999999999</v>
      </c>
      <c r="AP143">
        <v>52500</v>
      </c>
      <c r="AQ143">
        <v>10000</v>
      </c>
      <c r="AR143">
        <v>0.17499999999999999</v>
      </c>
      <c r="AS143">
        <v>54250</v>
      </c>
      <c r="AT143">
        <v>10000</v>
      </c>
      <c r="AU143">
        <v>0.17499999999999999</v>
      </c>
      <c r="AV143">
        <v>52500</v>
      </c>
      <c r="AW143">
        <v>10000</v>
      </c>
      <c r="AX143">
        <v>0.17499999999999999</v>
      </c>
      <c r="AY143">
        <v>54250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</row>
    <row r="144" spans="1:123" x14ac:dyDescent="0.2">
      <c r="A144" t="s">
        <v>84</v>
      </c>
      <c r="B144" t="s">
        <v>81</v>
      </c>
      <c r="C144" t="s">
        <v>79</v>
      </c>
      <c r="D144">
        <v>10487</v>
      </c>
      <c r="E144">
        <v>56498</v>
      </c>
      <c r="F144" t="s">
        <v>111</v>
      </c>
      <c r="G144">
        <v>25071</v>
      </c>
      <c r="H144" t="s">
        <v>76</v>
      </c>
      <c r="I144" t="s">
        <v>93</v>
      </c>
      <c r="J144" s="55">
        <v>35400</v>
      </c>
      <c r="K144" s="55">
        <v>39782</v>
      </c>
      <c r="L144">
        <v>30000</v>
      </c>
      <c r="M144">
        <v>0.18</v>
      </c>
      <c r="N144">
        <v>0</v>
      </c>
      <c r="O144">
        <v>0</v>
      </c>
      <c r="P144">
        <v>0</v>
      </c>
      <c r="Q144">
        <v>0.18</v>
      </c>
      <c r="R144">
        <v>167400</v>
      </c>
      <c r="S144">
        <v>30000</v>
      </c>
      <c r="T144">
        <v>0.18</v>
      </c>
      <c r="U144">
        <v>151200</v>
      </c>
      <c r="V144">
        <v>30000</v>
      </c>
      <c r="W144">
        <v>0.18</v>
      </c>
      <c r="X144">
        <v>167400</v>
      </c>
      <c r="Y144">
        <v>30000</v>
      </c>
      <c r="Z144">
        <v>0.18</v>
      </c>
      <c r="AA144">
        <v>162000</v>
      </c>
      <c r="AB144">
        <v>30000</v>
      </c>
      <c r="AC144">
        <v>0.18</v>
      </c>
      <c r="AD144">
        <v>167400</v>
      </c>
      <c r="AE144">
        <v>30000</v>
      </c>
      <c r="AF144">
        <v>0.18</v>
      </c>
      <c r="AG144">
        <v>162000</v>
      </c>
      <c r="AH144">
        <v>30000</v>
      </c>
      <c r="AI144">
        <v>0.18</v>
      </c>
      <c r="AJ144">
        <v>167400</v>
      </c>
      <c r="AK144">
        <v>30000</v>
      </c>
      <c r="AL144">
        <v>0.18</v>
      </c>
      <c r="AM144">
        <v>167400</v>
      </c>
      <c r="AN144">
        <v>30000</v>
      </c>
      <c r="AO144">
        <v>0.18</v>
      </c>
      <c r="AP144">
        <v>162000</v>
      </c>
      <c r="AQ144">
        <v>30000</v>
      </c>
      <c r="AR144">
        <v>0.18</v>
      </c>
      <c r="AS144">
        <v>167400</v>
      </c>
      <c r="AT144">
        <v>30000</v>
      </c>
      <c r="AU144">
        <v>0.18</v>
      </c>
      <c r="AV144">
        <v>162000</v>
      </c>
      <c r="AW144">
        <v>30000</v>
      </c>
      <c r="AX144">
        <v>0.18</v>
      </c>
      <c r="AY144">
        <v>167400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">
      <c r="A145" t="s">
        <v>84</v>
      </c>
      <c r="B145" t="s">
        <v>81</v>
      </c>
      <c r="C145" t="s">
        <v>79</v>
      </c>
      <c r="D145">
        <v>10487</v>
      </c>
      <c r="E145">
        <v>56498</v>
      </c>
      <c r="F145" t="s">
        <v>111</v>
      </c>
      <c r="G145">
        <v>25700</v>
      </c>
      <c r="H145" t="s">
        <v>76</v>
      </c>
      <c r="I145" t="s">
        <v>93</v>
      </c>
      <c r="J145" s="55">
        <v>35796</v>
      </c>
      <c r="K145" s="55">
        <v>37621</v>
      </c>
      <c r="L145">
        <v>25000</v>
      </c>
      <c r="M145">
        <v>0.19</v>
      </c>
      <c r="N145">
        <v>0</v>
      </c>
      <c r="O145">
        <v>0</v>
      </c>
      <c r="P145">
        <v>0</v>
      </c>
      <c r="Q145">
        <v>0.19</v>
      </c>
      <c r="R145">
        <v>147250</v>
      </c>
      <c r="S145">
        <v>25000</v>
      </c>
      <c r="T145">
        <v>0.19</v>
      </c>
      <c r="U145">
        <v>133000</v>
      </c>
      <c r="V145">
        <v>25000</v>
      </c>
      <c r="W145">
        <v>0.19</v>
      </c>
      <c r="X145">
        <v>147250</v>
      </c>
      <c r="Y145">
        <v>25000</v>
      </c>
      <c r="Z145">
        <v>0.19</v>
      </c>
      <c r="AA145">
        <v>142500</v>
      </c>
      <c r="AB145">
        <v>25000</v>
      </c>
      <c r="AC145">
        <v>0.19</v>
      </c>
      <c r="AD145">
        <v>147250</v>
      </c>
      <c r="AE145">
        <v>25000</v>
      </c>
      <c r="AF145">
        <v>0.19</v>
      </c>
      <c r="AG145">
        <v>142500</v>
      </c>
      <c r="AH145">
        <v>25000</v>
      </c>
      <c r="AI145">
        <v>0.19</v>
      </c>
      <c r="AJ145">
        <v>147250</v>
      </c>
      <c r="AK145">
        <v>25000</v>
      </c>
      <c r="AL145">
        <v>0.19</v>
      </c>
      <c r="AM145">
        <v>147250</v>
      </c>
      <c r="AN145">
        <v>25000</v>
      </c>
      <c r="AO145">
        <v>0.19</v>
      </c>
      <c r="AP145">
        <v>142500</v>
      </c>
      <c r="AQ145">
        <v>25000</v>
      </c>
      <c r="AR145">
        <v>0.19</v>
      </c>
      <c r="AS145">
        <v>147250</v>
      </c>
      <c r="AT145">
        <v>25000</v>
      </c>
      <c r="AU145">
        <v>0.19</v>
      </c>
      <c r="AV145">
        <v>142500</v>
      </c>
      <c r="AW145">
        <v>25000</v>
      </c>
      <c r="AX145">
        <v>0.19</v>
      </c>
      <c r="AY145">
        <v>147250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</row>
    <row r="146" spans="1:123" x14ac:dyDescent="0.2">
      <c r="A146" t="s">
        <v>84</v>
      </c>
      <c r="B146" t="s">
        <v>81</v>
      </c>
      <c r="C146" t="s">
        <v>79</v>
      </c>
      <c r="D146">
        <v>10487</v>
      </c>
      <c r="E146">
        <v>56498</v>
      </c>
      <c r="F146" t="s">
        <v>109</v>
      </c>
      <c r="G146">
        <v>26125</v>
      </c>
      <c r="H146" t="s">
        <v>76</v>
      </c>
      <c r="I146" t="s">
        <v>93</v>
      </c>
      <c r="J146" s="55">
        <v>35947</v>
      </c>
      <c r="K146" s="55">
        <v>37772</v>
      </c>
      <c r="L146">
        <v>8600</v>
      </c>
      <c r="M146">
        <v>0.13</v>
      </c>
      <c r="N146">
        <v>0</v>
      </c>
      <c r="O146">
        <v>0</v>
      </c>
      <c r="P146">
        <v>0</v>
      </c>
      <c r="Q146">
        <v>0.13</v>
      </c>
      <c r="R146">
        <v>34658</v>
      </c>
      <c r="S146">
        <v>8600</v>
      </c>
      <c r="T146">
        <v>0.13</v>
      </c>
      <c r="U146">
        <v>31304</v>
      </c>
      <c r="V146">
        <v>8600</v>
      </c>
      <c r="W146">
        <v>0.13</v>
      </c>
      <c r="X146">
        <v>34658</v>
      </c>
      <c r="Y146">
        <v>8600</v>
      </c>
      <c r="Z146">
        <v>0.13</v>
      </c>
      <c r="AA146">
        <v>33540</v>
      </c>
      <c r="AB146">
        <v>8600</v>
      </c>
      <c r="AC146">
        <v>0.13</v>
      </c>
      <c r="AD146">
        <v>34658</v>
      </c>
      <c r="AE146">
        <v>8600</v>
      </c>
      <c r="AF146">
        <v>0.13</v>
      </c>
      <c r="AG146">
        <v>33540</v>
      </c>
      <c r="AH146">
        <v>8600</v>
      </c>
      <c r="AI146">
        <v>0.13</v>
      </c>
      <c r="AJ146">
        <v>34658</v>
      </c>
      <c r="AK146">
        <v>8600</v>
      </c>
      <c r="AL146">
        <v>0.13</v>
      </c>
      <c r="AM146">
        <v>34658</v>
      </c>
      <c r="AN146">
        <v>8600</v>
      </c>
      <c r="AO146">
        <v>0.13</v>
      </c>
      <c r="AP146">
        <v>33540</v>
      </c>
      <c r="AQ146">
        <v>8600</v>
      </c>
      <c r="AR146">
        <v>0.13</v>
      </c>
      <c r="AS146">
        <v>34658</v>
      </c>
      <c r="AT146">
        <v>8600</v>
      </c>
      <c r="AU146">
        <v>0.13</v>
      </c>
      <c r="AV146">
        <v>33540</v>
      </c>
      <c r="AW146">
        <v>8600</v>
      </c>
      <c r="AX146">
        <v>0.13</v>
      </c>
      <c r="AY146">
        <v>34658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</row>
    <row r="147" spans="1:123" x14ac:dyDescent="0.2">
      <c r="A147" t="s">
        <v>84</v>
      </c>
      <c r="B147" t="s">
        <v>81</v>
      </c>
      <c r="C147" t="s">
        <v>79</v>
      </c>
      <c r="D147">
        <v>10487</v>
      </c>
      <c r="E147">
        <v>56498</v>
      </c>
      <c r="F147" t="s">
        <v>121</v>
      </c>
      <c r="G147">
        <v>26719</v>
      </c>
      <c r="H147" t="s">
        <v>76</v>
      </c>
      <c r="I147" t="s">
        <v>93</v>
      </c>
      <c r="J147" s="55">
        <v>36647</v>
      </c>
      <c r="K147" s="55">
        <v>38472</v>
      </c>
      <c r="L147">
        <v>25000</v>
      </c>
      <c r="M147">
        <v>0.20499999999999999</v>
      </c>
      <c r="N147">
        <v>0</v>
      </c>
      <c r="O147">
        <v>0</v>
      </c>
      <c r="P147">
        <v>0</v>
      </c>
      <c r="Q147">
        <v>0.20499999999999999</v>
      </c>
      <c r="R147">
        <v>158875</v>
      </c>
      <c r="S147">
        <v>25000</v>
      </c>
      <c r="T147">
        <v>0.20499999999999999</v>
      </c>
      <c r="U147">
        <v>143500</v>
      </c>
      <c r="V147">
        <v>25000</v>
      </c>
      <c r="W147">
        <v>0.20499999999999999</v>
      </c>
      <c r="X147">
        <v>158875</v>
      </c>
      <c r="Y147">
        <v>25000</v>
      </c>
      <c r="Z147">
        <v>0.20499999999999999</v>
      </c>
      <c r="AA147">
        <v>153750</v>
      </c>
      <c r="AB147">
        <v>25000</v>
      </c>
      <c r="AC147">
        <v>0.20499999999999999</v>
      </c>
      <c r="AD147">
        <v>158875</v>
      </c>
      <c r="AE147">
        <v>25000</v>
      </c>
      <c r="AF147">
        <v>0.20499999999999999</v>
      </c>
      <c r="AG147">
        <v>153750</v>
      </c>
      <c r="AH147">
        <v>25000</v>
      </c>
      <c r="AI147">
        <v>0.20499999999999999</v>
      </c>
      <c r="AJ147">
        <v>158875</v>
      </c>
      <c r="AK147">
        <v>25000</v>
      </c>
      <c r="AL147">
        <v>0.20499999999999999</v>
      </c>
      <c r="AM147">
        <v>158875</v>
      </c>
      <c r="AN147">
        <v>25000</v>
      </c>
      <c r="AO147">
        <v>0.20499999999999999</v>
      </c>
      <c r="AP147">
        <v>153750</v>
      </c>
      <c r="AQ147">
        <v>25000</v>
      </c>
      <c r="AR147">
        <v>0.20499999999999999</v>
      </c>
      <c r="AS147">
        <v>158875</v>
      </c>
      <c r="AT147">
        <v>25000</v>
      </c>
      <c r="AU147">
        <v>0.20499999999999999</v>
      </c>
      <c r="AV147">
        <v>153750</v>
      </c>
      <c r="AW147">
        <v>25000</v>
      </c>
      <c r="AX147">
        <v>0.20499999999999999</v>
      </c>
      <c r="AY147">
        <v>158875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</row>
    <row r="148" spans="1:123" x14ac:dyDescent="0.2">
      <c r="A148" t="s">
        <v>84</v>
      </c>
      <c r="B148" t="s">
        <v>81</v>
      </c>
      <c r="C148" t="s">
        <v>79</v>
      </c>
      <c r="D148">
        <v>500383</v>
      </c>
      <c r="E148">
        <v>56498</v>
      </c>
      <c r="F148" t="s">
        <v>119</v>
      </c>
      <c r="G148">
        <v>26813</v>
      </c>
      <c r="H148" t="s">
        <v>76</v>
      </c>
      <c r="I148" t="s">
        <v>93</v>
      </c>
      <c r="J148" s="55">
        <v>36648</v>
      </c>
      <c r="K148" s="55">
        <v>39569</v>
      </c>
      <c r="L148">
        <v>3500</v>
      </c>
      <c r="M148">
        <v>0.1925</v>
      </c>
      <c r="N148">
        <v>0</v>
      </c>
      <c r="O148">
        <v>0</v>
      </c>
      <c r="P148">
        <v>0</v>
      </c>
      <c r="Q148">
        <v>0.1925</v>
      </c>
      <c r="R148">
        <v>20886.25</v>
      </c>
      <c r="S148">
        <v>3500</v>
      </c>
      <c r="T148">
        <v>0.1925</v>
      </c>
      <c r="U148">
        <v>18865</v>
      </c>
      <c r="V148">
        <v>3500</v>
      </c>
      <c r="W148">
        <v>0.1925</v>
      </c>
      <c r="X148">
        <v>20886.25</v>
      </c>
      <c r="Y148">
        <v>3500</v>
      </c>
      <c r="Z148">
        <v>0.1925</v>
      </c>
      <c r="AA148">
        <v>20212.5</v>
      </c>
      <c r="AB148">
        <v>3500</v>
      </c>
      <c r="AC148">
        <v>0.1925</v>
      </c>
      <c r="AD148">
        <v>20886.25</v>
      </c>
      <c r="AE148">
        <v>3500</v>
      </c>
      <c r="AF148">
        <v>0.1925</v>
      </c>
      <c r="AG148">
        <v>20212.5</v>
      </c>
      <c r="AH148">
        <v>3500</v>
      </c>
      <c r="AI148">
        <v>0.1925</v>
      </c>
      <c r="AJ148">
        <v>20886.25</v>
      </c>
      <c r="AK148">
        <v>3500</v>
      </c>
      <c r="AL148">
        <v>0.1925</v>
      </c>
      <c r="AM148">
        <v>20886.25</v>
      </c>
      <c r="AN148">
        <v>3500</v>
      </c>
      <c r="AO148">
        <v>0.1925</v>
      </c>
      <c r="AP148">
        <v>20212.5</v>
      </c>
      <c r="AQ148">
        <v>3500</v>
      </c>
      <c r="AR148">
        <v>0.1925</v>
      </c>
      <c r="AS148">
        <v>20886.25</v>
      </c>
      <c r="AT148">
        <v>3500</v>
      </c>
      <c r="AU148">
        <v>0.1925</v>
      </c>
      <c r="AV148">
        <v>20212.5</v>
      </c>
      <c r="AW148">
        <v>3500</v>
      </c>
      <c r="AX148">
        <v>0.1925</v>
      </c>
      <c r="AY148">
        <v>20886.25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</row>
    <row r="149" spans="1:123" x14ac:dyDescent="0.2">
      <c r="A149" t="s">
        <v>84</v>
      </c>
      <c r="B149" t="s">
        <v>81</v>
      </c>
      <c r="C149" t="s">
        <v>79</v>
      </c>
      <c r="D149">
        <v>10487</v>
      </c>
      <c r="E149">
        <v>56498</v>
      </c>
      <c r="F149" t="s">
        <v>103</v>
      </c>
      <c r="G149">
        <v>26816</v>
      </c>
      <c r="H149" t="s">
        <v>76</v>
      </c>
      <c r="I149" t="s">
        <v>93</v>
      </c>
      <c r="J149" s="55">
        <v>36647</v>
      </c>
      <c r="K149" s="55">
        <v>38472</v>
      </c>
      <c r="L149">
        <v>21500</v>
      </c>
      <c r="M149">
        <v>0.17</v>
      </c>
      <c r="N149">
        <v>0</v>
      </c>
      <c r="O149">
        <v>0</v>
      </c>
      <c r="P149">
        <v>0</v>
      </c>
      <c r="Q149">
        <v>0.17</v>
      </c>
      <c r="R149">
        <v>113305</v>
      </c>
      <c r="S149">
        <v>21500</v>
      </c>
      <c r="T149">
        <v>0.17</v>
      </c>
      <c r="U149">
        <v>102340</v>
      </c>
      <c r="V149">
        <v>21500</v>
      </c>
      <c r="W149">
        <v>0.17</v>
      </c>
      <c r="X149">
        <v>113305</v>
      </c>
      <c r="Y149">
        <v>21500</v>
      </c>
      <c r="Z149">
        <v>0.17</v>
      </c>
      <c r="AA149">
        <v>109650</v>
      </c>
      <c r="AB149">
        <v>21500</v>
      </c>
      <c r="AC149">
        <v>0.17</v>
      </c>
      <c r="AD149">
        <v>113305</v>
      </c>
      <c r="AE149">
        <v>21500</v>
      </c>
      <c r="AF149">
        <v>0.17</v>
      </c>
      <c r="AG149">
        <v>109650</v>
      </c>
      <c r="AH149">
        <v>21500</v>
      </c>
      <c r="AI149">
        <v>0.17</v>
      </c>
      <c r="AJ149">
        <v>113305</v>
      </c>
      <c r="AK149">
        <v>21500</v>
      </c>
      <c r="AL149">
        <v>0.17</v>
      </c>
      <c r="AM149">
        <v>113305</v>
      </c>
      <c r="AN149">
        <v>21500</v>
      </c>
      <c r="AO149">
        <v>0.17</v>
      </c>
      <c r="AP149">
        <v>109650</v>
      </c>
      <c r="AQ149">
        <v>21500</v>
      </c>
      <c r="AR149">
        <v>0.17</v>
      </c>
      <c r="AS149">
        <v>113305</v>
      </c>
      <c r="AT149">
        <v>21500</v>
      </c>
      <c r="AU149">
        <v>0.17</v>
      </c>
      <c r="AV149">
        <v>109650</v>
      </c>
      <c r="AW149">
        <v>21500</v>
      </c>
      <c r="AX149">
        <v>0.17</v>
      </c>
      <c r="AY149">
        <v>113305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</row>
    <row r="150" spans="1:123" x14ac:dyDescent="0.2">
      <c r="A150" t="s">
        <v>84</v>
      </c>
      <c r="B150" t="s">
        <v>81</v>
      </c>
      <c r="C150" t="s">
        <v>79</v>
      </c>
      <c r="D150">
        <v>10487</v>
      </c>
      <c r="E150">
        <v>58648</v>
      </c>
      <c r="F150" t="s">
        <v>122</v>
      </c>
      <c r="G150">
        <v>26884</v>
      </c>
      <c r="H150" t="s">
        <v>76</v>
      </c>
      <c r="I150" t="s">
        <v>93</v>
      </c>
      <c r="J150" s="55">
        <v>36647</v>
      </c>
      <c r="K150" s="55">
        <v>38656</v>
      </c>
      <c r="L150">
        <v>40000</v>
      </c>
      <c r="M150">
        <v>0.20250000000000001</v>
      </c>
      <c r="N150">
        <v>0</v>
      </c>
      <c r="O150">
        <v>0</v>
      </c>
      <c r="P150">
        <v>0</v>
      </c>
      <c r="Q150">
        <v>0.20250000000000001</v>
      </c>
      <c r="R150">
        <v>251100</v>
      </c>
      <c r="S150">
        <v>40000</v>
      </c>
      <c r="T150">
        <v>0.20250000000000001</v>
      </c>
      <c r="U150">
        <v>226800</v>
      </c>
      <c r="V150">
        <v>40000</v>
      </c>
      <c r="W150">
        <v>0.20250000000000001</v>
      </c>
      <c r="X150">
        <v>251100</v>
      </c>
      <c r="Y150">
        <v>40000</v>
      </c>
      <c r="Z150">
        <v>0.20250000000000001</v>
      </c>
      <c r="AA150">
        <v>243000</v>
      </c>
      <c r="AB150">
        <v>40000</v>
      </c>
      <c r="AC150">
        <v>0.20250000000000001</v>
      </c>
      <c r="AD150">
        <v>251100</v>
      </c>
      <c r="AE150">
        <v>40000</v>
      </c>
      <c r="AF150">
        <v>0.20250000000000001</v>
      </c>
      <c r="AG150">
        <v>243000</v>
      </c>
      <c r="AH150">
        <v>40000</v>
      </c>
      <c r="AI150">
        <v>0.20250000000000001</v>
      </c>
      <c r="AJ150">
        <v>251100</v>
      </c>
      <c r="AK150">
        <v>40000</v>
      </c>
      <c r="AL150">
        <v>0.20250000000000001</v>
      </c>
      <c r="AM150">
        <v>251100</v>
      </c>
      <c r="AN150">
        <v>40000</v>
      </c>
      <c r="AO150">
        <v>0.20250000000000001</v>
      </c>
      <c r="AP150">
        <v>243000</v>
      </c>
      <c r="AQ150">
        <v>40000</v>
      </c>
      <c r="AR150">
        <v>0.20250000000000001</v>
      </c>
      <c r="AS150">
        <v>251100</v>
      </c>
      <c r="AT150">
        <v>40000</v>
      </c>
      <c r="AU150">
        <v>0.20250000000000001</v>
      </c>
      <c r="AV150">
        <v>243000</v>
      </c>
      <c r="AW150">
        <v>40000</v>
      </c>
      <c r="AX150">
        <v>0.20250000000000001</v>
      </c>
      <c r="AY150">
        <v>251100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</row>
    <row r="151" spans="1:123" x14ac:dyDescent="0.2">
      <c r="A151" t="s">
        <v>84</v>
      </c>
      <c r="B151" t="s">
        <v>81</v>
      </c>
      <c r="C151" t="s">
        <v>79</v>
      </c>
      <c r="D151">
        <v>10487</v>
      </c>
      <c r="E151">
        <v>56498</v>
      </c>
      <c r="F151" t="s">
        <v>118</v>
      </c>
      <c r="G151">
        <v>26960</v>
      </c>
      <c r="H151" t="s">
        <v>76</v>
      </c>
      <c r="I151" t="s">
        <v>93</v>
      </c>
      <c r="J151" s="55">
        <v>36617</v>
      </c>
      <c r="K151" s="55">
        <v>38077</v>
      </c>
      <c r="L151">
        <v>20000</v>
      </c>
      <c r="M151">
        <v>0.19</v>
      </c>
      <c r="N151">
        <v>0</v>
      </c>
      <c r="O151">
        <v>0</v>
      </c>
      <c r="P151">
        <v>0</v>
      </c>
      <c r="Q151">
        <v>0.19</v>
      </c>
      <c r="R151">
        <v>117800</v>
      </c>
      <c r="S151">
        <v>20000</v>
      </c>
      <c r="T151">
        <v>0.19</v>
      </c>
      <c r="U151">
        <v>106400</v>
      </c>
      <c r="V151">
        <v>20000</v>
      </c>
      <c r="W151">
        <v>0.19</v>
      </c>
      <c r="X151">
        <v>117800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</row>
    <row r="152" spans="1:123" x14ac:dyDescent="0.2">
      <c r="A152" t="s">
        <v>84</v>
      </c>
      <c r="B152" t="s">
        <v>81</v>
      </c>
      <c r="C152" t="s">
        <v>79</v>
      </c>
      <c r="D152">
        <v>10487</v>
      </c>
      <c r="E152">
        <v>56498</v>
      </c>
      <c r="F152" t="s">
        <v>118</v>
      </c>
      <c r="G152">
        <v>26960</v>
      </c>
      <c r="H152" t="s">
        <v>76</v>
      </c>
      <c r="I152" t="s">
        <v>93</v>
      </c>
      <c r="J152" s="55">
        <v>36617</v>
      </c>
      <c r="K152" s="55">
        <v>38077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20000</v>
      </c>
      <c r="Z152">
        <v>0.3679</v>
      </c>
      <c r="AA152">
        <v>220740</v>
      </c>
      <c r="AB152">
        <v>20000</v>
      </c>
      <c r="AC152">
        <v>0.3679</v>
      </c>
      <c r="AD152">
        <v>228098</v>
      </c>
      <c r="AE152">
        <v>20000</v>
      </c>
      <c r="AF152">
        <v>0.3679</v>
      </c>
      <c r="AG152">
        <v>220740</v>
      </c>
      <c r="AH152">
        <v>20000</v>
      </c>
      <c r="AI152">
        <v>0.3679</v>
      </c>
      <c r="AJ152">
        <v>228098</v>
      </c>
      <c r="AK152">
        <v>20000</v>
      </c>
      <c r="AL152">
        <v>0.3679</v>
      </c>
      <c r="AM152">
        <v>228098</v>
      </c>
      <c r="AN152">
        <v>20000</v>
      </c>
      <c r="AO152">
        <v>0.3679</v>
      </c>
      <c r="AP152">
        <v>220740</v>
      </c>
      <c r="AQ152">
        <v>20000</v>
      </c>
      <c r="AR152">
        <v>0.3679</v>
      </c>
      <c r="AS152">
        <v>228098</v>
      </c>
      <c r="AT152">
        <v>20000</v>
      </c>
      <c r="AU152">
        <v>0.3679</v>
      </c>
      <c r="AV152">
        <v>220740</v>
      </c>
      <c r="AW152">
        <v>20000</v>
      </c>
      <c r="AX152">
        <v>0.3679</v>
      </c>
      <c r="AY152">
        <v>228098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</row>
    <row r="153" spans="1:123" x14ac:dyDescent="0.2">
      <c r="A153" t="s">
        <v>84</v>
      </c>
      <c r="B153" t="s">
        <v>81</v>
      </c>
      <c r="C153" t="s">
        <v>79</v>
      </c>
      <c r="D153">
        <v>10487</v>
      </c>
      <c r="E153">
        <v>56498</v>
      </c>
      <c r="F153" t="s">
        <v>107</v>
      </c>
      <c r="G153">
        <v>27454</v>
      </c>
      <c r="H153" t="s">
        <v>76</v>
      </c>
      <c r="I153" t="s">
        <v>93</v>
      </c>
      <c r="J153" s="55">
        <v>37257</v>
      </c>
      <c r="K153" s="55">
        <v>37621</v>
      </c>
      <c r="L153">
        <v>13500</v>
      </c>
      <c r="M153">
        <v>0.3679</v>
      </c>
      <c r="N153">
        <v>0</v>
      </c>
      <c r="O153">
        <v>0</v>
      </c>
      <c r="P153">
        <v>0</v>
      </c>
      <c r="Q153">
        <v>0.3679</v>
      </c>
      <c r="R153">
        <v>153966.15</v>
      </c>
      <c r="S153">
        <v>13500</v>
      </c>
      <c r="T153">
        <v>0.3679</v>
      </c>
      <c r="U153">
        <v>139066.20000000001</v>
      </c>
      <c r="V153">
        <v>13500</v>
      </c>
      <c r="W153">
        <v>0.3679</v>
      </c>
      <c r="X153">
        <v>153966.15</v>
      </c>
      <c r="Y153">
        <v>13500</v>
      </c>
      <c r="Z153">
        <v>0.3679</v>
      </c>
      <c r="AA153">
        <v>148999.5</v>
      </c>
      <c r="AB153">
        <v>13500</v>
      </c>
      <c r="AC153">
        <v>0.3679</v>
      </c>
      <c r="AD153">
        <v>153966.15</v>
      </c>
      <c r="AE153">
        <v>13500</v>
      </c>
      <c r="AF153">
        <v>0.3679</v>
      </c>
      <c r="AG153">
        <v>148999.5</v>
      </c>
      <c r="AH153">
        <v>13500</v>
      </c>
      <c r="AI153">
        <v>0.3679</v>
      </c>
      <c r="AJ153">
        <v>153966.15</v>
      </c>
      <c r="AK153">
        <v>13500</v>
      </c>
      <c r="AL153">
        <v>0.3679</v>
      </c>
      <c r="AM153">
        <v>153966.15</v>
      </c>
      <c r="AN153">
        <v>13500</v>
      </c>
      <c r="AO153">
        <v>0.3679</v>
      </c>
      <c r="AP153">
        <v>148999.5</v>
      </c>
      <c r="AQ153">
        <v>13500</v>
      </c>
      <c r="AR153">
        <v>0.3679</v>
      </c>
      <c r="AS153">
        <v>153966.15</v>
      </c>
      <c r="AT153">
        <v>13500</v>
      </c>
      <c r="AU153">
        <v>0.3679</v>
      </c>
      <c r="AV153">
        <v>148999.5</v>
      </c>
      <c r="AW153">
        <v>13500</v>
      </c>
      <c r="AX153">
        <v>0.3679</v>
      </c>
      <c r="AY153">
        <v>153966.15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</row>
    <row r="154" spans="1:123" x14ac:dyDescent="0.2">
      <c r="A154" t="s">
        <v>84</v>
      </c>
      <c r="B154" t="s">
        <v>81</v>
      </c>
      <c r="C154" t="s">
        <v>79</v>
      </c>
      <c r="D154">
        <v>56698</v>
      </c>
      <c r="E154">
        <v>56498</v>
      </c>
      <c r="F154" t="s">
        <v>107</v>
      </c>
      <c r="G154">
        <v>27454</v>
      </c>
      <c r="H154" t="s">
        <v>76</v>
      </c>
      <c r="I154" t="s">
        <v>93</v>
      </c>
      <c r="J154" s="55">
        <v>37257</v>
      </c>
      <c r="K154" s="55">
        <v>37621</v>
      </c>
      <c r="L154">
        <v>14000</v>
      </c>
      <c r="M154">
        <v>0.3679</v>
      </c>
      <c r="N154">
        <v>0</v>
      </c>
      <c r="O154">
        <v>0</v>
      </c>
      <c r="P154">
        <v>0</v>
      </c>
      <c r="Q154">
        <v>0.3679</v>
      </c>
      <c r="R154">
        <v>159668.6</v>
      </c>
      <c r="S154">
        <v>14000</v>
      </c>
      <c r="T154">
        <v>0.3679</v>
      </c>
      <c r="U154">
        <v>144216.79999999999</v>
      </c>
      <c r="V154">
        <v>14000</v>
      </c>
      <c r="W154">
        <v>0.3679</v>
      </c>
      <c r="X154">
        <v>159668.6</v>
      </c>
      <c r="Y154">
        <v>14000</v>
      </c>
      <c r="Z154">
        <v>0.3679</v>
      </c>
      <c r="AA154">
        <v>154518</v>
      </c>
      <c r="AB154">
        <v>14000</v>
      </c>
      <c r="AC154">
        <v>0.3679</v>
      </c>
      <c r="AD154">
        <v>159668.6</v>
      </c>
      <c r="AE154">
        <v>14000</v>
      </c>
      <c r="AF154">
        <v>0.3679</v>
      </c>
      <c r="AG154">
        <v>154518</v>
      </c>
      <c r="AH154">
        <v>14000</v>
      </c>
      <c r="AI154">
        <v>0.3679</v>
      </c>
      <c r="AJ154">
        <v>159668.6</v>
      </c>
      <c r="AK154">
        <v>14000</v>
      </c>
      <c r="AL154">
        <v>0.3679</v>
      </c>
      <c r="AM154">
        <v>159668.6</v>
      </c>
      <c r="AN154">
        <v>14000</v>
      </c>
      <c r="AO154">
        <v>0.3679</v>
      </c>
      <c r="AP154">
        <v>154518</v>
      </c>
      <c r="AQ154">
        <v>14000</v>
      </c>
      <c r="AR154">
        <v>0.3679</v>
      </c>
      <c r="AS154">
        <v>159668.6</v>
      </c>
      <c r="AT154">
        <v>14000</v>
      </c>
      <c r="AU154">
        <v>0.3679</v>
      </c>
      <c r="AV154">
        <v>154518</v>
      </c>
      <c r="AW154">
        <v>14000</v>
      </c>
      <c r="AX154">
        <v>0.3679</v>
      </c>
      <c r="AY154">
        <v>159668.6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</row>
    <row r="155" spans="1:123" x14ac:dyDescent="0.2">
      <c r="A155" t="s">
        <v>84</v>
      </c>
      <c r="B155" t="s">
        <v>81</v>
      </c>
      <c r="C155" t="s">
        <v>79</v>
      </c>
      <c r="D155">
        <v>10487</v>
      </c>
      <c r="E155">
        <v>56498</v>
      </c>
      <c r="F155" t="s">
        <v>426</v>
      </c>
      <c r="G155">
        <v>27456</v>
      </c>
      <c r="H155" t="s">
        <v>76</v>
      </c>
      <c r="I155" t="s">
        <v>93</v>
      </c>
      <c r="J155" s="55">
        <v>37561</v>
      </c>
      <c r="K155" s="55">
        <v>37621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21500</v>
      </c>
      <c r="AU155">
        <v>0.3679</v>
      </c>
      <c r="AV155">
        <v>237295.5</v>
      </c>
      <c r="AW155">
        <v>21500</v>
      </c>
      <c r="AX155">
        <v>0.3679</v>
      </c>
      <c r="AY155">
        <v>245205.35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</row>
    <row r="156" spans="1:123" x14ac:dyDescent="0.2">
      <c r="A156" t="s">
        <v>84</v>
      </c>
      <c r="B156" t="s">
        <v>81</v>
      </c>
      <c r="C156" t="s">
        <v>79</v>
      </c>
      <c r="D156">
        <v>10487</v>
      </c>
      <c r="E156">
        <v>56498</v>
      </c>
      <c r="F156" t="s">
        <v>124</v>
      </c>
      <c r="G156">
        <v>27566</v>
      </c>
      <c r="H156" t="s">
        <v>76</v>
      </c>
      <c r="I156" t="s">
        <v>93</v>
      </c>
      <c r="J156" s="55">
        <v>37316</v>
      </c>
      <c r="K156" s="55">
        <v>39172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20000</v>
      </c>
      <c r="W156">
        <v>0.3679</v>
      </c>
      <c r="X156">
        <v>228098</v>
      </c>
      <c r="Y156">
        <v>20000</v>
      </c>
      <c r="Z156">
        <v>0.3679</v>
      </c>
      <c r="AA156">
        <v>220740</v>
      </c>
      <c r="AB156">
        <v>20000</v>
      </c>
      <c r="AC156">
        <v>0.3679</v>
      </c>
      <c r="AD156">
        <v>228098</v>
      </c>
      <c r="AE156">
        <v>20000</v>
      </c>
      <c r="AF156">
        <v>0.3679</v>
      </c>
      <c r="AG156">
        <v>220740</v>
      </c>
      <c r="AH156">
        <v>20000</v>
      </c>
      <c r="AI156">
        <v>0.3679</v>
      </c>
      <c r="AJ156">
        <v>228098</v>
      </c>
      <c r="AK156">
        <v>20000</v>
      </c>
      <c r="AL156">
        <v>0.3679</v>
      </c>
      <c r="AM156">
        <v>228098</v>
      </c>
      <c r="AN156">
        <v>20000</v>
      </c>
      <c r="AO156">
        <v>0.3679</v>
      </c>
      <c r="AP156">
        <v>220740</v>
      </c>
      <c r="AQ156">
        <v>20000</v>
      </c>
      <c r="AR156">
        <v>0.3679</v>
      </c>
      <c r="AS156">
        <v>228098</v>
      </c>
      <c r="AT156">
        <v>20000</v>
      </c>
      <c r="AU156">
        <v>0.3679</v>
      </c>
      <c r="AV156">
        <v>220740</v>
      </c>
      <c r="AW156">
        <v>20000</v>
      </c>
      <c r="AX156">
        <v>0.3679</v>
      </c>
      <c r="AY156">
        <v>228098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</row>
    <row r="157" spans="1:123" x14ac:dyDescent="0.2">
      <c r="A157" t="s">
        <v>125</v>
      </c>
      <c r="G157" s="42" t="s">
        <v>2</v>
      </c>
      <c r="H157" s="42" t="s">
        <v>76</v>
      </c>
      <c r="L157" s="42">
        <f>SUM(L142:L156)</f>
        <v>211100</v>
      </c>
      <c r="R157" s="42">
        <f>SUM(R142:R156)</f>
        <v>1377609</v>
      </c>
      <c r="S157" s="42">
        <f>SUM(S142:S156)</f>
        <v>211100</v>
      </c>
      <c r="U157" s="42">
        <f>SUM(U142:U156)</f>
        <v>1244292</v>
      </c>
      <c r="V157" s="42">
        <f>SUM(V142:V156)</f>
        <v>231100</v>
      </c>
      <c r="X157" s="42">
        <f>SUM(X142:X156)</f>
        <v>1605707</v>
      </c>
      <c r="Y157" s="42">
        <f>SUM(Y142:Y156)</f>
        <v>231100</v>
      </c>
      <c r="AA157" s="42">
        <f>SUM(AA142:AA156)</f>
        <v>1662150</v>
      </c>
      <c r="AB157" s="42">
        <f>SUM(AB142:AB156)</f>
        <v>231100</v>
      </c>
      <c r="AD157" s="42">
        <f>SUM(AD142:AD156)</f>
        <v>1717555</v>
      </c>
      <c r="AE157" s="42">
        <f>SUM(AE142:AE156)</f>
        <v>231100</v>
      </c>
      <c r="AG157" s="42">
        <f>SUM(AG142:AG156)</f>
        <v>1662150</v>
      </c>
      <c r="AH157" s="42">
        <f>SUM(AH142:AH156)</f>
        <v>231100</v>
      </c>
      <c r="AJ157" s="42">
        <f>SUM(AJ142:AJ156)</f>
        <v>1717555</v>
      </c>
      <c r="AK157" s="42">
        <f>SUM(AK142:AK156)</f>
        <v>231100</v>
      </c>
      <c r="AM157" s="42">
        <f>SUM(AM142:AM156)</f>
        <v>1717555</v>
      </c>
      <c r="AN157" s="42">
        <f>SUM(AN142:AN156)</f>
        <v>231100</v>
      </c>
      <c r="AP157" s="42">
        <f>SUM(AP142:AP156)</f>
        <v>1662150</v>
      </c>
      <c r="AQ157" s="42">
        <f>SUM(AQ142:AQ156)</f>
        <v>231100</v>
      </c>
      <c r="AS157" s="42">
        <f>SUM(AS142:AS156)</f>
        <v>1717555</v>
      </c>
      <c r="AT157" s="42">
        <f>SUM(AT142:AT156)</f>
        <v>252600</v>
      </c>
      <c r="AV157" s="42">
        <f>SUM(AV142:AV156)</f>
        <v>1899445.5</v>
      </c>
      <c r="AW157" s="42">
        <f>SUM(AW142:AW156)</f>
        <v>252600</v>
      </c>
      <c r="AY157" s="42">
        <f>SUM(AY142:AY156)</f>
        <v>1962760.35</v>
      </c>
      <c r="AZ157" s="42">
        <f>SUM(AZ142:AZ156)</f>
        <v>0</v>
      </c>
      <c r="BB157" s="42">
        <f>SUM(BB142:BB156)</f>
        <v>0</v>
      </c>
      <c r="BC157" s="42">
        <f>SUM(BC142:BC156)</f>
        <v>0</v>
      </c>
      <c r="BE157" s="42">
        <f>SUM(BE142:BE156)</f>
        <v>0</v>
      </c>
      <c r="BF157" s="42">
        <f>SUM(BF142:BF156)</f>
        <v>0</v>
      </c>
      <c r="BH157" s="42">
        <f>SUM(BH142:BH156)</f>
        <v>0</v>
      </c>
      <c r="BI157" s="42">
        <f>SUM(BI142:BI156)</f>
        <v>0</v>
      </c>
      <c r="BK157" s="42">
        <f>SUM(BK142:BK156)</f>
        <v>0</v>
      </c>
      <c r="BL157" s="42">
        <f>SUM(BL142:BL156)</f>
        <v>0</v>
      </c>
      <c r="BN157" s="42">
        <f>SUM(BN142:BN156)</f>
        <v>0</v>
      </c>
      <c r="BO157" s="42">
        <f>SUM(BO142:BO156)</f>
        <v>0</v>
      </c>
      <c r="BQ157" s="42">
        <f>SUM(BQ142:BQ156)</f>
        <v>0</v>
      </c>
      <c r="BR157" s="42">
        <f>SUM(BR142:BR156)</f>
        <v>0</v>
      </c>
      <c r="BT157" s="42">
        <f>SUM(BT142:BT156)</f>
        <v>0</v>
      </c>
      <c r="BU157" s="42">
        <f>SUM(BU142:BU156)</f>
        <v>0</v>
      </c>
      <c r="BW157" s="42">
        <f>SUM(BW142:BW156)</f>
        <v>0</v>
      </c>
      <c r="BX157" s="42">
        <f>SUM(BX142:BX156)</f>
        <v>0</v>
      </c>
      <c r="BZ157" s="42">
        <f>SUM(BZ142:BZ156)</f>
        <v>0</v>
      </c>
      <c r="CA157" s="42">
        <f>SUM(CA142:CA156)</f>
        <v>0</v>
      </c>
      <c r="CC157" s="42">
        <f>SUM(CC142:CC156)</f>
        <v>0</v>
      </c>
      <c r="CD157" s="42">
        <f>SUM(CD142:CD156)</f>
        <v>0</v>
      </c>
      <c r="CF157" s="42">
        <f>SUM(CF142:CF156)</f>
        <v>0</v>
      </c>
      <c r="CG157" s="42">
        <f>SUM(CG142:CG156)</f>
        <v>0</v>
      </c>
      <c r="CI157" s="42">
        <f>SUM(CI142:CI156)</f>
        <v>0</v>
      </c>
      <c r="CJ157" s="42">
        <f>SUM(CJ142:CJ156)</f>
        <v>0</v>
      </c>
      <c r="CL157" s="42">
        <f>SUM(CL142:CL156)</f>
        <v>0</v>
      </c>
      <c r="CM157" s="42">
        <f>SUM(CM142:CM156)</f>
        <v>0</v>
      </c>
      <c r="CO157" s="42">
        <f>SUM(CO142:CO156)</f>
        <v>0</v>
      </c>
      <c r="CP157" s="42">
        <f>SUM(CP142:CP156)</f>
        <v>0</v>
      </c>
      <c r="CR157" s="42">
        <f>SUM(CR142:CR156)</f>
        <v>0</v>
      </c>
      <c r="CS157" s="42">
        <f>SUM(CS142:CS156)</f>
        <v>0</v>
      </c>
      <c r="CU157" s="42">
        <f>SUM(CU142:CU156)</f>
        <v>0</v>
      </c>
      <c r="CV157" s="42">
        <f>SUM(CV142:CV156)</f>
        <v>0</v>
      </c>
      <c r="CX157" s="42">
        <f>SUM(CX142:CX156)</f>
        <v>0</v>
      </c>
      <c r="CY157" s="42">
        <f>SUM(CY142:CY156)</f>
        <v>0</v>
      </c>
      <c r="DA157" s="42">
        <f>SUM(DA142:DA156)</f>
        <v>0</v>
      </c>
      <c r="DB157" s="42">
        <f>SUM(DB142:DB156)</f>
        <v>0</v>
      </c>
      <c r="DD157" s="42">
        <f>SUM(DD142:DD156)</f>
        <v>0</v>
      </c>
      <c r="DE157" s="42">
        <f>SUM(DE142:DE156)</f>
        <v>0</v>
      </c>
      <c r="DG157" s="42">
        <f>SUM(DG142:DG156)</f>
        <v>0</v>
      </c>
      <c r="DH157" s="42">
        <f>SUM(DH142:DH156)</f>
        <v>0</v>
      </c>
      <c r="DJ157" s="42">
        <f>SUM(DJ142:DJ156)</f>
        <v>0</v>
      </c>
      <c r="DK157" s="42">
        <f>SUM(DK142:DK156)</f>
        <v>0</v>
      </c>
      <c r="DM157" s="42">
        <f>SUM(DM142:DM156)</f>
        <v>0</v>
      </c>
      <c r="DN157" s="42">
        <f>SUM(DN142:DN156)</f>
        <v>0</v>
      </c>
      <c r="DP157" s="42">
        <f>SUM(DP142:DP156)</f>
        <v>0</v>
      </c>
      <c r="DQ157" s="42">
        <f>SUM(DQ142:DQ156)</f>
        <v>0</v>
      </c>
      <c r="DS157" s="42">
        <f>SUM(DS142:DS156)</f>
        <v>0</v>
      </c>
    </row>
    <row r="158" spans="1:123" x14ac:dyDescent="0.2">
      <c r="A158" t="s">
        <v>84</v>
      </c>
      <c r="B158" t="s">
        <v>81</v>
      </c>
      <c r="C158" t="s">
        <v>80</v>
      </c>
      <c r="D158">
        <v>10487</v>
      </c>
      <c r="E158">
        <v>56709</v>
      </c>
      <c r="F158" t="s">
        <v>124</v>
      </c>
      <c r="G158">
        <v>20747</v>
      </c>
      <c r="H158" t="s">
        <v>76</v>
      </c>
      <c r="I158" t="s">
        <v>93</v>
      </c>
      <c r="J158" s="55">
        <v>33664</v>
      </c>
      <c r="K158" s="55">
        <v>37315</v>
      </c>
      <c r="L158">
        <v>10000</v>
      </c>
      <c r="M158">
        <v>0.22269999999999998</v>
      </c>
      <c r="N158">
        <v>3.6899998784065247E-2</v>
      </c>
      <c r="O158">
        <v>5.7000000961124897E-3</v>
      </c>
      <c r="P158">
        <v>3.0000000260770321E-3</v>
      </c>
      <c r="Q158">
        <v>0.26829999999999998</v>
      </c>
      <c r="R158">
        <v>83173</v>
      </c>
      <c r="S158">
        <v>10000</v>
      </c>
      <c r="T158">
        <v>0.26829999999999998</v>
      </c>
      <c r="U158">
        <v>75124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</row>
    <row r="159" spans="1:123" x14ac:dyDescent="0.2">
      <c r="A159" t="s">
        <v>84</v>
      </c>
      <c r="B159" t="s">
        <v>81</v>
      </c>
      <c r="C159" t="s">
        <v>80</v>
      </c>
      <c r="D159">
        <v>10487</v>
      </c>
      <c r="E159">
        <v>56709</v>
      </c>
      <c r="F159" t="s">
        <v>124</v>
      </c>
      <c r="G159">
        <v>20748</v>
      </c>
      <c r="H159" t="s">
        <v>76</v>
      </c>
      <c r="I159" t="s">
        <v>93</v>
      </c>
      <c r="J159" s="55">
        <v>33664</v>
      </c>
      <c r="K159" s="55">
        <v>37315</v>
      </c>
      <c r="L159">
        <v>10000</v>
      </c>
      <c r="M159">
        <v>0.22370000000000001</v>
      </c>
      <c r="N159">
        <v>3.6899998784065247E-2</v>
      </c>
      <c r="O159">
        <v>5.7000000961124897E-3</v>
      </c>
      <c r="P159">
        <v>1.7999999690800905E-3</v>
      </c>
      <c r="Q159">
        <v>0.2681</v>
      </c>
      <c r="R159">
        <v>83111</v>
      </c>
      <c r="S159">
        <v>10000</v>
      </c>
      <c r="T159">
        <v>0.2681</v>
      </c>
      <c r="U159">
        <v>75068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</row>
    <row r="160" spans="1:123" x14ac:dyDescent="0.2">
      <c r="A160" t="s">
        <v>84</v>
      </c>
      <c r="B160" t="s">
        <v>81</v>
      </c>
      <c r="C160" t="s">
        <v>80</v>
      </c>
      <c r="D160">
        <v>500134</v>
      </c>
      <c r="E160">
        <v>56709</v>
      </c>
      <c r="F160" t="s">
        <v>227</v>
      </c>
      <c r="G160">
        <v>20822</v>
      </c>
      <c r="H160" t="s">
        <v>76</v>
      </c>
      <c r="I160" t="s">
        <v>93</v>
      </c>
      <c r="J160" s="55">
        <v>33664</v>
      </c>
      <c r="K160" s="55">
        <v>39141</v>
      </c>
      <c r="L160">
        <v>24750</v>
      </c>
      <c r="M160">
        <v>0.13119999999999998</v>
      </c>
      <c r="N160">
        <v>3.6899998784065247E-2</v>
      </c>
      <c r="O160">
        <v>2.79999990016222E-3</v>
      </c>
      <c r="P160">
        <v>1.7999999690800905E-3</v>
      </c>
      <c r="Q160">
        <v>0.17269999999999999</v>
      </c>
      <c r="R160">
        <v>132504.07500000001</v>
      </c>
      <c r="S160">
        <v>24750</v>
      </c>
      <c r="T160">
        <v>0.17269999999999999</v>
      </c>
      <c r="U160">
        <v>119681.1</v>
      </c>
      <c r="V160">
        <v>24750</v>
      </c>
      <c r="W160">
        <v>0.17269999999999999</v>
      </c>
      <c r="X160">
        <v>132504.07500000001</v>
      </c>
      <c r="Y160">
        <v>24750</v>
      </c>
      <c r="Z160">
        <v>0.17269999999999999</v>
      </c>
      <c r="AA160">
        <v>128229.75</v>
      </c>
      <c r="AB160">
        <v>24750</v>
      </c>
      <c r="AC160">
        <v>0.17269999999999999</v>
      </c>
      <c r="AD160">
        <v>132504.07500000001</v>
      </c>
      <c r="AE160">
        <v>24750</v>
      </c>
      <c r="AF160">
        <v>0.17269999999999999</v>
      </c>
      <c r="AG160">
        <v>128229.75</v>
      </c>
      <c r="AH160">
        <v>24750</v>
      </c>
      <c r="AI160">
        <v>0.17269999999999999</v>
      </c>
      <c r="AJ160">
        <v>132504.07500000001</v>
      </c>
      <c r="AK160">
        <v>24750</v>
      </c>
      <c r="AL160">
        <v>0.17269999999999999</v>
      </c>
      <c r="AM160">
        <v>132504.07500000001</v>
      </c>
      <c r="AN160">
        <v>24750</v>
      </c>
      <c r="AO160">
        <v>0.17269999999999999</v>
      </c>
      <c r="AP160">
        <v>128229.75</v>
      </c>
      <c r="AQ160">
        <v>24750</v>
      </c>
      <c r="AR160">
        <v>0.17269999999999999</v>
      </c>
      <c r="AS160">
        <v>132504.07500000001</v>
      </c>
      <c r="AT160">
        <v>24750</v>
      </c>
      <c r="AU160">
        <v>0.17269999999999999</v>
      </c>
      <c r="AV160">
        <v>128229.75</v>
      </c>
      <c r="AW160">
        <v>24750</v>
      </c>
      <c r="AX160">
        <v>0.17269999999999999</v>
      </c>
      <c r="AY160">
        <v>132504.07500000001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</row>
    <row r="161" spans="1:123" x14ac:dyDescent="0.2">
      <c r="A161" t="s">
        <v>84</v>
      </c>
      <c r="B161" t="s">
        <v>81</v>
      </c>
      <c r="C161" t="s">
        <v>80</v>
      </c>
      <c r="D161">
        <v>500619</v>
      </c>
      <c r="E161">
        <v>56709</v>
      </c>
      <c r="F161" t="s">
        <v>227</v>
      </c>
      <c r="G161">
        <v>20822</v>
      </c>
      <c r="H161" t="s">
        <v>76</v>
      </c>
      <c r="I161" t="s">
        <v>93</v>
      </c>
      <c r="J161" s="55">
        <v>33664</v>
      </c>
      <c r="K161" s="55">
        <v>39141</v>
      </c>
      <c r="L161">
        <v>250</v>
      </c>
      <c r="M161">
        <v>0.13119999999999998</v>
      </c>
      <c r="N161">
        <v>3.6899998784065247E-2</v>
      </c>
      <c r="O161">
        <v>2.79999990016222E-3</v>
      </c>
      <c r="P161">
        <v>1.7999999690800905E-3</v>
      </c>
      <c r="Q161">
        <v>0.17269999999999999</v>
      </c>
      <c r="R161">
        <v>1338.425</v>
      </c>
      <c r="S161">
        <v>250</v>
      </c>
      <c r="T161">
        <v>0.17269999999999999</v>
      </c>
      <c r="U161">
        <v>1208.9000000000001</v>
      </c>
      <c r="V161">
        <v>250</v>
      </c>
      <c r="W161">
        <v>0.17269999999999999</v>
      </c>
      <c r="X161">
        <v>1338.425</v>
      </c>
      <c r="Y161">
        <v>250</v>
      </c>
      <c r="Z161">
        <v>0.17269999999999999</v>
      </c>
      <c r="AA161">
        <v>1295.25</v>
      </c>
      <c r="AB161">
        <v>250</v>
      </c>
      <c r="AC161">
        <v>0.17269999999999999</v>
      </c>
      <c r="AD161">
        <v>1338.425</v>
      </c>
      <c r="AE161">
        <v>250</v>
      </c>
      <c r="AF161">
        <v>0.17269999999999999</v>
      </c>
      <c r="AG161">
        <v>1295.25</v>
      </c>
      <c r="AH161">
        <v>250</v>
      </c>
      <c r="AI161">
        <v>0.17269999999999999</v>
      </c>
      <c r="AJ161">
        <v>1338.425</v>
      </c>
      <c r="AK161">
        <v>250</v>
      </c>
      <c r="AL161">
        <v>0.17269999999999999</v>
      </c>
      <c r="AM161">
        <v>1338.425</v>
      </c>
      <c r="AN161">
        <v>250</v>
      </c>
      <c r="AO161">
        <v>0.17269999999999999</v>
      </c>
      <c r="AP161">
        <v>1295.25</v>
      </c>
      <c r="AQ161">
        <v>250</v>
      </c>
      <c r="AR161">
        <v>0.17269999999999999</v>
      </c>
      <c r="AS161">
        <v>1338.425</v>
      </c>
      <c r="AT161">
        <v>250</v>
      </c>
      <c r="AU161">
        <v>0.17269999999999999</v>
      </c>
      <c r="AV161">
        <v>1295.25</v>
      </c>
      <c r="AW161">
        <v>250</v>
      </c>
      <c r="AX161">
        <v>0.17269999999999999</v>
      </c>
      <c r="AY161">
        <v>1338.425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</row>
    <row r="162" spans="1:123" x14ac:dyDescent="0.2">
      <c r="A162" t="s">
        <v>84</v>
      </c>
      <c r="B162" t="s">
        <v>81</v>
      </c>
      <c r="C162" t="s">
        <v>80</v>
      </c>
      <c r="D162">
        <v>56698</v>
      </c>
      <c r="E162">
        <v>56709</v>
      </c>
      <c r="F162" t="s">
        <v>123</v>
      </c>
      <c r="G162">
        <v>21165</v>
      </c>
      <c r="H162" t="s">
        <v>76</v>
      </c>
      <c r="I162" t="s">
        <v>93</v>
      </c>
      <c r="J162" s="55">
        <v>33679</v>
      </c>
      <c r="K162" s="55">
        <v>402133</v>
      </c>
      <c r="L162">
        <v>150000</v>
      </c>
      <c r="M162">
        <v>0.21530000000000002</v>
      </c>
      <c r="N162">
        <v>4.4300001114606857E-2</v>
      </c>
      <c r="O162">
        <v>5.9000002220273018E-3</v>
      </c>
      <c r="P162">
        <v>3.0000000260770321E-3</v>
      </c>
      <c r="Q162">
        <v>0.26850000000000002</v>
      </c>
      <c r="R162">
        <v>1248525</v>
      </c>
      <c r="S162">
        <v>150000</v>
      </c>
      <c r="T162">
        <v>0.26850000000000002</v>
      </c>
      <c r="U162">
        <v>1127700</v>
      </c>
      <c r="V162">
        <v>150000</v>
      </c>
      <c r="W162">
        <v>0.26850000000000002</v>
      </c>
      <c r="X162">
        <v>1248525</v>
      </c>
      <c r="Y162">
        <v>150000</v>
      </c>
      <c r="Z162">
        <v>0.26850000000000002</v>
      </c>
      <c r="AA162">
        <v>1208250</v>
      </c>
      <c r="AB162">
        <v>150000</v>
      </c>
      <c r="AC162">
        <v>0.26850000000000002</v>
      </c>
      <c r="AD162">
        <v>1248525</v>
      </c>
      <c r="AE162">
        <v>150000</v>
      </c>
      <c r="AF162">
        <v>0.26850000000000002</v>
      </c>
      <c r="AG162">
        <v>1208250</v>
      </c>
      <c r="AH162">
        <v>150000</v>
      </c>
      <c r="AI162">
        <v>0.26850000000000002</v>
      </c>
      <c r="AJ162">
        <v>1248525</v>
      </c>
      <c r="AK162">
        <v>150000</v>
      </c>
      <c r="AL162">
        <v>0.26850000000000002</v>
      </c>
      <c r="AM162">
        <v>1248525</v>
      </c>
      <c r="AN162">
        <v>150000</v>
      </c>
      <c r="AO162">
        <v>0.26850000000000002</v>
      </c>
      <c r="AP162">
        <v>1208250</v>
      </c>
      <c r="AQ162">
        <v>150000</v>
      </c>
      <c r="AR162">
        <v>0.26850000000000002</v>
      </c>
      <c r="AS162">
        <v>1248525</v>
      </c>
      <c r="AT162">
        <v>150000</v>
      </c>
      <c r="AU162">
        <v>0.26850000000000002</v>
      </c>
      <c r="AV162">
        <v>1208250</v>
      </c>
      <c r="AW162">
        <v>150000</v>
      </c>
      <c r="AX162">
        <v>0.26850000000000002</v>
      </c>
      <c r="AY162">
        <v>1248525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</row>
    <row r="163" spans="1:123" x14ac:dyDescent="0.2">
      <c r="A163" t="s">
        <v>84</v>
      </c>
      <c r="B163" t="s">
        <v>81</v>
      </c>
      <c r="C163" t="s">
        <v>80</v>
      </c>
      <c r="D163">
        <v>56696</v>
      </c>
      <c r="E163">
        <v>56709</v>
      </c>
      <c r="F163" t="s">
        <v>108</v>
      </c>
      <c r="G163">
        <v>25924</v>
      </c>
      <c r="H163" t="s">
        <v>76</v>
      </c>
      <c r="I163" t="s">
        <v>93</v>
      </c>
      <c r="J163" s="55">
        <v>35855</v>
      </c>
      <c r="K163" s="55">
        <v>402133</v>
      </c>
      <c r="L163">
        <v>20000</v>
      </c>
      <c r="M163">
        <v>0.21629999999999999</v>
      </c>
      <c r="N163">
        <v>4.4300001114606857E-2</v>
      </c>
      <c r="O163">
        <v>6.0000000521540642E-3</v>
      </c>
      <c r="P163">
        <v>0</v>
      </c>
      <c r="Q163">
        <v>0.2666</v>
      </c>
      <c r="R163">
        <v>165292</v>
      </c>
      <c r="S163">
        <v>20000</v>
      </c>
      <c r="T163">
        <v>0.2666</v>
      </c>
      <c r="U163">
        <v>149296</v>
      </c>
      <c r="V163">
        <v>20000</v>
      </c>
      <c r="W163">
        <v>0.2666</v>
      </c>
      <c r="X163">
        <v>165292</v>
      </c>
      <c r="Y163">
        <v>20000</v>
      </c>
      <c r="Z163">
        <v>0.2666</v>
      </c>
      <c r="AA163">
        <v>159960</v>
      </c>
      <c r="AB163">
        <v>20000</v>
      </c>
      <c r="AC163">
        <v>0.2666</v>
      </c>
      <c r="AD163">
        <v>165292</v>
      </c>
      <c r="AE163">
        <v>20000</v>
      </c>
      <c r="AF163">
        <v>0.2666</v>
      </c>
      <c r="AG163">
        <v>159960</v>
      </c>
      <c r="AH163">
        <v>20000</v>
      </c>
      <c r="AI163">
        <v>0.2666</v>
      </c>
      <c r="AJ163">
        <v>165292</v>
      </c>
      <c r="AK163">
        <v>20000</v>
      </c>
      <c r="AL163">
        <v>0.2666</v>
      </c>
      <c r="AM163">
        <v>165292</v>
      </c>
      <c r="AN163">
        <v>20000</v>
      </c>
      <c r="AO163">
        <v>0.2666</v>
      </c>
      <c r="AP163">
        <v>159960</v>
      </c>
      <c r="AQ163">
        <v>20000</v>
      </c>
      <c r="AR163">
        <v>0.2666</v>
      </c>
      <c r="AS163">
        <v>165292</v>
      </c>
      <c r="AT163">
        <v>20000</v>
      </c>
      <c r="AU163">
        <v>0.2666</v>
      </c>
      <c r="AV163">
        <v>159960</v>
      </c>
      <c r="AW163">
        <v>20000</v>
      </c>
      <c r="AX163">
        <v>0.2666</v>
      </c>
      <c r="AY163">
        <v>165292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</row>
    <row r="164" spans="1:123" x14ac:dyDescent="0.2">
      <c r="A164" t="s">
        <v>84</v>
      </c>
      <c r="B164" t="s">
        <v>81</v>
      </c>
      <c r="C164" t="s">
        <v>80</v>
      </c>
      <c r="D164">
        <v>56698</v>
      </c>
      <c r="E164">
        <v>56709</v>
      </c>
      <c r="F164" t="s">
        <v>98</v>
      </c>
      <c r="G164">
        <v>26372</v>
      </c>
      <c r="H164" t="s">
        <v>76</v>
      </c>
      <c r="I164" t="s">
        <v>93</v>
      </c>
      <c r="J164" s="55">
        <v>36100</v>
      </c>
      <c r="K164" s="55">
        <v>402133</v>
      </c>
      <c r="L164">
        <v>25000</v>
      </c>
      <c r="M164">
        <v>0.21530000000000002</v>
      </c>
      <c r="N164">
        <v>4.4300001114606857E-2</v>
      </c>
      <c r="O164">
        <v>5.7999999262392521E-3</v>
      </c>
      <c r="P164">
        <v>3.0000000260770321E-3</v>
      </c>
      <c r="Q164">
        <v>0.26840000000000003</v>
      </c>
      <c r="R164">
        <v>208010</v>
      </c>
      <c r="S164">
        <v>25000</v>
      </c>
      <c r="T164">
        <v>0.26840000000000003</v>
      </c>
      <c r="U164">
        <v>187880</v>
      </c>
      <c r="V164">
        <v>25000</v>
      </c>
      <c r="W164">
        <v>0.26840000000000003</v>
      </c>
      <c r="X164">
        <v>208010</v>
      </c>
      <c r="Y164">
        <v>25000</v>
      </c>
      <c r="Z164">
        <v>0.26840000000000003</v>
      </c>
      <c r="AA164">
        <v>201300</v>
      </c>
      <c r="AB164">
        <v>25000</v>
      </c>
      <c r="AC164">
        <v>0.26840000000000003</v>
      </c>
      <c r="AD164">
        <v>208010</v>
      </c>
      <c r="AE164">
        <v>25000</v>
      </c>
      <c r="AF164">
        <v>0.26840000000000003</v>
      </c>
      <c r="AG164">
        <v>201300</v>
      </c>
      <c r="AH164">
        <v>25000</v>
      </c>
      <c r="AI164">
        <v>0.26840000000000003</v>
      </c>
      <c r="AJ164">
        <v>208010</v>
      </c>
      <c r="AK164">
        <v>25000</v>
      </c>
      <c r="AL164">
        <v>0.26840000000000003</v>
      </c>
      <c r="AM164">
        <v>208010</v>
      </c>
      <c r="AN164">
        <v>25000</v>
      </c>
      <c r="AO164">
        <v>0.26840000000000003</v>
      </c>
      <c r="AP164">
        <v>201300</v>
      </c>
      <c r="AQ164">
        <v>25000</v>
      </c>
      <c r="AR164">
        <v>0.26840000000000003</v>
      </c>
      <c r="AS164">
        <v>208010</v>
      </c>
      <c r="AT164">
        <v>25000</v>
      </c>
      <c r="AU164">
        <v>0.26840000000000003</v>
      </c>
      <c r="AV164">
        <v>201300</v>
      </c>
      <c r="AW164">
        <v>25000</v>
      </c>
      <c r="AX164">
        <v>0.26840000000000003</v>
      </c>
      <c r="AY164">
        <v>208010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2">
      <c r="A165" t="s">
        <v>84</v>
      </c>
      <c r="B165" t="s">
        <v>81</v>
      </c>
      <c r="C165" t="s">
        <v>80</v>
      </c>
      <c r="D165">
        <v>56698</v>
      </c>
      <c r="E165">
        <v>56709</v>
      </c>
      <c r="F165" t="s">
        <v>122</v>
      </c>
      <c r="G165">
        <v>26678</v>
      </c>
      <c r="H165" t="s">
        <v>76</v>
      </c>
      <c r="I165" t="s">
        <v>93</v>
      </c>
      <c r="J165" s="55">
        <v>36251</v>
      </c>
      <c r="K165" s="55">
        <v>402133</v>
      </c>
      <c r="L165">
        <v>25000</v>
      </c>
      <c r="M165">
        <v>0.21529999999999999</v>
      </c>
      <c r="N165">
        <v>4.4300001114606857E-2</v>
      </c>
      <c r="O165">
        <v>4.4999998062849045E-3</v>
      </c>
      <c r="P165">
        <v>3.0000000260770321E-3</v>
      </c>
      <c r="Q165">
        <v>0.2671</v>
      </c>
      <c r="R165">
        <v>207002.5</v>
      </c>
      <c r="S165">
        <v>25000</v>
      </c>
      <c r="T165">
        <v>0.2671</v>
      </c>
      <c r="U165">
        <v>186970</v>
      </c>
      <c r="V165">
        <v>25000</v>
      </c>
      <c r="W165">
        <v>0.2671</v>
      </c>
      <c r="X165">
        <v>207002.5</v>
      </c>
      <c r="Y165">
        <v>25000</v>
      </c>
      <c r="Z165">
        <v>0.2671</v>
      </c>
      <c r="AA165">
        <v>200325</v>
      </c>
      <c r="AB165">
        <v>25000</v>
      </c>
      <c r="AC165">
        <v>0.2671</v>
      </c>
      <c r="AD165">
        <v>207002.5</v>
      </c>
      <c r="AE165">
        <v>25000</v>
      </c>
      <c r="AF165">
        <v>0.2671</v>
      </c>
      <c r="AG165">
        <v>200325</v>
      </c>
      <c r="AH165">
        <v>25000</v>
      </c>
      <c r="AI165">
        <v>0.2671</v>
      </c>
      <c r="AJ165">
        <v>207002.5</v>
      </c>
      <c r="AK165">
        <v>25000</v>
      </c>
      <c r="AL165">
        <v>0.2671</v>
      </c>
      <c r="AM165">
        <v>207002.5</v>
      </c>
      <c r="AN165">
        <v>25000</v>
      </c>
      <c r="AO165">
        <v>0.2671</v>
      </c>
      <c r="AP165">
        <v>200325</v>
      </c>
      <c r="AQ165">
        <v>25000</v>
      </c>
      <c r="AR165">
        <v>0.2671</v>
      </c>
      <c r="AS165">
        <v>207002.5</v>
      </c>
      <c r="AT165">
        <v>25000</v>
      </c>
      <c r="AU165">
        <v>0.2671</v>
      </c>
      <c r="AV165">
        <v>200325</v>
      </c>
      <c r="AW165">
        <v>25000</v>
      </c>
      <c r="AX165">
        <v>0.2671</v>
      </c>
      <c r="AY165">
        <v>207002.5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</row>
    <row r="166" spans="1:123" x14ac:dyDescent="0.2">
      <c r="A166" t="s">
        <v>125</v>
      </c>
      <c r="G166" s="42" t="s">
        <v>2</v>
      </c>
      <c r="H166" s="42" t="s">
        <v>76</v>
      </c>
      <c r="L166" s="42">
        <f>SUM(L158:L165)</f>
        <v>265000</v>
      </c>
      <c r="R166" s="42">
        <f>SUM(R158:R165)</f>
        <v>2128956</v>
      </c>
      <c r="S166" s="42">
        <f>SUM(S158:S165)</f>
        <v>265000</v>
      </c>
      <c r="U166" s="42">
        <f>SUM(U158:U165)</f>
        <v>1922928</v>
      </c>
      <c r="V166" s="42">
        <f>SUM(V158:V165)</f>
        <v>245000</v>
      </c>
      <c r="X166" s="42">
        <f>SUM(X158:X165)</f>
        <v>1962672</v>
      </c>
      <c r="Y166" s="42">
        <f>SUM(Y158:Y165)</f>
        <v>245000</v>
      </c>
      <c r="AA166" s="42">
        <f>SUM(AA158:AA165)</f>
        <v>1899360</v>
      </c>
      <c r="AB166" s="42">
        <f>SUM(AB158:AB165)</f>
        <v>245000</v>
      </c>
      <c r="AD166" s="42">
        <f>SUM(AD158:AD165)</f>
        <v>1962672</v>
      </c>
      <c r="AE166" s="42">
        <f>SUM(AE158:AE165)</f>
        <v>245000</v>
      </c>
      <c r="AG166" s="42">
        <f>SUM(AG158:AG165)</f>
        <v>1899360</v>
      </c>
      <c r="AH166" s="42">
        <f>SUM(AH158:AH165)</f>
        <v>245000</v>
      </c>
      <c r="AJ166" s="42">
        <f>SUM(AJ158:AJ165)</f>
        <v>1962672</v>
      </c>
      <c r="AK166" s="42">
        <f>SUM(AK158:AK165)</f>
        <v>245000</v>
      </c>
      <c r="AM166" s="42">
        <f>SUM(AM158:AM165)</f>
        <v>1962672</v>
      </c>
      <c r="AN166" s="42">
        <f>SUM(AN158:AN165)</f>
        <v>245000</v>
      </c>
      <c r="AP166" s="42">
        <f>SUM(AP158:AP165)</f>
        <v>1899360</v>
      </c>
      <c r="AQ166" s="42">
        <f>SUM(AQ158:AQ165)</f>
        <v>245000</v>
      </c>
      <c r="AS166" s="42">
        <f>SUM(AS158:AS165)</f>
        <v>1962672</v>
      </c>
      <c r="AT166" s="42">
        <f>SUM(AT158:AT165)</f>
        <v>245000</v>
      </c>
      <c r="AV166" s="42">
        <f>SUM(AV158:AV165)</f>
        <v>1899360</v>
      </c>
      <c r="AW166" s="42">
        <f>SUM(AW158:AW165)</f>
        <v>245000</v>
      </c>
      <c r="AY166" s="42">
        <f>SUM(AY158:AY165)</f>
        <v>1962672</v>
      </c>
      <c r="AZ166" s="42">
        <f>SUM(AZ158:AZ165)</f>
        <v>0</v>
      </c>
      <c r="BB166" s="42">
        <f>SUM(BB158:BB165)</f>
        <v>0</v>
      </c>
      <c r="BC166" s="42">
        <f>SUM(BC158:BC165)</f>
        <v>0</v>
      </c>
      <c r="BE166" s="42">
        <f>SUM(BE158:BE165)</f>
        <v>0</v>
      </c>
      <c r="BF166" s="42">
        <f>SUM(BF158:BF165)</f>
        <v>0</v>
      </c>
      <c r="BH166" s="42">
        <f>SUM(BH158:BH165)</f>
        <v>0</v>
      </c>
      <c r="BI166" s="42">
        <f>SUM(BI158:BI165)</f>
        <v>0</v>
      </c>
      <c r="BK166" s="42">
        <f>SUM(BK158:BK165)</f>
        <v>0</v>
      </c>
      <c r="BL166" s="42">
        <f>SUM(BL158:BL165)</f>
        <v>0</v>
      </c>
      <c r="BN166" s="42">
        <f>SUM(BN158:BN165)</f>
        <v>0</v>
      </c>
      <c r="BO166" s="42">
        <f>SUM(BO158:BO165)</f>
        <v>0</v>
      </c>
      <c r="BQ166" s="42">
        <f>SUM(BQ158:BQ165)</f>
        <v>0</v>
      </c>
      <c r="BR166" s="42">
        <f>SUM(BR158:BR165)</f>
        <v>0</v>
      </c>
      <c r="BT166" s="42">
        <f>SUM(BT158:BT165)</f>
        <v>0</v>
      </c>
      <c r="BU166" s="42">
        <f>SUM(BU158:BU165)</f>
        <v>0</v>
      </c>
      <c r="BW166" s="42">
        <f>SUM(BW158:BW165)</f>
        <v>0</v>
      </c>
      <c r="BX166" s="42">
        <f>SUM(BX158:BX165)</f>
        <v>0</v>
      </c>
      <c r="BZ166" s="42">
        <f>SUM(BZ158:BZ165)</f>
        <v>0</v>
      </c>
      <c r="CA166" s="42">
        <f>SUM(CA158:CA165)</f>
        <v>0</v>
      </c>
      <c r="CC166" s="42">
        <f>SUM(CC158:CC165)</f>
        <v>0</v>
      </c>
      <c r="CD166" s="42">
        <f>SUM(CD158:CD165)</f>
        <v>0</v>
      </c>
      <c r="CF166" s="42">
        <f>SUM(CF158:CF165)</f>
        <v>0</v>
      </c>
      <c r="CG166" s="42">
        <f>SUM(CG158:CG165)</f>
        <v>0</v>
      </c>
      <c r="CI166" s="42">
        <f>SUM(CI158:CI165)</f>
        <v>0</v>
      </c>
      <c r="CJ166" s="42">
        <f>SUM(CJ158:CJ165)</f>
        <v>0</v>
      </c>
      <c r="CL166" s="42">
        <f>SUM(CL158:CL165)</f>
        <v>0</v>
      </c>
      <c r="CM166" s="42">
        <f>SUM(CM158:CM165)</f>
        <v>0</v>
      </c>
      <c r="CO166" s="42">
        <f>SUM(CO158:CO165)</f>
        <v>0</v>
      </c>
      <c r="CP166" s="42">
        <f>SUM(CP158:CP165)</f>
        <v>0</v>
      </c>
      <c r="CR166" s="42">
        <f>SUM(CR158:CR165)</f>
        <v>0</v>
      </c>
      <c r="CS166" s="42">
        <f>SUM(CS158:CS165)</f>
        <v>0</v>
      </c>
      <c r="CU166" s="42">
        <f>SUM(CU158:CU165)</f>
        <v>0</v>
      </c>
      <c r="CV166" s="42">
        <f>SUM(CV158:CV165)</f>
        <v>0</v>
      </c>
      <c r="CX166" s="42">
        <f>SUM(CX158:CX165)</f>
        <v>0</v>
      </c>
      <c r="CY166" s="42">
        <f>SUM(CY158:CY165)</f>
        <v>0</v>
      </c>
      <c r="DA166" s="42">
        <f>SUM(DA158:DA165)</f>
        <v>0</v>
      </c>
      <c r="DB166" s="42">
        <f>SUM(DB158:DB165)</f>
        <v>0</v>
      </c>
      <c r="DD166" s="42">
        <f>SUM(DD158:DD165)</f>
        <v>0</v>
      </c>
      <c r="DE166" s="42">
        <f>SUM(DE158:DE165)</f>
        <v>0</v>
      </c>
      <c r="DG166" s="42">
        <f>SUM(DG158:DG165)</f>
        <v>0</v>
      </c>
      <c r="DH166" s="42">
        <f>SUM(DH158:DH165)</f>
        <v>0</v>
      </c>
      <c r="DJ166" s="42">
        <f>SUM(DJ158:DJ165)</f>
        <v>0</v>
      </c>
      <c r="DK166" s="42">
        <f>SUM(DK158:DK165)</f>
        <v>0</v>
      </c>
      <c r="DM166" s="42">
        <f>SUM(DM158:DM165)</f>
        <v>0</v>
      </c>
      <c r="DN166" s="42">
        <f>SUM(DN158:DN165)</f>
        <v>0</v>
      </c>
      <c r="DP166" s="42">
        <f>SUM(DP158:DP165)</f>
        <v>0</v>
      </c>
      <c r="DQ166" s="42">
        <f>SUM(DQ158:DQ165)</f>
        <v>0</v>
      </c>
      <c r="DS166" s="42">
        <f>SUM(DS158:DS165)</f>
        <v>0</v>
      </c>
    </row>
    <row r="167" spans="1:123" x14ac:dyDescent="0.2">
      <c r="A167" t="s">
        <v>84</v>
      </c>
      <c r="B167" t="s">
        <v>81</v>
      </c>
      <c r="C167" t="s">
        <v>81</v>
      </c>
      <c r="D167">
        <v>78113</v>
      </c>
      <c r="E167">
        <v>500383</v>
      </c>
      <c r="F167" t="s">
        <v>119</v>
      </c>
      <c r="G167">
        <v>27583</v>
      </c>
      <c r="H167" t="s">
        <v>76</v>
      </c>
      <c r="I167" t="s">
        <v>93</v>
      </c>
      <c r="J167" s="55">
        <v>37012</v>
      </c>
      <c r="K167" s="55">
        <v>37407</v>
      </c>
      <c r="L167">
        <v>1300</v>
      </c>
      <c r="M167">
        <v>0.22889999999999999</v>
      </c>
      <c r="N167">
        <v>0</v>
      </c>
      <c r="O167">
        <v>0</v>
      </c>
      <c r="P167">
        <v>0</v>
      </c>
      <c r="Q167">
        <v>0.22889999999999999</v>
      </c>
      <c r="R167">
        <v>9224.67</v>
      </c>
      <c r="S167">
        <v>1300</v>
      </c>
      <c r="T167">
        <v>0.22889999999999999</v>
      </c>
      <c r="U167">
        <v>8331.9599999999991</v>
      </c>
      <c r="V167">
        <v>1300</v>
      </c>
      <c r="W167">
        <v>0.22889999999999999</v>
      </c>
      <c r="X167">
        <v>9224.67</v>
      </c>
      <c r="Y167">
        <v>1300</v>
      </c>
      <c r="Z167">
        <v>0.22889999999999999</v>
      </c>
      <c r="AA167">
        <v>8927.1</v>
      </c>
      <c r="AB167">
        <v>1300</v>
      </c>
      <c r="AC167">
        <v>0.22889999999999999</v>
      </c>
      <c r="AD167">
        <v>9224.67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2">
      <c r="A168" t="s">
        <v>125</v>
      </c>
      <c r="G168" s="42" t="s">
        <v>2</v>
      </c>
      <c r="H168" s="42" t="s">
        <v>76</v>
      </c>
      <c r="L168" s="42">
        <f>SUM(L167:L167)</f>
        <v>1300</v>
      </c>
      <c r="R168" s="42">
        <f>SUM(R167:R167)</f>
        <v>9224.67</v>
      </c>
      <c r="S168" s="42">
        <f>SUM(S167:S167)</f>
        <v>1300</v>
      </c>
      <c r="U168" s="42">
        <f>SUM(U167:U167)</f>
        <v>8331.9599999999991</v>
      </c>
      <c r="V168" s="42">
        <f>SUM(V167:V167)</f>
        <v>1300</v>
      </c>
      <c r="X168" s="42">
        <f>SUM(X167:X167)</f>
        <v>9224.67</v>
      </c>
      <c r="Y168" s="42">
        <f>SUM(Y167:Y167)</f>
        <v>1300</v>
      </c>
      <c r="AA168" s="42">
        <f>SUM(AA167:AA167)</f>
        <v>8927.1</v>
      </c>
      <c r="AB168" s="42">
        <f>SUM(AB167:AB167)</f>
        <v>1300</v>
      </c>
      <c r="AD168" s="42">
        <f>SUM(AD167:AD167)</f>
        <v>9224.67</v>
      </c>
      <c r="AE168" s="42">
        <f>SUM(AE167:AE167)</f>
        <v>0</v>
      </c>
      <c r="AG168" s="42">
        <f>SUM(AG167:AG167)</f>
        <v>0</v>
      </c>
      <c r="AH168" s="42">
        <f>SUM(AH167:AH167)</f>
        <v>0</v>
      </c>
      <c r="AJ168" s="42">
        <f>SUM(AJ167:AJ167)</f>
        <v>0</v>
      </c>
      <c r="AK168" s="42">
        <f>SUM(AK167:AK167)</f>
        <v>0</v>
      </c>
      <c r="AM168" s="42">
        <f>SUM(AM167:AM167)</f>
        <v>0</v>
      </c>
      <c r="AN168" s="42">
        <f>SUM(AN167:AN167)</f>
        <v>0</v>
      </c>
      <c r="AP168" s="42">
        <f>SUM(AP167:AP167)</f>
        <v>0</v>
      </c>
      <c r="AQ168" s="42">
        <f>SUM(AQ167:AQ167)</f>
        <v>0</v>
      </c>
      <c r="AS168" s="42">
        <f>SUM(AS167:AS167)</f>
        <v>0</v>
      </c>
      <c r="AT168" s="42">
        <f>SUM(AT167:AT167)</f>
        <v>0</v>
      </c>
      <c r="AV168" s="42">
        <f>SUM(AV167:AV167)</f>
        <v>0</v>
      </c>
      <c r="AW168" s="42">
        <f>SUM(AW167:AW167)</f>
        <v>0</v>
      </c>
      <c r="AY168" s="42">
        <f>SUM(AY167:AY167)</f>
        <v>0</v>
      </c>
      <c r="AZ168" s="42">
        <f>SUM(AZ167:AZ167)</f>
        <v>0</v>
      </c>
      <c r="BB168" s="42">
        <f>SUM(BB167:BB167)</f>
        <v>0</v>
      </c>
      <c r="BC168" s="42">
        <f>SUM(BC167:BC167)</f>
        <v>0</v>
      </c>
      <c r="BE168" s="42">
        <f>SUM(BE167:BE167)</f>
        <v>0</v>
      </c>
      <c r="BF168" s="42">
        <f>SUM(BF167:BF167)</f>
        <v>0</v>
      </c>
      <c r="BH168" s="42">
        <f>SUM(BH167:BH167)</f>
        <v>0</v>
      </c>
      <c r="BI168" s="42">
        <f>SUM(BI167:BI167)</f>
        <v>0</v>
      </c>
      <c r="BK168" s="42">
        <f>SUM(BK167:BK167)</f>
        <v>0</v>
      </c>
      <c r="BL168" s="42">
        <f>SUM(BL167:BL167)</f>
        <v>0</v>
      </c>
      <c r="BN168" s="42">
        <f>SUM(BN167:BN167)</f>
        <v>0</v>
      </c>
      <c r="BO168" s="42">
        <f>SUM(BO167:BO167)</f>
        <v>0</v>
      </c>
      <c r="BQ168" s="42">
        <f>SUM(BQ167:BQ167)</f>
        <v>0</v>
      </c>
      <c r="BR168" s="42">
        <f>SUM(BR167:BR167)</f>
        <v>0</v>
      </c>
      <c r="BT168" s="42">
        <f>SUM(BT167:BT167)</f>
        <v>0</v>
      </c>
      <c r="BU168" s="42">
        <f>SUM(BU167:BU167)</f>
        <v>0</v>
      </c>
      <c r="BW168" s="42">
        <f>SUM(BW167:BW167)</f>
        <v>0</v>
      </c>
      <c r="BX168" s="42">
        <f>SUM(BX167:BX167)</f>
        <v>0</v>
      </c>
      <c r="BZ168" s="42">
        <f>SUM(BZ167:BZ167)</f>
        <v>0</v>
      </c>
      <c r="CA168" s="42">
        <f>SUM(CA167:CA167)</f>
        <v>0</v>
      </c>
      <c r="CC168" s="42">
        <f>SUM(CC167:CC167)</f>
        <v>0</v>
      </c>
      <c r="CD168" s="42">
        <f>SUM(CD167:CD167)</f>
        <v>0</v>
      </c>
      <c r="CF168" s="42">
        <f>SUM(CF167:CF167)</f>
        <v>0</v>
      </c>
      <c r="CG168" s="42">
        <f>SUM(CG167:CG167)</f>
        <v>0</v>
      </c>
      <c r="CI168" s="42">
        <f>SUM(CI167:CI167)</f>
        <v>0</v>
      </c>
      <c r="CJ168" s="42">
        <f>SUM(CJ167:CJ167)</f>
        <v>0</v>
      </c>
      <c r="CL168" s="42">
        <f>SUM(CL167:CL167)</f>
        <v>0</v>
      </c>
      <c r="CM168" s="42">
        <f>SUM(CM167:CM167)</f>
        <v>0</v>
      </c>
      <c r="CO168" s="42">
        <f>SUM(CO167:CO167)</f>
        <v>0</v>
      </c>
      <c r="CP168" s="42">
        <f>SUM(CP167:CP167)</f>
        <v>0</v>
      </c>
      <c r="CR168" s="42">
        <f>SUM(CR167:CR167)</f>
        <v>0</v>
      </c>
      <c r="CS168" s="42">
        <f>SUM(CS167:CS167)</f>
        <v>0</v>
      </c>
      <c r="CU168" s="42">
        <f>SUM(CU167:CU167)</f>
        <v>0</v>
      </c>
      <c r="CV168" s="42">
        <f>SUM(CV167:CV167)</f>
        <v>0</v>
      </c>
      <c r="CX168" s="42">
        <f>SUM(CX167:CX167)</f>
        <v>0</v>
      </c>
      <c r="CY168" s="42">
        <f>SUM(CY167:CY167)</f>
        <v>0</v>
      </c>
      <c r="DA168" s="42">
        <f>SUM(DA167:DA167)</f>
        <v>0</v>
      </c>
      <c r="DB168" s="42">
        <f>SUM(DB167:DB167)</f>
        <v>0</v>
      </c>
      <c r="DD168" s="42">
        <f>SUM(DD167:DD167)</f>
        <v>0</v>
      </c>
      <c r="DE168" s="42">
        <f>SUM(DE167:DE167)</f>
        <v>0</v>
      </c>
      <c r="DG168" s="42">
        <f>SUM(DG167:DG167)</f>
        <v>0</v>
      </c>
      <c r="DH168" s="42">
        <f>SUM(DH167:DH167)</f>
        <v>0</v>
      </c>
      <c r="DJ168" s="42">
        <f>SUM(DJ167:DJ167)</f>
        <v>0</v>
      </c>
      <c r="DK168" s="42">
        <f>SUM(DK167:DK167)</f>
        <v>0</v>
      </c>
      <c r="DM168" s="42">
        <f>SUM(DM167:DM167)</f>
        <v>0</v>
      </c>
      <c r="DN168" s="42">
        <f>SUM(DN167:DN167)</f>
        <v>0</v>
      </c>
      <c r="DP168" s="42">
        <f>SUM(DP167:DP167)</f>
        <v>0</v>
      </c>
      <c r="DQ168" s="42">
        <f>SUM(DQ167:DQ167)</f>
        <v>0</v>
      </c>
      <c r="DS168" s="42">
        <f>SUM(DS167:DS167)</f>
        <v>0</v>
      </c>
    </row>
    <row r="169" spans="1:123" x14ac:dyDescent="0.2">
      <c r="A169" s="42" t="s">
        <v>91</v>
      </c>
      <c r="G169" s="42"/>
      <c r="H169" s="42"/>
      <c r="L169" s="42">
        <f>SUM(0+L139+L141+L157+L166+L168)</f>
        <v>1087900</v>
      </c>
      <c r="R169" s="42">
        <f>SUM(0+R139+R141+R157+R166+R168)</f>
        <v>8263002.5700000003</v>
      </c>
      <c r="S169" s="42">
        <f>SUM(0+S139+S141+S157+S166+S168)</f>
        <v>1067900</v>
      </c>
      <c r="U169" s="42">
        <f>SUM(0+U139+U141+U157+U166+U168)</f>
        <v>7268869.1600000001</v>
      </c>
      <c r="V169" s="42">
        <f>SUM(0+V139+V141+V157+V166+V168)</f>
        <v>1067900</v>
      </c>
      <c r="X169" s="42">
        <f>SUM(0+X139+X141+X157+X166+X168)</f>
        <v>8109490.5700000003</v>
      </c>
      <c r="Y169" s="42">
        <f>SUM(0+Y139+Y141+Y157+Y166+Y168)</f>
        <v>1059900</v>
      </c>
      <c r="AA169" s="42">
        <f>SUM(0+AA139+AA141+AA157+AA166+AA168)</f>
        <v>7891682.0999999996</v>
      </c>
      <c r="AB169" s="42">
        <f>SUM(0+AB139+AB141+AB157+AB166+AB168)</f>
        <v>1059900</v>
      </c>
      <c r="AD169" s="42">
        <f>SUM(0+AD139+AD141+AD157+AD166+AD168)</f>
        <v>8154738.1699999999</v>
      </c>
      <c r="AE169" s="42">
        <f>SUM(0+AE139+AE141+AE157+AE166+AE168)</f>
        <v>1058600</v>
      </c>
      <c r="AG169" s="42">
        <f>SUM(0+AG139+AG141+AG157+AG166+AG168)</f>
        <v>7882755</v>
      </c>
      <c r="AH169" s="42">
        <f>SUM(0+AH139+AH141+AH157+AH166+AH168)</f>
        <v>1058600</v>
      </c>
      <c r="AJ169" s="42">
        <f>SUM(0+AJ139+AJ141+AJ157+AJ166+AJ168)</f>
        <v>8145513.5</v>
      </c>
      <c r="AK169" s="42">
        <f>SUM(0+AK139+AK141+AK157+AK166+AK168)</f>
        <v>1058600</v>
      </c>
      <c r="AM169" s="42">
        <f>SUM(0+AM139+AM141+AM157+AM166+AM168)</f>
        <v>8145513.5</v>
      </c>
      <c r="AN169" s="42">
        <f>SUM(0+AN139+AN141+AN157+AN166+AN168)</f>
        <v>1058600</v>
      </c>
      <c r="AP169" s="42">
        <f>SUM(0+AP139+AP141+AP157+AP166+AP168)</f>
        <v>7882755</v>
      </c>
      <c r="AQ169" s="42">
        <f>SUM(0+AQ139+AQ141+AQ157+AQ166+AQ168)</f>
        <v>1058600</v>
      </c>
      <c r="AS169" s="42">
        <f>SUM(0+AS139+AS141+AS157+AS166+AS168)</f>
        <v>8145513.5</v>
      </c>
      <c r="AT169" s="42">
        <f>SUM(0+AT139+AT141+AT157+AT166+AT168)</f>
        <v>997600</v>
      </c>
      <c r="AV169" s="42">
        <f>SUM(0+AV139+AV141+AV157+AV166+AV168)</f>
        <v>7713025.5</v>
      </c>
      <c r="AW169" s="42">
        <f>SUM(0+AW139+AW141+AW157+AW166+AW168)</f>
        <v>997600</v>
      </c>
      <c r="AY169" s="42">
        <f>SUM(0+AY139+AY141+AY157+AY166+AY168)</f>
        <v>7970126.3499999996</v>
      </c>
      <c r="AZ169" s="42">
        <f>SUM(0+AZ139+AZ141+AZ157+AZ166+AZ168)</f>
        <v>0</v>
      </c>
      <c r="BB169" s="42">
        <f>SUM(0+BB139+BB141+BB157+BB166+BB168)</f>
        <v>0</v>
      </c>
      <c r="BC169" s="42">
        <f>SUM(0+BC139+BC141+BC157+BC166+BC168)</f>
        <v>0</v>
      </c>
      <c r="BE169" s="42">
        <f>SUM(0+BE139+BE141+BE157+BE166+BE168)</f>
        <v>0</v>
      </c>
      <c r="BF169" s="42">
        <f>SUM(0+BF139+BF141+BF157+BF166+BF168)</f>
        <v>0</v>
      </c>
      <c r="BH169" s="42">
        <f>SUM(0+BH139+BH141+BH157+BH166+BH168)</f>
        <v>0</v>
      </c>
      <c r="BI169" s="42">
        <f>SUM(0+BI139+BI141+BI157+BI166+BI168)</f>
        <v>0</v>
      </c>
      <c r="BK169" s="42">
        <f>SUM(0+BK139+BK141+BK157+BK166+BK168)</f>
        <v>0</v>
      </c>
      <c r="BL169" s="42">
        <f>SUM(0+BL139+BL141+BL157+BL166+BL168)</f>
        <v>0</v>
      </c>
      <c r="BN169" s="42">
        <f>SUM(0+BN139+BN141+BN157+BN166+BN168)</f>
        <v>0</v>
      </c>
      <c r="BO169" s="42">
        <f>SUM(0+BO139+BO141+BO157+BO166+BO168)</f>
        <v>0</v>
      </c>
      <c r="BQ169" s="42">
        <f>SUM(0+BQ139+BQ141+BQ157+BQ166+BQ168)</f>
        <v>0</v>
      </c>
      <c r="BR169" s="42">
        <f>SUM(0+BR139+BR141+BR157+BR166+BR168)</f>
        <v>0</v>
      </c>
      <c r="BT169" s="42">
        <f>SUM(0+BT139+BT141+BT157+BT166+BT168)</f>
        <v>0</v>
      </c>
      <c r="BU169" s="42">
        <f>SUM(0+BU139+BU141+BU157+BU166+BU168)</f>
        <v>0</v>
      </c>
      <c r="BW169" s="42">
        <f>SUM(0+BW139+BW141+BW157+BW166+BW168)</f>
        <v>0</v>
      </c>
      <c r="BX169" s="42">
        <f>SUM(0+BX139+BX141+BX157+BX166+BX168)</f>
        <v>0</v>
      </c>
      <c r="BZ169" s="42">
        <f>SUM(0+BZ139+BZ141+BZ157+BZ166+BZ168)</f>
        <v>0</v>
      </c>
      <c r="CA169" s="42">
        <f>SUM(0+CA139+CA141+CA157+CA166+CA168)</f>
        <v>0</v>
      </c>
      <c r="CC169" s="42">
        <f>SUM(0+CC139+CC141+CC157+CC166+CC168)</f>
        <v>0</v>
      </c>
      <c r="CD169" s="42">
        <f>SUM(0+CD139+CD141+CD157+CD166+CD168)</f>
        <v>0</v>
      </c>
      <c r="CF169" s="42">
        <f>SUM(0+CF139+CF141+CF157+CF166+CF168)</f>
        <v>0</v>
      </c>
      <c r="CG169" s="42">
        <f>SUM(0+CG139+CG141+CG157+CG166+CG168)</f>
        <v>0</v>
      </c>
      <c r="CI169" s="42">
        <f>SUM(0+CI139+CI141+CI157+CI166+CI168)</f>
        <v>0</v>
      </c>
      <c r="CJ169" s="42">
        <f>SUM(0+CJ139+CJ141+CJ157+CJ166+CJ168)</f>
        <v>0</v>
      </c>
      <c r="CL169" s="42">
        <f>SUM(0+CL139+CL141+CL157+CL166+CL168)</f>
        <v>0</v>
      </c>
      <c r="CM169" s="42">
        <f>SUM(0+CM139+CM141+CM157+CM166+CM168)</f>
        <v>0</v>
      </c>
      <c r="CO169" s="42">
        <f>SUM(0+CO139+CO141+CO157+CO166+CO168)</f>
        <v>0</v>
      </c>
      <c r="CP169" s="42">
        <f>SUM(0+CP139+CP141+CP157+CP166+CP168)</f>
        <v>0</v>
      </c>
      <c r="CR169" s="42">
        <f>SUM(0+CR139+CR141+CR157+CR166+CR168)</f>
        <v>0</v>
      </c>
      <c r="CS169" s="42">
        <f>SUM(0+CS139+CS141+CS157+CS166+CS168)</f>
        <v>0</v>
      </c>
      <c r="CU169" s="42">
        <f>SUM(0+CU139+CU141+CU157+CU166+CU168)</f>
        <v>0</v>
      </c>
      <c r="CV169" s="42">
        <f>SUM(0+CV139+CV141+CV157+CV166+CV168)</f>
        <v>0</v>
      </c>
      <c r="CX169" s="42">
        <f>SUM(0+CX139+CX141+CX157+CX166+CX168)</f>
        <v>0</v>
      </c>
      <c r="CY169" s="42">
        <f>SUM(0+CY139+CY141+CY157+CY166+CY168)</f>
        <v>0</v>
      </c>
      <c r="DA169" s="42">
        <f>SUM(0+DA139+DA141+DA157+DA166+DA168)</f>
        <v>0</v>
      </c>
      <c r="DB169" s="42">
        <f>SUM(0+DB139+DB141+DB157+DB166+DB168)</f>
        <v>0</v>
      </c>
      <c r="DD169" s="42">
        <f>SUM(0+DD139+DD141+DD157+DD166+DD168)</f>
        <v>0</v>
      </c>
      <c r="DE169" s="42">
        <f>SUM(0+DE139+DE141+DE157+DE166+DE168)</f>
        <v>0</v>
      </c>
      <c r="DG169" s="42">
        <f>SUM(0+DG139+DG141+DG157+DG166+DG168)</f>
        <v>0</v>
      </c>
      <c r="DH169" s="42">
        <f>SUM(0+DH139+DH141+DH157+DH166+DH168)</f>
        <v>0</v>
      </c>
      <c r="DJ169" s="42">
        <f>SUM(0+DJ139+DJ141+DJ157+DJ166+DJ168)</f>
        <v>0</v>
      </c>
      <c r="DK169" s="42">
        <f>SUM(0+DK139+DK141+DK157+DK166+DK168)</f>
        <v>0</v>
      </c>
      <c r="DM169" s="42">
        <f>SUM(0+DM139+DM141+DM157+DM166+DM168)</f>
        <v>0</v>
      </c>
      <c r="DN169" s="42">
        <f>SUM(0+DN139+DN141+DN157+DN166+DN168)</f>
        <v>0</v>
      </c>
      <c r="DP169" s="42">
        <f>SUM(0+DP139+DP141+DP157+DP166+DP168)</f>
        <v>0</v>
      </c>
      <c r="DQ169" s="42">
        <f>SUM(0+DQ139+DQ141+DQ157+DQ166+DQ168)</f>
        <v>0</v>
      </c>
      <c r="DS169" s="42">
        <f>SUM(0+DS139+DS141+DS157+DS166+DS168)</f>
        <v>0</v>
      </c>
    </row>
  </sheetData>
  <mergeCells count="37">
    <mergeCell ref="CP4:CR4"/>
    <mergeCell ref="CS4:CU4"/>
    <mergeCell ref="CV4:CX4"/>
    <mergeCell ref="CG4:CI4"/>
    <mergeCell ref="DQ4:DS4"/>
    <mergeCell ref="DE4:DG4"/>
    <mergeCell ref="DH4:DJ4"/>
    <mergeCell ref="DK4:DM4"/>
    <mergeCell ref="DN4:DP4"/>
    <mergeCell ref="CY4:DA4"/>
    <mergeCell ref="DB4:DD4"/>
    <mergeCell ref="CJ4:CL4"/>
    <mergeCell ref="CM4:CO4"/>
    <mergeCell ref="BO4:BQ4"/>
    <mergeCell ref="BR4:BT4"/>
    <mergeCell ref="BU4:BW4"/>
    <mergeCell ref="BX4:BZ4"/>
    <mergeCell ref="CA4:CC4"/>
    <mergeCell ref="CD4:CF4"/>
    <mergeCell ref="AW4:AY4"/>
    <mergeCell ref="AZ4:BB4"/>
    <mergeCell ref="BC4:BE4"/>
    <mergeCell ref="BF4:BH4"/>
    <mergeCell ref="BI4:BK4"/>
    <mergeCell ref="BL4:BN4"/>
    <mergeCell ref="AE4:AG4"/>
    <mergeCell ref="AH4:AJ4"/>
    <mergeCell ref="AK4:AM4"/>
    <mergeCell ref="AN4:AP4"/>
    <mergeCell ref="AQ4:AS4"/>
    <mergeCell ref="AT4:AV4"/>
    <mergeCell ref="S4:U4"/>
    <mergeCell ref="V4:X4"/>
    <mergeCell ref="B4:C4"/>
    <mergeCell ref="Y4:AA4"/>
    <mergeCell ref="L4:R4"/>
    <mergeCell ref="AB4:AD4"/>
  </mergeCells>
  <phoneticPr fontId="10" type="noConversion"/>
  <pageMargins left="0.75" right="0.75" top="1" bottom="1" header="0.5" footer="0.5"/>
  <pageSetup paperSize="5" scale="60" orientation="landscape" r:id="rId1"/>
  <headerFooter alignWithMargins="0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4"/>
  <sheetViews>
    <sheetView zoomScale="75" workbookViewId="0">
      <pane xSplit="2" ySplit="10" topLeftCell="AK46" activePane="bottomRight" state="frozen"/>
      <selection pane="topRight" activeCell="C1" sqref="C1"/>
      <selection pane="bottomLeft" activeCell="A11" sqref="A11"/>
      <selection pane="bottomRight" activeCell="AP62" sqref="AP62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  <col min="48" max="48" width="11.28515625" bestFit="1" customWidth="1"/>
  </cols>
  <sheetData>
    <row r="1" spans="1:47" x14ac:dyDescent="0.2">
      <c r="A1" s="741" t="s">
        <v>0</v>
      </c>
    </row>
    <row r="2" spans="1:47" x14ac:dyDescent="0.2">
      <c r="A2" s="741" t="s">
        <v>595</v>
      </c>
      <c r="E2" s="1107">
        <f ca="1">NOW()</f>
        <v>41885.92788761574</v>
      </c>
      <c r="F2" s="1107"/>
    </row>
    <row r="3" spans="1:47" x14ac:dyDescent="0.2">
      <c r="A3" s="741" t="s">
        <v>658</v>
      </c>
    </row>
    <row r="4" spans="1:47" ht="13.5" thickBot="1" x14ac:dyDescent="0.25"/>
    <row r="5" spans="1:47" ht="13.5" thickBot="1" x14ac:dyDescent="0.25">
      <c r="A5" s="741" t="s">
        <v>596</v>
      </c>
      <c r="C5" s="744" t="s">
        <v>597</v>
      </c>
      <c r="E5" s="37" t="s">
        <v>761</v>
      </c>
    </row>
    <row r="7" spans="1:47" x14ac:dyDescent="0.2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1106" t="s">
        <v>57</v>
      </c>
      <c r="J8" s="1106"/>
      <c r="K8" s="1106"/>
      <c r="L8" s="1106" t="s">
        <v>58</v>
      </c>
      <c r="M8" s="1106"/>
      <c r="N8" s="1106"/>
      <c r="O8" s="1106" t="s">
        <v>59</v>
      </c>
      <c r="P8" s="1106"/>
      <c r="Q8" s="1106"/>
      <c r="R8" s="1106" t="s">
        <v>60</v>
      </c>
      <c r="S8" s="1106"/>
      <c r="T8" s="1106"/>
      <c r="U8" s="1106" t="s">
        <v>1</v>
      </c>
      <c r="V8" s="1106"/>
      <c r="W8" s="1106"/>
      <c r="X8" s="1106" t="s">
        <v>61</v>
      </c>
      <c r="Y8" s="1106"/>
      <c r="Z8" s="1106"/>
      <c r="AA8" s="1106" t="s">
        <v>62</v>
      </c>
      <c r="AB8" s="1106"/>
      <c r="AC8" s="1106"/>
      <c r="AD8" s="1106" t="s">
        <v>63</v>
      </c>
      <c r="AE8" s="1106"/>
      <c r="AF8" s="1106"/>
      <c r="AG8" s="1106" t="s">
        <v>64</v>
      </c>
      <c r="AH8" s="1106"/>
      <c r="AI8" s="1106"/>
      <c r="AJ8" s="1106" t="s">
        <v>65</v>
      </c>
      <c r="AK8" s="1106"/>
      <c r="AL8" s="1106"/>
      <c r="AM8" s="1106" t="s">
        <v>66</v>
      </c>
      <c r="AN8" s="1106"/>
      <c r="AO8" s="1106"/>
      <c r="AP8" s="1106" t="s">
        <v>67</v>
      </c>
      <c r="AQ8" s="1106"/>
      <c r="AR8" s="1106"/>
    </row>
    <row r="9" spans="1:47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">
      <c r="A11" s="743" t="s">
        <v>626</v>
      </c>
      <c r="I11" s="455"/>
      <c r="K11" s="32"/>
      <c r="L11" s="455"/>
      <c r="M11" s="748"/>
      <c r="N11" s="32"/>
      <c r="O11" s="455"/>
      <c r="P11" s="748"/>
      <c r="Q11" s="32"/>
      <c r="R11" s="455"/>
      <c r="S11" s="748"/>
      <c r="T11" s="32"/>
      <c r="U11" s="455"/>
      <c r="V11" s="748"/>
      <c r="W11" s="32"/>
      <c r="X11" s="455"/>
      <c r="Y11" s="748"/>
      <c r="Z11" s="32"/>
      <c r="AA11" s="455"/>
      <c r="AB11" s="748"/>
      <c r="AC11" s="32"/>
      <c r="AD11" s="455"/>
      <c r="AE11" s="748"/>
      <c r="AF11" s="32"/>
      <c r="AG11" s="455"/>
      <c r="AH11" s="748"/>
      <c r="AI11" s="32"/>
      <c r="AJ11" s="455"/>
      <c r="AK11" s="748"/>
      <c r="AL11" s="32"/>
      <c r="AM11" s="455"/>
      <c r="AN11" s="748"/>
      <c r="AO11" s="32"/>
      <c r="AP11" s="455"/>
      <c r="AQ11" s="748"/>
      <c r="AR11" s="32"/>
      <c r="AS11" s="32"/>
    </row>
    <row r="12" spans="1:47" x14ac:dyDescent="0.2">
      <c r="A12" s="629">
        <v>24198</v>
      </c>
      <c r="B12" t="s">
        <v>629</v>
      </c>
      <c r="C12" s="745">
        <v>37408</v>
      </c>
      <c r="D12" s="745">
        <v>37621</v>
      </c>
      <c r="E12" s="37">
        <v>35714</v>
      </c>
      <c r="F12" s="748">
        <v>0.05</v>
      </c>
      <c r="G12" s="748" t="s">
        <v>617</v>
      </c>
      <c r="H12" s="748" t="s">
        <v>617</v>
      </c>
      <c r="I12" s="455">
        <v>0</v>
      </c>
      <c r="J12" s="748">
        <f t="shared" ref="J12:J21" si="0">IF(I12&gt;0,K12/I12/K$7,0)</f>
        <v>0</v>
      </c>
      <c r="K12" s="32">
        <v>0</v>
      </c>
      <c r="L12" s="455">
        <v>0</v>
      </c>
      <c r="M12" s="748">
        <f t="shared" ref="M12:M21" si="1">IF(L12&gt;0,N12/L12/N$7,0)</f>
        <v>0</v>
      </c>
      <c r="N12" s="32">
        <v>0</v>
      </c>
      <c r="O12" s="455">
        <v>0</v>
      </c>
      <c r="P12" s="748">
        <f t="shared" ref="P12:P21" si="2">IF(O12&gt;0,Q12/O12/Q$7,0)</f>
        <v>0</v>
      </c>
      <c r="Q12" s="32">
        <v>0</v>
      </c>
      <c r="R12" s="455">
        <v>0</v>
      </c>
      <c r="S12" s="748">
        <f t="shared" ref="S12:S21" si="3">IF(R12&gt;0,T12/R12/T$7,0)</f>
        <v>0</v>
      </c>
      <c r="T12" s="32">
        <v>0</v>
      </c>
      <c r="U12" s="455">
        <v>0</v>
      </c>
      <c r="V12" s="748">
        <f t="shared" ref="V12:V21" si="4">IF(U12&gt;0,W12/U12/W$7,0)</f>
        <v>0</v>
      </c>
      <c r="W12" s="32">
        <v>0</v>
      </c>
      <c r="X12" s="455">
        <v>35714</v>
      </c>
      <c r="Y12" s="748">
        <f t="shared" ref="Y12:Y21" si="5">IF(X12&gt;0,Z12/X12/Z$7,0)</f>
        <v>0.05</v>
      </c>
      <c r="Z12" s="32">
        <f>ROUND($E12*$F12*Z$7,0)</f>
        <v>53571</v>
      </c>
      <c r="AA12" s="455">
        <v>35714</v>
      </c>
      <c r="AB12" s="748">
        <f t="shared" ref="AB12:AB21" si="6">IF(AA12&gt;0,AC12/AA12/AC$7,0)</f>
        <v>5.0000270969909694E-2</v>
      </c>
      <c r="AC12" s="32">
        <f>ROUND($E12*$F12*AC$7,0)</f>
        <v>55357</v>
      </c>
      <c r="AD12" s="455">
        <v>35714</v>
      </c>
      <c r="AE12" s="748">
        <f t="shared" ref="AE12:AE21" si="7">IF(AD12&gt;0,AF12/AD12/AF$7,0)</f>
        <v>5.0000270969909694E-2</v>
      </c>
      <c r="AF12" s="32">
        <f>ROUND($E12*$F12*AF$7,0)</f>
        <v>55357</v>
      </c>
      <c r="AG12" s="455">
        <v>35714</v>
      </c>
      <c r="AH12" s="748">
        <f t="shared" ref="AH12:AH21" si="8">IF(AG12&gt;0,AI12/AG12/AI$7,0)</f>
        <v>0.05</v>
      </c>
      <c r="AI12" s="32">
        <f>ROUND($E12*$F12*AI$7,0)</f>
        <v>53571</v>
      </c>
      <c r="AJ12" s="455">
        <v>0</v>
      </c>
      <c r="AK12" s="748">
        <f t="shared" ref="AK12:AK21" si="9">IF(AJ12&gt;0,AL12/AJ12/AL$7,0)</f>
        <v>0</v>
      </c>
      <c r="AL12" s="32">
        <v>0</v>
      </c>
      <c r="AM12" s="455">
        <v>0</v>
      </c>
      <c r="AN12" s="748">
        <f t="shared" ref="AN12:AN21" si="10">IF(AM12&gt;0,AO12/AM12/AO$7,0)</f>
        <v>0</v>
      </c>
      <c r="AO12" s="32">
        <v>0</v>
      </c>
      <c r="AP12" s="455">
        <v>0</v>
      </c>
      <c r="AQ12" s="748">
        <f t="shared" ref="AQ12:AQ21" si="11">IF(AP12&gt;0,AR12/AP12/AR$7,0)</f>
        <v>0</v>
      </c>
      <c r="AR12" s="32">
        <v>0</v>
      </c>
      <c r="AS12" s="32"/>
      <c r="AU12" s="33">
        <f>AR12+AO12+AL12+AI12+AF12+AC12+Z12+W12+T12+Q12+N12+K12</f>
        <v>217856</v>
      </c>
    </row>
    <row r="13" spans="1:47" x14ac:dyDescent="0.2">
      <c r="A13" s="172" t="s">
        <v>310</v>
      </c>
      <c r="B13" s="955" t="s">
        <v>311</v>
      </c>
      <c r="C13" s="185">
        <v>34851</v>
      </c>
      <c r="D13" s="185">
        <v>37407</v>
      </c>
      <c r="E13" s="836">
        <v>-35714</v>
      </c>
      <c r="F13" s="748">
        <v>0.104</v>
      </c>
      <c r="G13" s="748" t="s">
        <v>617</v>
      </c>
      <c r="H13" s="748" t="s">
        <v>617</v>
      </c>
      <c r="I13" s="455">
        <v>0</v>
      </c>
      <c r="J13" s="748">
        <v>0</v>
      </c>
      <c r="K13" s="32">
        <f>I13*J13*K$7</f>
        <v>0</v>
      </c>
      <c r="L13" s="455">
        <v>0</v>
      </c>
      <c r="M13" s="748">
        <v>0</v>
      </c>
      <c r="N13" s="32">
        <f>L13*M13*N$7</f>
        <v>0</v>
      </c>
      <c r="O13" s="455">
        <v>0</v>
      </c>
      <c r="P13" s="748">
        <v>0</v>
      </c>
      <c r="Q13" s="32">
        <f>O13*P13*Q$7</f>
        <v>0</v>
      </c>
      <c r="R13" s="455">
        <v>0</v>
      </c>
      <c r="S13" s="748">
        <v>0</v>
      </c>
      <c r="T13" s="32">
        <f>R13*S13*T$7</f>
        <v>0</v>
      </c>
      <c r="U13" s="455">
        <v>0</v>
      </c>
      <c r="V13" s="748">
        <v>0</v>
      </c>
      <c r="W13" s="32">
        <f>U13*V13*W$7</f>
        <v>0</v>
      </c>
      <c r="X13" s="455">
        <f>$E13</f>
        <v>-35714</v>
      </c>
      <c r="Y13" s="748">
        <f>IF(X13&gt;0,Z13/X13/Z$7,0)</f>
        <v>0</v>
      </c>
      <c r="Z13" s="32">
        <f>ROUND($E13*$F13*Z$7,0)</f>
        <v>-111428</v>
      </c>
      <c r="AA13" s="455">
        <f>$E13</f>
        <v>-35714</v>
      </c>
      <c r="AB13" s="748">
        <f>IF(AA13&gt;0,AC13/AA13/AC$7,0)</f>
        <v>0</v>
      </c>
      <c r="AC13" s="32">
        <f>ROUND($E13*$F13*AC$7,0)</f>
        <v>-115142</v>
      </c>
      <c r="AD13" s="455">
        <f>$E13</f>
        <v>-35714</v>
      </c>
      <c r="AE13" s="748">
        <f>IF(AD13&gt;0,AF13/AD13/AF$7,0)</f>
        <v>0</v>
      </c>
      <c r="AF13" s="32">
        <f>ROUND($E13*$F13*AF$7,0)</f>
        <v>-115142</v>
      </c>
      <c r="AG13" s="455">
        <f>$E13</f>
        <v>-35714</v>
      </c>
      <c r="AH13" s="748">
        <f>IF(AG13&gt;0,AI13/AG13/AI$7,0)</f>
        <v>0</v>
      </c>
      <c r="AI13" s="32">
        <f>ROUND($E13*$F13*AI$7,0)</f>
        <v>-111428</v>
      </c>
      <c r="AJ13" s="455">
        <f>$E13</f>
        <v>-35714</v>
      </c>
      <c r="AK13" s="748">
        <f>IF(AJ13&gt;0,AL13/AJ13/AL$7,0)</f>
        <v>0</v>
      </c>
      <c r="AL13" s="32">
        <f>ROUND($E13*$F13*AL$7,0)</f>
        <v>-115142</v>
      </c>
      <c r="AM13" s="455">
        <f>$E13</f>
        <v>-35714</v>
      </c>
      <c r="AN13" s="748">
        <f>IF(AM13&gt;0,AO13/AM13/AO$7,0)</f>
        <v>0</v>
      </c>
      <c r="AO13" s="32">
        <f>ROUND($E13*$F13*AO$7,0)</f>
        <v>-111428</v>
      </c>
      <c r="AP13" s="455">
        <v>0</v>
      </c>
      <c r="AQ13" s="748">
        <v>4.07E-2</v>
      </c>
      <c r="AR13" s="32">
        <f>AP13*AQ13*AR$7</f>
        <v>0</v>
      </c>
      <c r="AS13" s="32"/>
      <c r="AU13" s="33">
        <f>AR13+AO13+AL13+AI13+AF13+AC13+Z13+W13+T13+Q13+N13+K13</f>
        <v>-679710</v>
      </c>
    </row>
    <row r="14" spans="1:47" x14ac:dyDescent="0.2">
      <c r="A14" s="629">
        <v>27377</v>
      </c>
      <c r="B14" t="s">
        <v>284</v>
      </c>
      <c r="C14" s="745">
        <v>37316</v>
      </c>
      <c r="D14" s="745">
        <v>37621</v>
      </c>
      <c r="E14" s="37">
        <v>10000</v>
      </c>
      <c r="F14" s="748">
        <v>0.02</v>
      </c>
      <c r="G14" s="748" t="s">
        <v>617</v>
      </c>
      <c r="H14" s="748" t="s">
        <v>617</v>
      </c>
      <c r="I14" s="455"/>
      <c r="K14" s="32"/>
      <c r="L14" s="455"/>
      <c r="M14" s="748"/>
      <c r="N14" s="32"/>
      <c r="O14" s="455">
        <f>$E$14</f>
        <v>10000</v>
      </c>
      <c r="P14" s="748">
        <f>$F$14</f>
        <v>0.02</v>
      </c>
      <c r="Q14" s="32">
        <f>O14*P14*Q7</f>
        <v>6200</v>
      </c>
      <c r="R14" s="455">
        <f>$E$14</f>
        <v>10000</v>
      </c>
      <c r="S14" s="748">
        <f>$F$14</f>
        <v>0.02</v>
      </c>
      <c r="T14" s="32">
        <f>R14*S14*T7</f>
        <v>6000</v>
      </c>
      <c r="U14" s="455">
        <f>$E$14</f>
        <v>10000</v>
      </c>
      <c r="V14" s="748">
        <f>$F$14</f>
        <v>0.02</v>
      </c>
      <c r="W14" s="32">
        <f>U14*V14*W7</f>
        <v>6200</v>
      </c>
      <c r="X14" s="455">
        <f>$E$14</f>
        <v>10000</v>
      </c>
      <c r="Y14" s="748">
        <f>$F$14</f>
        <v>0.02</v>
      </c>
      <c r="Z14" s="32">
        <f>X14*Y14*Z7</f>
        <v>6000</v>
      </c>
      <c r="AA14" s="455">
        <f>$E$14</f>
        <v>10000</v>
      </c>
      <c r="AB14" s="748">
        <f>$F$14</f>
        <v>0.02</v>
      </c>
      <c r="AC14" s="32">
        <f>AA14*AB14*AC7</f>
        <v>6200</v>
      </c>
      <c r="AD14" s="455">
        <f>$E$14</f>
        <v>10000</v>
      </c>
      <c r="AE14" s="748">
        <f>$F$14</f>
        <v>0.02</v>
      </c>
      <c r="AF14" s="32">
        <f>AD14*AE14*AF7</f>
        <v>6200</v>
      </c>
      <c r="AG14" s="455">
        <f>$E$14</f>
        <v>10000</v>
      </c>
      <c r="AH14" s="748">
        <f>$F$14</f>
        <v>0.02</v>
      </c>
      <c r="AI14" s="32">
        <f>AG14*AH14*AI7</f>
        <v>6000</v>
      </c>
      <c r="AJ14" s="455">
        <f>$E$14</f>
        <v>10000</v>
      </c>
      <c r="AK14" s="748">
        <f>$F$14</f>
        <v>0.02</v>
      </c>
      <c r="AL14" s="32">
        <f>AJ14*AK14*AL7</f>
        <v>6200</v>
      </c>
      <c r="AM14" s="455">
        <f>$E$14</f>
        <v>10000</v>
      </c>
      <c r="AN14" s="748">
        <f>$F$14</f>
        <v>0.02</v>
      </c>
      <c r="AO14" s="32">
        <f>AM14*AN14*AO7</f>
        <v>6000</v>
      </c>
      <c r="AP14" s="455">
        <f>$E$14</f>
        <v>10000</v>
      </c>
      <c r="AQ14" s="748">
        <f>$F$14</f>
        <v>0.02</v>
      </c>
      <c r="AR14" s="32">
        <f>AP14*AQ14*AR7</f>
        <v>6200</v>
      </c>
      <c r="AS14" s="32"/>
      <c r="AU14" s="33">
        <f>AR14+AO14+AL14+AI14+AF14+AC14+Z14+W14+T14+Q14+N14+K14</f>
        <v>61200</v>
      </c>
    </row>
    <row r="15" spans="1:47" x14ac:dyDescent="0.2">
      <c r="A15" s="629">
        <v>27600</v>
      </c>
      <c r="B15" t="s">
        <v>713</v>
      </c>
      <c r="C15" s="745">
        <v>37408</v>
      </c>
      <c r="D15" s="745">
        <v>37621</v>
      </c>
      <c r="E15" s="37">
        <v>0</v>
      </c>
      <c r="F15" s="748">
        <v>0.09</v>
      </c>
      <c r="G15" s="748" t="s">
        <v>617</v>
      </c>
      <c r="H15" s="748" t="s">
        <v>617</v>
      </c>
      <c r="I15" s="455"/>
      <c r="K15" s="32"/>
      <c r="L15" s="455"/>
      <c r="M15" s="748"/>
      <c r="N15" s="32"/>
      <c r="O15" s="455"/>
      <c r="P15" s="748"/>
      <c r="Q15" s="32"/>
      <c r="R15" s="455"/>
      <c r="S15" s="748"/>
      <c r="T15" s="32"/>
      <c r="U15" s="455"/>
      <c r="V15" s="748"/>
      <c r="W15" s="32"/>
      <c r="X15" s="455">
        <f>$E$15</f>
        <v>0</v>
      </c>
      <c r="Y15" s="748">
        <f>$F$15</f>
        <v>0.09</v>
      </c>
      <c r="Z15" s="32">
        <f>X15*Y15*Z7</f>
        <v>0</v>
      </c>
      <c r="AA15" s="455">
        <f>$E$15</f>
        <v>0</v>
      </c>
      <c r="AB15" s="748">
        <f>$F$15</f>
        <v>0.09</v>
      </c>
      <c r="AC15" s="32">
        <f>AA15*AB15*AC7</f>
        <v>0</v>
      </c>
      <c r="AD15" s="455">
        <f>$E$15</f>
        <v>0</v>
      </c>
      <c r="AE15" s="748">
        <f>$F$15</f>
        <v>0.09</v>
      </c>
      <c r="AF15" s="32">
        <f>AD15*AE15*AF7</f>
        <v>0</v>
      </c>
      <c r="AG15" s="455">
        <f>$E$15</f>
        <v>0</v>
      </c>
      <c r="AH15" s="748">
        <f>$F$15</f>
        <v>0.09</v>
      </c>
      <c r="AI15" s="32">
        <f>AG15*AH15*AI7</f>
        <v>0</v>
      </c>
      <c r="AJ15" s="455">
        <f>$E$15</f>
        <v>0</v>
      </c>
      <c r="AK15" s="748">
        <f>$F$15</f>
        <v>0.09</v>
      </c>
      <c r="AL15" s="32">
        <f>AJ15*AK15*AL7</f>
        <v>0</v>
      </c>
      <c r="AM15" s="455">
        <f>$E$15</f>
        <v>0</v>
      </c>
      <c r="AN15" s="748">
        <f>$F$15</f>
        <v>0.09</v>
      </c>
      <c r="AO15" s="32">
        <f>AM15*AN15*AO7</f>
        <v>0</v>
      </c>
      <c r="AP15" s="455">
        <f>$E$15</f>
        <v>0</v>
      </c>
      <c r="AQ15" s="748">
        <f>$F$15</f>
        <v>0.09</v>
      </c>
      <c r="AR15" s="32">
        <f>AP15*AQ15*AR7</f>
        <v>0</v>
      </c>
      <c r="AS15" s="32"/>
      <c r="AU15" s="33">
        <f t="shared" ref="AU15:AU20" si="12">AR15+AO15+AL15+AI15+AF15+AC15+Z15+W15+T15+Q15+N15+K15</f>
        <v>0</v>
      </c>
    </row>
    <row r="16" spans="1:47" x14ac:dyDescent="0.2">
      <c r="A16" s="629">
        <v>27606</v>
      </c>
      <c r="B16" t="s">
        <v>521</v>
      </c>
      <c r="C16" s="745">
        <v>37165</v>
      </c>
      <c r="D16" s="745">
        <v>38990</v>
      </c>
      <c r="E16" s="37">
        <v>80000</v>
      </c>
      <c r="F16" s="748">
        <v>0.08</v>
      </c>
      <c r="G16" s="748" t="s">
        <v>617</v>
      </c>
      <c r="H16" s="748" t="s">
        <v>617</v>
      </c>
      <c r="I16" s="455">
        <v>80000</v>
      </c>
      <c r="J16" s="748">
        <f>$F16</f>
        <v>0.08</v>
      </c>
      <c r="K16" s="32">
        <f>I16*J16*K$7</f>
        <v>198400</v>
      </c>
      <c r="L16" s="455">
        <v>80000</v>
      </c>
      <c r="M16" s="748">
        <f>$F16</f>
        <v>0.08</v>
      </c>
      <c r="N16" s="32">
        <f>L16*M16*N$7</f>
        <v>179200</v>
      </c>
      <c r="O16" s="455">
        <v>35000</v>
      </c>
      <c r="P16" s="748">
        <f>$F16</f>
        <v>0.08</v>
      </c>
      <c r="Q16" s="32">
        <f>O16*P16*Q$7</f>
        <v>86800</v>
      </c>
      <c r="R16" s="455">
        <v>35000</v>
      </c>
      <c r="S16" s="748">
        <f>$F16</f>
        <v>0.08</v>
      </c>
      <c r="T16" s="32">
        <f>R16*S16*T$7</f>
        <v>84000</v>
      </c>
      <c r="U16" s="455">
        <v>20000</v>
      </c>
      <c r="V16" s="748">
        <f>$F16</f>
        <v>0.08</v>
      </c>
      <c r="W16" s="32">
        <f>U16*V16*W$7</f>
        <v>49600</v>
      </c>
      <c r="X16" s="455">
        <v>20000</v>
      </c>
      <c r="Y16" s="748">
        <f>$F16</f>
        <v>0.08</v>
      </c>
      <c r="Z16" s="32">
        <f>X16*Y16*Z$7</f>
        <v>48000</v>
      </c>
      <c r="AA16" s="455">
        <v>20000</v>
      </c>
      <c r="AB16" s="748">
        <f>$F16</f>
        <v>0.08</v>
      </c>
      <c r="AC16" s="32">
        <f>AA16*AB16*AC$7</f>
        <v>49600</v>
      </c>
      <c r="AD16" s="455">
        <v>20000</v>
      </c>
      <c r="AE16" s="748">
        <f>$F16</f>
        <v>0.08</v>
      </c>
      <c r="AF16" s="32">
        <f>AD16*AE16*AF$7</f>
        <v>49600</v>
      </c>
      <c r="AG16" s="455">
        <v>20000</v>
      </c>
      <c r="AH16" s="748">
        <f>$F16</f>
        <v>0.08</v>
      </c>
      <c r="AI16" s="32">
        <f>AG16*AH16*AI$7</f>
        <v>48000</v>
      </c>
      <c r="AJ16" s="455">
        <v>35000</v>
      </c>
      <c r="AK16" s="748">
        <f>$F16</f>
        <v>0.08</v>
      </c>
      <c r="AL16" s="32">
        <f>AJ16*AK16*AL$7</f>
        <v>86800</v>
      </c>
      <c r="AM16" s="455">
        <v>80000</v>
      </c>
      <c r="AN16" s="748">
        <f>$F16</f>
        <v>0.08</v>
      </c>
      <c r="AO16" s="32">
        <f>AM16*AN16*AO$7</f>
        <v>192000</v>
      </c>
      <c r="AP16" s="455">
        <v>80000</v>
      </c>
      <c r="AQ16" s="748">
        <f>$F16</f>
        <v>0.08</v>
      </c>
      <c r="AR16" s="32">
        <f>AP16*AQ16*AR$7</f>
        <v>198400</v>
      </c>
      <c r="AS16" s="32"/>
      <c r="AU16" s="33">
        <f t="shared" si="12"/>
        <v>1270400</v>
      </c>
    </row>
    <row r="17" spans="1:47" x14ac:dyDescent="0.2">
      <c r="A17" s="629">
        <v>27291</v>
      </c>
      <c r="B17" t="s">
        <v>630</v>
      </c>
      <c r="C17" s="745">
        <v>37469</v>
      </c>
      <c r="D17" s="745">
        <v>37621</v>
      </c>
      <c r="E17" s="37">
        <v>20000</v>
      </c>
      <c r="F17" s="748">
        <v>0.02</v>
      </c>
      <c r="G17" s="748" t="s">
        <v>617</v>
      </c>
      <c r="H17" s="748" t="s">
        <v>617</v>
      </c>
      <c r="I17" s="455">
        <v>0</v>
      </c>
      <c r="J17" s="748">
        <f t="shared" si="0"/>
        <v>0</v>
      </c>
      <c r="K17" s="32">
        <v>0</v>
      </c>
      <c r="L17" s="455">
        <v>0</v>
      </c>
      <c r="M17" s="748">
        <f t="shared" si="1"/>
        <v>0</v>
      </c>
      <c r="N17" s="32">
        <v>0</v>
      </c>
      <c r="O17" s="455">
        <v>0</v>
      </c>
      <c r="P17" s="748">
        <f t="shared" si="2"/>
        <v>0</v>
      </c>
      <c r="Q17" s="32">
        <v>0</v>
      </c>
      <c r="R17" s="455">
        <v>0</v>
      </c>
      <c r="S17" s="748">
        <f t="shared" si="3"/>
        <v>0</v>
      </c>
      <c r="T17" s="32">
        <v>0</v>
      </c>
      <c r="U17" s="455">
        <v>0</v>
      </c>
      <c r="V17" s="748">
        <f t="shared" si="4"/>
        <v>0</v>
      </c>
      <c r="W17" s="32">
        <v>0</v>
      </c>
      <c r="X17" s="455">
        <v>0</v>
      </c>
      <c r="Y17" s="748">
        <f t="shared" si="5"/>
        <v>0</v>
      </c>
      <c r="Z17" s="32">
        <v>0</v>
      </c>
      <c r="AA17" s="455">
        <v>0</v>
      </c>
      <c r="AB17" s="748">
        <f t="shared" si="6"/>
        <v>0</v>
      </c>
      <c r="AC17" s="32">
        <v>0</v>
      </c>
      <c r="AD17" s="455">
        <v>20000</v>
      </c>
      <c r="AE17" s="748">
        <f t="shared" si="7"/>
        <v>0.02</v>
      </c>
      <c r="AF17" s="32">
        <f>ROUND($E17*$F17*AF$7,0)</f>
        <v>12400</v>
      </c>
      <c r="AG17" s="455">
        <v>20000</v>
      </c>
      <c r="AH17" s="748">
        <f t="shared" si="8"/>
        <v>0.02</v>
      </c>
      <c r="AI17" s="32">
        <f>ROUND($E17*$F17*AI$7,0)</f>
        <v>12000</v>
      </c>
      <c r="AJ17" s="455">
        <v>20000</v>
      </c>
      <c r="AK17" s="748">
        <f t="shared" si="9"/>
        <v>0.02</v>
      </c>
      <c r="AL17" s="32">
        <f>ROUND($E17*$F17*AL$7,0)</f>
        <v>12400</v>
      </c>
      <c r="AM17" s="455">
        <v>20000</v>
      </c>
      <c r="AN17" s="748">
        <f t="shared" si="10"/>
        <v>0.02</v>
      </c>
      <c r="AO17" s="32">
        <f>ROUND($E17*$F17*AO$7,0)</f>
        <v>12000</v>
      </c>
      <c r="AP17" s="455">
        <v>20000</v>
      </c>
      <c r="AQ17" s="748">
        <f t="shared" si="11"/>
        <v>0.02</v>
      </c>
      <c r="AR17" s="32">
        <f>ROUND($E17*$F17*AR$7,0)</f>
        <v>12400</v>
      </c>
      <c r="AS17" s="32"/>
      <c r="AU17" s="33">
        <f t="shared" si="12"/>
        <v>61200</v>
      </c>
    </row>
    <row r="18" spans="1:47" x14ac:dyDescent="0.2">
      <c r="A18" s="629">
        <v>27579</v>
      </c>
      <c r="B18" t="s">
        <v>630</v>
      </c>
      <c r="C18" s="745">
        <v>37408</v>
      </c>
      <c r="D18" s="745">
        <v>37621</v>
      </c>
      <c r="E18" s="37">
        <v>20000</v>
      </c>
      <c r="F18" s="748">
        <v>0.02</v>
      </c>
      <c r="G18" s="748" t="s">
        <v>617</v>
      </c>
      <c r="H18" s="748" t="s">
        <v>617</v>
      </c>
      <c r="I18" s="455">
        <v>0</v>
      </c>
      <c r="J18" s="748">
        <f t="shared" si="0"/>
        <v>0</v>
      </c>
      <c r="K18" s="32">
        <v>0</v>
      </c>
      <c r="L18" s="455">
        <v>0</v>
      </c>
      <c r="M18" s="748">
        <f t="shared" si="1"/>
        <v>0</v>
      </c>
      <c r="N18" s="32">
        <v>0</v>
      </c>
      <c r="O18" s="455">
        <v>0</v>
      </c>
      <c r="P18" s="748">
        <f t="shared" si="2"/>
        <v>0</v>
      </c>
      <c r="Q18" s="32">
        <v>0</v>
      </c>
      <c r="R18" s="455">
        <v>0</v>
      </c>
      <c r="S18" s="748">
        <f t="shared" si="3"/>
        <v>0</v>
      </c>
      <c r="T18" s="32">
        <v>0</v>
      </c>
      <c r="U18" s="455">
        <v>0</v>
      </c>
      <c r="V18" s="748">
        <f t="shared" si="4"/>
        <v>0</v>
      </c>
      <c r="W18" s="32">
        <v>0</v>
      </c>
      <c r="X18" s="455">
        <v>20000</v>
      </c>
      <c r="Y18" s="748">
        <f t="shared" si="5"/>
        <v>0.02</v>
      </c>
      <c r="Z18" s="32">
        <f>ROUND($E18*$F18*Z$7,0)</f>
        <v>12000</v>
      </c>
      <c r="AA18" s="455">
        <v>20000</v>
      </c>
      <c r="AB18" s="748">
        <f t="shared" si="6"/>
        <v>0.02</v>
      </c>
      <c r="AC18" s="32">
        <f>ROUND($E18*$F18*AC$7,0)</f>
        <v>12400</v>
      </c>
      <c r="AD18" s="455">
        <v>20000</v>
      </c>
      <c r="AE18" s="748">
        <f t="shared" si="7"/>
        <v>0.02</v>
      </c>
      <c r="AF18" s="32">
        <f>ROUND($E18*$F18*AF$7,0)</f>
        <v>12400</v>
      </c>
      <c r="AG18" s="455">
        <v>20000</v>
      </c>
      <c r="AH18" s="748">
        <f t="shared" si="8"/>
        <v>0.02</v>
      </c>
      <c r="AI18" s="32">
        <f>ROUND($E18*$F18*AI$7,0)</f>
        <v>12000</v>
      </c>
      <c r="AJ18" s="455">
        <v>20000</v>
      </c>
      <c r="AK18" s="748">
        <f t="shared" si="9"/>
        <v>0.02</v>
      </c>
      <c r="AL18" s="32">
        <f>ROUND($E18*$F18*AL$7,0)</f>
        <v>12400</v>
      </c>
      <c r="AM18" s="455">
        <v>20000</v>
      </c>
      <c r="AN18" s="748">
        <f t="shared" si="10"/>
        <v>0.02</v>
      </c>
      <c r="AO18" s="32">
        <f>ROUND($E18*$F18*AO$7,0)</f>
        <v>12000</v>
      </c>
      <c r="AP18" s="455">
        <v>20000</v>
      </c>
      <c r="AQ18" s="748">
        <f t="shared" si="11"/>
        <v>0.02</v>
      </c>
      <c r="AR18" s="32">
        <f>ROUND($E18*$F18*AR$7,0)</f>
        <v>12400</v>
      </c>
      <c r="AS18" s="32"/>
      <c r="AU18" s="33">
        <f t="shared" si="12"/>
        <v>85600</v>
      </c>
    </row>
    <row r="19" spans="1:47" x14ac:dyDescent="0.2">
      <c r="A19" s="629">
        <v>25374</v>
      </c>
      <c r="B19" t="s">
        <v>631</v>
      </c>
      <c r="C19" s="745">
        <v>37257</v>
      </c>
      <c r="D19" s="745">
        <v>37621</v>
      </c>
      <c r="E19" s="37">
        <v>23000</v>
      </c>
      <c r="F19" s="748">
        <v>0.05</v>
      </c>
      <c r="G19" s="748" t="s">
        <v>617</v>
      </c>
      <c r="H19" s="748" t="s">
        <v>617</v>
      </c>
      <c r="I19" s="455">
        <v>23000</v>
      </c>
      <c r="J19" s="748">
        <f t="shared" si="0"/>
        <v>0.05</v>
      </c>
      <c r="K19" s="32">
        <f>ROUND($E19*$F19*K$7,0)</f>
        <v>35650</v>
      </c>
      <c r="L19" s="455">
        <v>23000</v>
      </c>
      <c r="M19" s="748">
        <f t="shared" si="1"/>
        <v>4.9999999999999996E-2</v>
      </c>
      <c r="N19" s="32">
        <f>ROUND($E19*$F19*N$7,0)</f>
        <v>32200</v>
      </c>
      <c r="O19" s="455">
        <v>23000</v>
      </c>
      <c r="P19" s="748">
        <f t="shared" si="2"/>
        <v>0.05</v>
      </c>
      <c r="Q19" s="32">
        <f>ROUND($E19*$F19*Q$7,0)</f>
        <v>35650</v>
      </c>
      <c r="R19" s="455">
        <v>23000</v>
      </c>
      <c r="S19" s="748">
        <f t="shared" si="3"/>
        <v>0.05</v>
      </c>
      <c r="T19" s="32">
        <f>ROUND($E19*$F19*T$7,0)</f>
        <v>34500</v>
      </c>
      <c r="U19" s="455">
        <v>23000</v>
      </c>
      <c r="V19" s="748">
        <f t="shared" si="4"/>
        <v>0.05</v>
      </c>
      <c r="W19" s="32">
        <f>ROUND($E19*$F19*W$7,0)</f>
        <v>35650</v>
      </c>
      <c r="X19" s="455">
        <v>23000</v>
      </c>
      <c r="Y19" s="748">
        <f t="shared" si="5"/>
        <v>0.05</v>
      </c>
      <c r="Z19" s="32">
        <f>ROUND($E19*$F19*Z$7,0)</f>
        <v>34500</v>
      </c>
      <c r="AA19" s="455">
        <v>23000</v>
      </c>
      <c r="AB19" s="748">
        <f t="shared" si="6"/>
        <v>0.05</v>
      </c>
      <c r="AC19" s="32">
        <f>ROUND($E19*$F19*AC$7,0)</f>
        <v>35650</v>
      </c>
      <c r="AD19" s="455">
        <v>23000</v>
      </c>
      <c r="AE19" s="748">
        <f t="shared" si="7"/>
        <v>0.05</v>
      </c>
      <c r="AF19" s="32">
        <f>ROUND($E19*$F19*AF$7,0)</f>
        <v>35650</v>
      </c>
      <c r="AG19" s="455">
        <v>23000</v>
      </c>
      <c r="AH19" s="748">
        <f t="shared" si="8"/>
        <v>0.05</v>
      </c>
      <c r="AI19" s="32">
        <f>ROUND($E19*$F19*AI$7,0)</f>
        <v>34500</v>
      </c>
      <c r="AJ19" s="455">
        <v>23000</v>
      </c>
      <c r="AK19" s="748">
        <f t="shared" si="9"/>
        <v>0.05</v>
      </c>
      <c r="AL19" s="32">
        <f>ROUND($E19*$F19*AL$7,0)</f>
        <v>35650</v>
      </c>
      <c r="AM19" s="455">
        <v>23000</v>
      </c>
      <c r="AN19" s="748">
        <f t="shared" si="10"/>
        <v>0.05</v>
      </c>
      <c r="AO19" s="32">
        <f>ROUND($E19*$F19*AO$7,0)</f>
        <v>34500</v>
      </c>
      <c r="AP19" s="455">
        <v>23000</v>
      </c>
      <c r="AQ19" s="748">
        <f t="shared" si="11"/>
        <v>0.05</v>
      </c>
      <c r="AR19" s="32">
        <f>ROUND($E19*$F19*AR$7,0)</f>
        <v>35650</v>
      </c>
      <c r="AS19" s="32"/>
      <c r="AU19" s="33">
        <f t="shared" si="12"/>
        <v>419750</v>
      </c>
    </row>
    <row r="20" spans="1:47" x14ac:dyDescent="0.2">
      <c r="D20" s="745"/>
      <c r="E20" s="753"/>
      <c r="I20" s="777">
        <v>0</v>
      </c>
      <c r="J20" s="748">
        <f t="shared" si="0"/>
        <v>0</v>
      </c>
      <c r="K20" s="39">
        <v>0</v>
      </c>
      <c r="L20" s="777">
        <v>0</v>
      </c>
      <c r="M20" s="748">
        <f t="shared" si="1"/>
        <v>0</v>
      </c>
      <c r="N20" s="39">
        <v>0</v>
      </c>
      <c r="O20" s="777">
        <v>0</v>
      </c>
      <c r="P20" s="748">
        <f t="shared" si="2"/>
        <v>0</v>
      </c>
      <c r="Q20" s="39">
        <v>0</v>
      </c>
      <c r="R20" s="777">
        <v>0</v>
      </c>
      <c r="S20" s="748">
        <f t="shared" si="3"/>
        <v>0</v>
      </c>
      <c r="T20" s="39">
        <v>0</v>
      </c>
      <c r="U20" s="777">
        <v>0</v>
      </c>
      <c r="V20" s="748">
        <f t="shared" si="4"/>
        <v>0</v>
      </c>
      <c r="W20" s="39">
        <v>0</v>
      </c>
      <c r="X20" s="777">
        <v>0</v>
      </c>
      <c r="Y20" s="748">
        <f t="shared" si="5"/>
        <v>0</v>
      </c>
      <c r="Z20" s="39">
        <v>0</v>
      </c>
      <c r="AA20" s="777">
        <v>0</v>
      </c>
      <c r="AB20" s="748">
        <f t="shared" si="6"/>
        <v>0</v>
      </c>
      <c r="AC20" s="39">
        <f>ROUND($E20*$F20*AC$7,0)</f>
        <v>0</v>
      </c>
      <c r="AD20" s="777">
        <v>0</v>
      </c>
      <c r="AE20" s="748">
        <f t="shared" si="7"/>
        <v>0</v>
      </c>
      <c r="AF20" s="39">
        <f>ROUND($E20*$F20*AF$7,0)</f>
        <v>0</v>
      </c>
      <c r="AG20" s="777">
        <v>0</v>
      </c>
      <c r="AH20" s="748">
        <f t="shared" si="8"/>
        <v>0</v>
      </c>
      <c r="AI20" s="39">
        <f>ROUND($E20*$F20*AI$7,0)</f>
        <v>0</v>
      </c>
      <c r="AJ20" s="777">
        <v>0</v>
      </c>
      <c r="AK20" s="748">
        <f t="shared" si="9"/>
        <v>0</v>
      </c>
      <c r="AL20" s="39">
        <f>ROUND($E20*$F20*AL$7,0)</f>
        <v>0</v>
      </c>
      <c r="AM20" s="777">
        <v>0</v>
      </c>
      <c r="AN20" s="748">
        <f t="shared" si="10"/>
        <v>0</v>
      </c>
      <c r="AO20" s="39">
        <f>ROUND($E20*$F20*AO$7,0)</f>
        <v>0</v>
      </c>
      <c r="AP20" s="777">
        <v>0</v>
      </c>
      <c r="AQ20" s="748">
        <f t="shared" si="11"/>
        <v>0</v>
      </c>
      <c r="AR20" s="39">
        <f>ROUND($E20*$F20*AR$7,0)</f>
        <v>0</v>
      </c>
      <c r="AS20" s="32"/>
      <c r="AU20" s="33">
        <f t="shared" si="12"/>
        <v>0</v>
      </c>
    </row>
    <row r="21" spans="1:47" s="42" customFormat="1" x14ac:dyDescent="0.2">
      <c r="A21" s="741" t="s">
        <v>627</v>
      </c>
      <c r="C21" s="3"/>
      <c r="D21" s="3"/>
      <c r="E21" s="431">
        <f>SUM(E6:E20)</f>
        <v>153000</v>
      </c>
      <c r="F21" s="754"/>
      <c r="G21" s="754"/>
      <c r="H21" s="754"/>
      <c r="I21" s="774">
        <f>SUM(I7:I20)</f>
        <v>103000</v>
      </c>
      <c r="J21" s="754">
        <f t="shared" si="0"/>
        <v>7.3300970873786411E-2</v>
      </c>
      <c r="K21" s="31">
        <f>SUM(K12:K20)</f>
        <v>234050</v>
      </c>
      <c r="L21" s="774">
        <f>SUM(L7:L20)</f>
        <v>103000</v>
      </c>
      <c r="M21" s="754">
        <f t="shared" si="1"/>
        <v>7.3300970873786411E-2</v>
      </c>
      <c r="N21" s="31">
        <f>SUM(N12:N20)</f>
        <v>211400</v>
      </c>
      <c r="O21" s="774">
        <f>SUM(O7:O20)</f>
        <v>68000</v>
      </c>
      <c r="P21" s="754">
        <f t="shared" si="2"/>
        <v>6.1029411764705881E-2</v>
      </c>
      <c r="Q21" s="31">
        <f>SUM(Q12:Q20)</f>
        <v>128650</v>
      </c>
      <c r="R21" s="774">
        <f>SUM(R7:R20)</f>
        <v>68000</v>
      </c>
      <c r="S21" s="754">
        <f t="shared" si="3"/>
        <v>6.1029411764705881E-2</v>
      </c>
      <c r="T21" s="31">
        <f>SUM(T12:T20)</f>
        <v>124500</v>
      </c>
      <c r="U21" s="774">
        <f>SUM(U7:U20)</f>
        <v>53000</v>
      </c>
      <c r="V21" s="754">
        <f t="shared" si="4"/>
        <v>5.5660377358490561E-2</v>
      </c>
      <c r="W21" s="31">
        <f>SUM(W12:W20)</f>
        <v>91450</v>
      </c>
      <c r="X21" s="774">
        <f>SUM(X7:X20)</f>
        <v>73000</v>
      </c>
      <c r="Y21" s="754">
        <f t="shared" si="5"/>
        <v>1.9471689497716896E-2</v>
      </c>
      <c r="Z21" s="31">
        <f>SUM(Z12:Z20)</f>
        <v>42643</v>
      </c>
      <c r="AA21" s="774">
        <f>SUM(AA7:AA20)</f>
        <v>73000</v>
      </c>
      <c r="AB21" s="754">
        <f t="shared" si="6"/>
        <v>1.9471939902783918E-2</v>
      </c>
      <c r="AC21" s="31">
        <f>SUM(AC12:AC20)</f>
        <v>44065</v>
      </c>
      <c r="AD21" s="774">
        <f>SUM(AD7:AD20)</f>
        <v>93000</v>
      </c>
      <c r="AE21" s="754">
        <f t="shared" si="7"/>
        <v>1.9596253902185223E-2</v>
      </c>
      <c r="AF21" s="31">
        <f>SUM(AF6:AF20)</f>
        <v>56496</v>
      </c>
      <c r="AG21" s="774">
        <f>SUM(AG7:AG20)</f>
        <v>93000</v>
      </c>
      <c r="AH21" s="754">
        <f t="shared" si="8"/>
        <v>1.959605734767025E-2</v>
      </c>
      <c r="AI21" s="31">
        <f>SUM(AI6:AI20)</f>
        <v>54673</v>
      </c>
      <c r="AJ21" s="774">
        <f>SUM(AJ7:AJ20)</f>
        <v>72286</v>
      </c>
      <c r="AK21" s="754">
        <f t="shared" si="9"/>
        <v>1.7109010534320214E-2</v>
      </c>
      <c r="AL21" s="31">
        <f>SUM(AL6:AL20)</f>
        <v>38339</v>
      </c>
      <c r="AM21" s="774">
        <f>SUM(AM7:AM20)</f>
        <v>117286</v>
      </c>
      <c r="AN21" s="754">
        <f t="shared" si="10"/>
        <v>4.1238795195789213E-2</v>
      </c>
      <c r="AO21" s="31">
        <f>SUM(AO6:AO20)</f>
        <v>145102</v>
      </c>
      <c r="AP21" s="774">
        <f>SUM(AP7:AP20)</f>
        <v>153000</v>
      </c>
      <c r="AQ21" s="754">
        <f t="shared" si="11"/>
        <v>5.5888888888888891E-2</v>
      </c>
      <c r="AR21" s="31">
        <f>SUM(AR6:AR20)</f>
        <v>265081</v>
      </c>
      <c r="AS21" s="31"/>
      <c r="AU21" s="31"/>
    </row>
    <row r="22" spans="1:47" x14ac:dyDescent="0.2">
      <c r="A22" s="646"/>
      <c r="B22" s="478"/>
      <c r="C22" s="478"/>
      <c r="D22" s="478"/>
      <c r="E22" s="756"/>
      <c r="F22" s="757"/>
      <c r="G22" s="757"/>
      <c r="H22" s="757"/>
      <c r="I22" s="768"/>
      <c r="J22" s="757"/>
      <c r="K22" s="482"/>
      <c r="L22" s="771"/>
      <c r="M22" s="482"/>
      <c r="N22" s="482"/>
      <c r="O22" s="771"/>
      <c r="P22" s="482"/>
      <c r="Q22" s="482"/>
      <c r="R22" s="771"/>
      <c r="S22" s="482"/>
      <c r="T22" s="482"/>
      <c r="U22" s="771"/>
      <c r="V22" s="482"/>
      <c r="W22" s="482"/>
      <c r="X22" s="771"/>
      <c r="Y22" s="482"/>
      <c r="Z22" s="482"/>
      <c r="AA22" s="771"/>
      <c r="AB22" s="482"/>
      <c r="AC22" s="482"/>
      <c r="AD22" s="771"/>
      <c r="AE22" s="482"/>
      <c r="AF22" s="482"/>
      <c r="AG22" s="771"/>
      <c r="AH22" s="482"/>
      <c r="AI22" s="482"/>
      <c r="AJ22" s="771"/>
      <c r="AK22" s="482"/>
      <c r="AL22" s="482"/>
      <c r="AM22" s="771"/>
      <c r="AN22" s="482"/>
      <c r="AO22" s="482"/>
      <c r="AP22" s="771"/>
      <c r="AQ22" s="482"/>
      <c r="AR22" s="482"/>
    </row>
    <row r="23" spans="1:47" x14ac:dyDescent="0.2">
      <c r="A23" s="646"/>
      <c r="B23" s="478"/>
      <c r="C23" s="478"/>
      <c r="D23" s="478"/>
      <c r="E23" s="756"/>
      <c r="F23" s="757"/>
      <c r="G23" s="757"/>
      <c r="H23" s="757"/>
      <c r="I23" s="768"/>
      <c r="J23" s="757"/>
      <c r="K23" s="482"/>
      <c r="L23" s="771"/>
      <c r="M23" s="482"/>
      <c r="N23" s="482"/>
      <c r="O23" s="771"/>
      <c r="P23" s="482"/>
      <c r="Q23" s="482"/>
      <c r="R23" s="771"/>
      <c r="S23" s="482"/>
      <c r="T23" s="482"/>
      <c r="U23" s="771"/>
      <c r="V23" s="482"/>
      <c r="W23" s="482"/>
      <c r="X23" s="771"/>
      <c r="Y23" s="482"/>
      <c r="Z23" s="482"/>
      <c r="AA23" s="771"/>
      <c r="AB23" s="482"/>
      <c r="AC23" s="482"/>
      <c r="AD23" s="771"/>
      <c r="AE23" s="482"/>
      <c r="AF23" s="482"/>
      <c r="AG23" s="771"/>
      <c r="AH23" s="482"/>
      <c r="AI23" s="482"/>
      <c r="AJ23" s="771"/>
      <c r="AK23" s="482"/>
      <c r="AL23" s="482"/>
      <c r="AM23" s="771"/>
      <c r="AN23" s="482"/>
      <c r="AO23" s="482"/>
      <c r="AP23" s="771"/>
      <c r="AQ23" s="482"/>
      <c r="AR23" s="482"/>
    </row>
    <row r="24" spans="1:47" x14ac:dyDescent="0.2">
      <c r="A24" s="758" t="s">
        <v>619</v>
      </c>
      <c r="B24" s="478"/>
      <c r="C24" s="478"/>
      <c r="D24" s="478"/>
      <c r="E24" s="756"/>
      <c r="F24" s="757"/>
      <c r="G24" s="757"/>
      <c r="H24" s="757"/>
      <c r="I24" s="768"/>
      <c r="J24" s="757"/>
      <c r="K24" s="482"/>
      <c r="L24" s="771"/>
      <c r="M24" s="482"/>
      <c r="N24" s="482"/>
      <c r="O24" s="771"/>
      <c r="P24" s="482"/>
      <c r="Q24" s="482"/>
      <c r="R24" s="771"/>
      <c r="S24" s="482"/>
      <c r="T24" s="482"/>
      <c r="U24" s="771"/>
      <c r="V24" s="482"/>
      <c r="W24" s="482"/>
      <c r="X24" s="771"/>
      <c r="Y24" s="482"/>
      <c r="Z24" s="482"/>
      <c r="AA24" s="771"/>
      <c r="AB24" s="482"/>
      <c r="AC24" s="482"/>
      <c r="AD24" s="771"/>
      <c r="AE24" s="482"/>
      <c r="AF24" s="482"/>
      <c r="AG24" s="771"/>
      <c r="AH24" s="482"/>
      <c r="AI24" s="482"/>
      <c r="AJ24" s="771"/>
      <c r="AK24" s="482"/>
      <c r="AL24" s="482"/>
      <c r="AM24" s="771"/>
      <c r="AN24" s="482"/>
      <c r="AO24" s="482"/>
      <c r="AP24" s="771"/>
      <c r="AQ24" s="482"/>
      <c r="AR24" s="482"/>
    </row>
    <row r="25" spans="1:47" s="29" customFormat="1" x14ac:dyDescent="0.2">
      <c r="A25" s="605">
        <v>27370</v>
      </c>
      <c r="B25" s="605" t="s">
        <v>306</v>
      </c>
      <c r="C25" s="602">
        <v>36892</v>
      </c>
      <c r="D25" s="602">
        <v>37621</v>
      </c>
      <c r="E25" s="763">
        <v>22000</v>
      </c>
      <c r="F25" s="764">
        <v>0.105</v>
      </c>
      <c r="G25" s="764">
        <v>3.3E-3</v>
      </c>
      <c r="H25" s="764">
        <f>SUM(F25:G25)</f>
        <v>0.10829999999999999</v>
      </c>
      <c r="I25" s="772">
        <v>22000</v>
      </c>
      <c r="J25" s="764">
        <v>0.105</v>
      </c>
      <c r="K25" s="32">
        <f>ROUND($E25*$F25*K$7,0)</f>
        <v>71610</v>
      </c>
      <c r="L25" s="772">
        <v>22000</v>
      </c>
      <c r="M25" s="764">
        <v>0.105</v>
      </c>
      <c r="N25" s="32">
        <f>ROUND($E25*$F25*N$7,0)</f>
        <v>64680</v>
      </c>
      <c r="O25" s="772">
        <v>22000</v>
      </c>
      <c r="P25" s="764">
        <v>0.105</v>
      </c>
      <c r="Q25" s="32">
        <f>ROUND($E25*$F25*Q$7,0)</f>
        <v>71610</v>
      </c>
      <c r="R25" s="772">
        <v>22000</v>
      </c>
      <c r="S25" s="764">
        <v>0.105</v>
      </c>
      <c r="T25" s="32">
        <f>ROUND($E25*$F25*T$7,0)</f>
        <v>69300</v>
      </c>
      <c r="U25" s="772">
        <v>22000</v>
      </c>
      <c r="V25" s="764">
        <v>0.105</v>
      </c>
      <c r="W25" s="32">
        <f>ROUND($E25*$F25*W$7,0)</f>
        <v>71610</v>
      </c>
      <c r="X25" s="772">
        <v>22000</v>
      </c>
      <c r="Y25" s="764">
        <v>0.105</v>
      </c>
      <c r="Z25" s="32">
        <f>ROUND($E25*$F25*Z$7,0)</f>
        <v>69300</v>
      </c>
      <c r="AA25" s="772">
        <v>22000</v>
      </c>
      <c r="AB25" s="764">
        <v>0.105</v>
      </c>
      <c r="AC25" s="32">
        <f>ROUND($E25*$F25*AC$7,0)</f>
        <v>71610</v>
      </c>
      <c r="AD25" s="772">
        <v>22000</v>
      </c>
      <c r="AE25" s="764">
        <v>0.105</v>
      </c>
      <c r="AF25" s="32">
        <f>ROUND($E25*$F25*AF$7,0)</f>
        <v>71610</v>
      </c>
      <c r="AG25" s="772">
        <v>22000</v>
      </c>
      <c r="AH25" s="764">
        <v>0.105</v>
      </c>
      <c r="AI25" s="32">
        <f>ROUND($E25*$F25*AI$7,0)</f>
        <v>69300</v>
      </c>
      <c r="AJ25" s="772">
        <v>22000</v>
      </c>
      <c r="AK25" s="764">
        <v>0.105</v>
      </c>
      <c r="AL25" s="32">
        <f>ROUND($E25*$F25*AL$7,0)</f>
        <v>71610</v>
      </c>
      <c r="AM25" s="772">
        <v>22000</v>
      </c>
      <c r="AN25" s="764">
        <v>0.105</v>
      </c>
      <c r="AO25" s="32">
        <f>ROUND($E25*$F25*AO$7,0)</f>
        <v>69300</v>
      </c>
      <c r="AP25" s="772">
        <v>22000</v>
      </c>
      <c r="AQ25" s="764">
        <v>0.105</v>
      </c>
      <c r="AR25" s="32">
        <f>ROUND($E25*$F25*AR$7,0)</f>
        <v>71610</v>
      </c>
      <c r="AU25" s="33">
        <f>AR25+AO25+AL25+AI25+AF25+AC25+Z25+W25+T25+Q25+N25+K25</f>
        <v>843150</v>
      </c>
    </row>
    <row r="26" spans="1:47" s="29" customFormat="1" x14ac:dyDescent="0.2">
      <c r="A26" s="605" t="s">
        <v>712</v>
      </c>
      <c r="B26" s="605"/>
      <c r="C26" s="602">
        <v>37438</v>
      </c>
      <c r="D26" s="602">
        <v>37529</v>
      </c>
      <c r="E26" s="763">
        <v>29000</v>
      </c>
      <c r="F26" s="764">
        <v>0.04</v>
      </c>
      <c r="G26" s="764" t="s">
        <v>718</v>
      </c>
      <c r="H26" s="764" t="s">
        <v>718</v>
      </c>
      <c r="I26" s="775"/>
      <c r="J26" s="764"/>
      <c r="K26" s="39">
        <v>0</v>
      </c>
      <c r="L26" s="775"/>
      <c r="M26" s="764"/>
      <c r="N26" s="39">
        <v>0</v>
      </c>
      <c r="O26" s="775"/>
      <c r="P26" s="764"/>
      <c r="Q26" s="39">
        <v>0</v>
      </c>
      <c r="R26" s="775"/>
      <c r="S26" s="764"/>
      <c r="T26" s="39">
        <v>0</v>
      </c>
      <c r="U26" s="775"/>
      <c r="V26" s="764"/>
      <c r="W26" s="39">
        <v>0</v>
      </c>
      <c r="X26" s="775"/>
      <c r="Y26" s="764"/>
      <c r="Z26" s="39">
        <v>0</v>
      </c>
      <c r="AA26" s="775">
        <f>$E$26</f>
        <v>29000</v>
      </c>
      <c r="AB26" s="764">
        <f>$F$26</f>
        <v>0.04</v>
      </c>
      <c r="AC26" s="39">
        <f>ROUND($E26*$F26*AC$7,0)</f>
        <v>35960</v>
      </c>
      <c r="AD26" s="775">
        <f>$E$26</f>
        <v>29000</v>
      </c>
      <c r="AE26" s="764">
        <f>$F$26</f>
        <v>0.04</v>
      </c>
      <c r="AF26" s="39">
        <f>ROUND($E26*$F26*AF$7,0)</f>
        <v>35960</v>
      </c>
      <c r="AG26" s="775">
        <f>$E$26</f>
        <v>29000</v>
      </c>
      <c r="AH26" s="764">
        <f>$F$26</f>
        <v>0.04</v>
      </c>
      <c r="AI26" s="39">
        <f>ROUND($E26*$F26*AI$7,0)</f>
        <v>34800</v>
      </c>
      <c r="AJ26" s="775"/>
      <c r="AK26" s="764"/>
      <c r="AL26" s="39">
        <v>0</v>
      </c>
      <c r="AM26" s="775"/>
      <c r="AN26" s="764"/>
      <c r="AO26" s="39">
        <v>0</v>
      </c>
      <c r="AP26" s="775"/>
      <c r="AQ26" s="764"/>
      <c r="AR26" s="39">
        <v>0</v>
      </c>
      <c r="AU26" s="33">
        <f>AR26+AO26+AL26+AI26+AF26+AC26+Z26+W26+T26+Q26+N26+K26</f>
        <v>106720</v>
      </c>
    </row>
    <row r="27" spans="1:47" s="29" customFormat="1" x14ac:dyDescent="0.2">
      <c r="A27" s="605"/>
      <c r="B27" s="605"/>
      <c r="C27" s="762"/>
      <c r="D27" s="762"/>
      <c r="E27" s="763"/>
      <c r="F27" s="764"/>
      <c r="G27" s="764"/>
      <c r="H27" s="764"/>
      <c r="I27" s="772"/>
      <c r="J27" s="764"/>
      <c r="K27" s="822"/>
      <c r="L27" s="772"/>
      <c r="M27" s="764"/>
      <c r="N27" s="822"/>
      <c r="O27" s="772"/>
      <c r="P27" s="764"/>
      <c r="Q27" s="822"/>
      <c r="R27" s="772"/>
      <c r="S27" s="764"/>
      <c r="T27" s="822"/>
      <c r="U27" s="772"/>
      <c r="V27" s="764"/>
      <c r="W27" s="822"/>
      <c r="X27" s="772"/>
      <c r="Y27" s="764"/>
      <c r="Z27" s="822"/>
      <c r="AA27" s="772"/>
      <c r="AB27" s="764"/>
      <c r="AC27" s="822"/>
      <c r="AD27" s="772"/>
      <c r="AE27" s="764"/>
      <c r="AF27" s="822"/>
      <c r="AG27" s="772"/>
      <c r="AH27" s="764"/>
      <c r="AI27" s="822"/>
      <c r="AJ27" s="772"/>
      <c r="AK27" s="764"/>
      <c r="AL27" s="822"/>
      <c r="AM27" s="772"/>
      <c r="AN27" s="764"/>
      <c r="AO27" s="822"/>
      <c r="AP27" s="772"/>
      <c r="AQ27" s="764"/>
      <c r="AR27" s="822"/>
      <c r="AU27" s="33"/>
    </row>
    <row r="28" spans="1:47" s="42" customFormat="1" x14ac:dyDescent="0.2">
      <c r="A28" s="741" t="s">
        <v>620</v>
      </c>
      <c r="B28" s="759"/>
      <c r="C28" s="52"/>
      <c r="D28" s="52"/>
      <c r="E28" s="760"/>
      <c r="F28" s="761"/>
      <c r="G28" s="761"/>
      <c r="H28" s="761"/>
      <c r="I28" s="776">
        <f>SUM(I25:I26)</f>
        <v>22000</v>
      </c>
      <c r="J28" s="761">
        <f>IF(I28&gt;0,K28/I28/K$7,0)</f>
        <v>0.105</v>
      </c>
      <c r="K28" s="31">
        <f>SUM(K25:K26)</f>
        <v>71610</v>
      </c>
      <c r="L28" s="776">
        <f>SUM(L25:L26)</f>
        <v>22000</v>
      </c>
      <c r="M28" s="761">
        <f>IF(L28&gt;0,N28/L28/N$7,0)</f>
        <v>0.105</v>
      </c>
      <c r="N28" s="31">
        <f>SUM(N25:N26)</f>
        <v>64680</v>
      </c>
      <c r="O28" s="776">
        <f>SUM(O25:O26)</f>
        <v>22000</v>
      </c>
      <c r="P28" s="761">
        <f>IF(O28&gt;0,Q28/O28/Q$7,0)</f>
        <v>0.105</v>
      </c>
      <c r="Q28" s="31">
        <f>SUM(Q25:Q26)</f>
        <v>71610</v>
      </c>
      <c r="R28" s="776">
        <f>SUM(R25:R26)</f>
        <v>22000</v>
      </c>
      <c r="S28" s="761">
        <f>IF(R28&gt;0,T28/R28/T$7,0)</f>
        <v>0.105</v>
      </c>
      <c r="T28" s="31">
        <f>SUM(T25:T26)</f>
        <v>69300</v>
      </c>
      <c r="U28" s="776">
        <f>SUM(U25:U26)</f>
        <v>22000</v>
      </c>
      <c r="V28" s="761">
        <f>IF(U28&gt;0,W28/U28/W$7,0)</f>
        <v>0.105</v>
      </c>
      <c r="W28" s="31">
        <f>SUM(W25:W26)</f>
        <v>71610</v>
      </c>
      <c r="X28" s="776">
        <f>SUM(X25:X26)</f>
        <v>22000</v>
      </c>
      <c r="Y28" s="761">
        <f>IF(X28&gt;0,Z28/X28/Z$7,0)</f>
        <v>0.105</v>
      </c>
      <c r="Z28" s="31">
        <f>SUM(Z25:Z26)</f>
        <v>69300</v>
      </c>
      <c r="AA28" s="776">
        <f>SUM(AA25:AA26)</f>
        <v>51000</v>
      </c>
      <c r="AB28" s="761">
        <f>IF(AA28&gt;0,AC28/AA28/AC$7,0)</f>
        <v>6.803921568627451E-2</v>
      </c>
      <c r="AC28" s="31">
        <f>SUM(AC25:AC26)</f>
        <v>107570</v>
      </c>
      <c r="AD28" s="776">
        <f>SUM(AD25:AD26)</f>
        <v>51000</v>
      </c>
      <c r="AE28" s="761">
        <f>IF(AD28&gt;0,AF28/AD28/AF$7,0)</f>
        <v>6.803921568627451E-2</v>
      </c>
      <c r="AF28" s="31">
        <f>SUM(AF25:AF26)</f>
        <v>107570</v>
      </c>
      <c r="AG28" s="776">
        <f>SUM(AG25:AG26)</f>
        <v>51000</v>
      </c>
      <c r="AH28" s="761">
        <f>IF(AG28&gt;0,AI28/AG28/AI$7,0)</f>
        <v>6.803921568627451E-2</v>
      </c>
      <c r="AI28" s="31">
        <f>SUM(AI25:AI26)</f>
        <v>104100</v>
      </c>
      <c r="AJ28" s="776">
        <f>SUM(AJ25:AJ26)</f>
        <v>22000</v>
      </c>
      <c r="AK28" s="761">
        <f>IF(AJ28&gt;0,AL28/AJ28/AL$7,0)</f>
        <v>0.105</v>
      </c>
      <c r="AL28" s="31">
        <f>SUM(AL25:AL26)</f>
        <v>71610</v>
      </c>
      <c r="AM28" s="776">
        <f>SUM(AM25:AM26)</f>
        <v>22000</v>
      </c>
      <c r="AN28" s="761">
        <f>IF(AM28&gt;0,AO28/AM28/AO$7,0)</f>
        <v>0.105</v>
      </c>
      <c r="AO28" s="31">
        <f>SUM(AO25:AO26)</f>
        <v>69300</v>
      </c>
      <c r="AP28" s="776">
        <f>SUM(AP25:AP26)</f>
        <v>22000</v>
      </c>
      <c r="AQ28" s="761">
        <f>IF(AP28&gt;0,AR28/AP28/AR$7,0)</f>
        <v>0.105</v>
      </c>
      <c r="AR28" s="31">
        <f>SUM(AR25:AR26)</f>
        <v>71610</v>
      </c>
    </row>
    <row r="29" spans="1:47" s="29" customFormat="1" x14ac:dyDescent="0.2">
      <c r="A29" s="605"/>
      <c r="B29" s="605"/>
      <c r="C29" s="762"/>
      <c r="D29" s="762"/>
      <c r="E29" s="763"/>
      <c r="F29" s="764"/>
      <c r="G29" s="764"/>
      <c r="H29" s="764"/>
      <c r="I29" s="772"/>
      <c r="J29" s="764"/>
      <c r="K29" s="533"/>
      <c r="L29" s="772"/>
      <c r="M29" s="764"/>
      <c r="N29" s="533"/>
      <c r="O29" s="772"/>
      <c r="P29" s="764"/>
      <c r="Q29" s="533"/>
      <c r="R29" s="772"/>
      <c r="S29" s="764"/>
      <c r="T29" s="533"/>
      <c r="U29" s="772"/>
      <c r="V29" s="764"/>
      <c r="W29" s="533"/>
      <c r="X29" s="772"/>
      <c r="Y29" s="764"/>
      <c r="Z29" s="533"/>
      <c r="AA29" s="772"/>
      <c r="AB29" s="764"/>
      <c r="AC29" s="533"/>
      <c r="AD29" s="772"/>
      <c r="AE29" s="764"/>
      <c r="AF29" s="533"/>
      <c r="AG29" s="772"/>
      <c r="AH29" s="764"/>
      <c r="AI29" s="533"/>
      <c r="AJ29" s="772"/>
      <c r="AK29" s="764"/>
      <c r="AL29" s="533"/>
      <c r="AM29" s="772"/>
      <c r="AN29" s="764"/>
      <c r="AO29" s="533"/>
      <c r="AP29" s="772"/>
      <c r="AQ29" s="764"/>
      <c r="AR29" s="533"/>
    </row>
    <row r="30" spans="1:47" s="29" customFormat="1" x14ac:dyDescent="0.2">
      <c r="A30" s="605"/>
      <c r="B30" s="605"/>
      <c r="C30" s="762"/>
      <c r="D30" s="762"/>
      <c r="E30" s="763"/>
      <c r="F30" s="764"/>
      <c r="G30" s="764"/>
      <c r="H30" s="764"/>
      <c r="I30" s="772"/>
      <c r="J30" s="764"/>
      <c r="K30" s="533"/>
      <c r="L30" s="772"/>
      <c r="M30" s="764"/>
      <c r="N30" s="533"/>
      <c r="O30" s="772"/>
      <c r="P30" s="764"/>
      <c r="Q30" s="533"/>
      <c r="R30" s="772"/>
      <c r="S30" s="764"/>
      <c r="T30" s="533"/>
      <c r="U30" s="772"/>
      <c r="V30" s="764"/>
      <c r="W30" s="533"/>
      <c r="X30" s="772"/>
      <c r="Y30" s="764"/>
      <c r="Z30" s="533"/>
      <c r="AA30" s="772"/>
      <c r="AB30" s="764"/>
      <c r="AC30" s="533"/>
      <c r="AD30" s="772"/>
      <c r="AE30" s="764"/>
      <c r="AF30" s="533"/>
      <c r="AG30" s="772"/>
      <c r="AH30" s="764"/>
      <c r="AI30" s="533"/>
      <c r="AJ30" s="772"/>
      <c r="AK30" s="764"/>
      <c r="AL30" s="533"/>
      <c r="AM30" s="772"/>
      <c r="AN30" s="764"/>
      <c r="AO30" s="533"/>
      <c r="AP30" s="772"/>
      <c r="AQ30" s="764"/>
      <c r="AR30" s="533"/>
    </row>
    <row r="31" spans="1:47" x14ac:dyDescent="0.2">
      <c r="A31" s="758" t="s">
        <v>772</v>
      </c>
      <c r="B31" s="478"/>
      <c r="C31" s="478"/>
      <c r="D31" s="478"/>
      <c r="E31" s="756"/>
      <c r="F31" s="757"/>
      <c r="G31" s="757"/>
      <c r="H31" s="757"/>
      <c r="I31" s="768"/>
      <c r="J31" s="757"/>
      <c r="K31" s="482"/>
      <c r="L31" s="771"/>
      <c r="M31" s="482"/>
      <c r="N31" s="482"/>
      <c r="O31" s="771"/>
      <c r="P31" s="482"/>
      <c r="Q31" s="482"/>
      <c r="R31" s="771"/>
      <c r="S31" s="482"/>
      <c r="T31" s="482"/>
      <c r="U31" s="771"/>
      <c r="V31" s="482"/>
      <c r="W31" s="482"/>
      <c r="X31" s="771"/>
      <c r="Y31" s="482"/>
      <c r="Z31" s="482"/>
      <c r="AA31" s="771"/>
      <c r="AB31" s="482"/>
      <c r="AC31" s="482"/>
      <c r="AD31" s="771"/>
      <c r="AE31" s="482"/>
      <c r="AF31" s="482"/>
      <c r="AG31" s="771"/>
      <c r="AH31" s="482"/>
      <c r="AI31" s="482"/>
      <c r="AJ31" s="771"/>
      <c r="AK31" s="482"/>
      <c r="AL31" s="482"/>
      <c r="AM31" s="771"/>
      <c r="AN31" s="482"/>
      <c r="AO31" s="482"/>
      <c r="AP31" s="771"/>
      <c r="AQ31" s="482"/>
      <c r="AR31" s="482"/>
    </row>
    <row r="32" spans="1:47" s="29" customFormat="1" x14ac:dyDescent="0.2">
      <c r="A32" s="180">
        <v>27342</v>
      </c>
      <c r="B32" s="175" t="s">
        <v>525</v>
      </c>
      <c r="C32" s="181">
        <v>36892</v>
      </c>
      <c r="D32" s="181">
        <v>37256</v>
      </c>
      <c r="E32" s="763">
        <v>30000</v>
      </c>
      <c r="F32" s="764">
        <v>0.02</v>
      </c>
      <c r="G32" s="764">
        <v>0</v>
      </c>
      <c r="H32" s="764">
        <f>SUM(F32:G32)</f>
        <v>0.02</v>
      </c>
      <c r="I32" s="772">
        <f>$E$32</f>
        <v>30000</v>
      </c>
      <c r="J32" s="764">
        <f>$F$32</f>
        <v>0.02</v>
      </c>
      <c r="K32" s="32">
        <f>ROUND($E32*$F32*K$7,0)</f>
        <v>18600</v>
      </c>
      <c r="L32" s="772">
        <f>$E$32</f>
        <v>30000</v>
      </c>
      <c r="M32" s="764">
        <f>$F$32</f>
        <v>0.02</v>
      </c>
      <c r="N32" s="32">
        <f>ROUND($E32*$F32*N$7,0)</f>
        <v>16800</v>
      </c>
      <c r="O32" s="772">
        <f>$E$32</f>
        <v>30000</v>
      </c>
      <c r="P32" s="764">
        <f>$F$32</f>
        <v>0.02</v>
      </c>
      <c r="Q32" s="32">
        <f>ROUND($E32*$F32*Q$7,0)</f>
        <v>18600</v>
      </c>
      <c r="R32" s="772">
        <f>$E$32</f>
        <v>30000</v>
      </c>
      <c r="S32" s="764">
        <f>$F$32</f>
        <v>0.02</v>
      </c>
      <c r="T32" s="32">
        <f>ROUND($E32*$F32*T$7,0)</f>
        <v>18000</v>
      </c>
      <c r="U32" s="772">
        <f>$E$32</f>
        <v>30000</v>
      </c>
      <c r="V32" s="764">
        <f>$F$32</f>
        <v>0.02</v>
      </c>
      <c r="W32" s="32">
        <f>ROUND($E32*$F32*W$7,0)</f>
        <v>18600</v>
      </c>
      <c r="X32" s="772">
        <f>$E$32</f>
        <v>30000</v>
      </c>
      <c r="Y32" s="764">
        <f>$F$32</f>
        <v>0.02</v>
      </c>
      <c r="Z32" s="32">
        <f>ROUND($E32*$F32*Z$7,0)</f>
        <v>18000</v>
      </c>
      <c r="AA32" s="772">
        <f>$E$32</f>
        <v>30000</v>
      </c>
      <c r="AB32" s="764">
        <f>$F$32</f>
        <v>0.02</v>
      </c>
      <c r="AC32" s="32">
        <f>ROUND($E32*$F32*AC$7,0)</f>
        <v>18600</v>
      </c>
      <c r="AD32" s="772">
        <f>$E$32</f>
        <v>30000</v>
      </c>
      <c r="AE32" s="764">
        <f>$F$32</f>
        <v>0.02</v>
      </c>
      <c r="AF32" s="32">
        <f>ROUND($E32*$F32*AF$7,0)</f>
        <v>18600</v>
      </c>
      <c r="AG32" s="772">
        <f>$E$32</f>
        <v>30000</v>
      </c>
      <c r="AH32" s="764">
        <f>$F$32</f>
        <v>0.02</v>
      </c>
      <c r="AI32" s="32">
        <f>ROUND($E32*$F32*AI$7,0)</f>
        <v>18000</v>
      </c>
      <c r="AJ32" s="772">
        <f>$E$32</f>
        <v>30000</v>
      </c>
      <c r="AK32" s="764">
        <f>$F$32</f>
        <v>0.02</v>
      </c>
      <c r="AL32" s="32">
        <f>ROUND($E32*$F32*AL$7,0)</f>
        <v>18600</v>
      </c>
      <c r="AM32" s="772">
        <f>$E$32</f>
        <v>30000</v>
      </c>
      <c r="AN32" s="764">
        <f>$F$32</f>
        <v>0.02</v>
      </c>
      <c r="AO32" s="32">
        <f>ROUND($E32*$F32*AO$7,0)</f>
        <v>18000</v>
      </c>
      <c r="AP32" s="772">
        <f>$E$32</f>
        <v>30000</v>
      </c>
      <c r="AQ32" s="764">
        <f>$F$32</f>
        <v>0.02</v>
      </c>
      <c r="AR32" s="32">
        <f>ROUND($E32*$F32*AR$7,0)</f>
        <v>18600</v>
      </c>
      <c r="AU32" s="33">
        <f>AR32+AO32+AL32+AI32+AF32+AC32+Z32+W32+T32+Q32+N32+K32</f>
        <v>219000</v>
      </c>
    </row>
    <row r="33" spans="1:47" s="29" customFormat="1" x14ac:dyDescent="0.2">
      <c r="A33" s="762">
        <v>24927</v>
      </c>
      <c r="B33" s="605" t="s">
        <v>773</v>
      </c>
      <c r="C33" s="602">
        <v>35309</v>
      </c>
      <c r="D33" s="602">
        <v>38748</v>
      </c>
      <c r="E33" s="763">
        <v>30000</v>
      </c>
      <c r="F33" s="764">
        <f>0.04-0.102</f>
        <v>-6.1999999999999993E-2</v>
      </c>
      <c r="G33" s="1073" t="s">
        <v>786</v>
      </c>
      <c r="H33" s="764"/>
      <c r="I33" s="775"/>
      <c r="J33" s="764">
        <f>0.035-0.102</f>
        <v>-6.699999999999999E-2</v>
      </c>
      <c r="K33" s="39">
        <f>ROUND($E33*J33*K$7,0)</f>
        <v>-62310</v>
      </c>
      <c r="L33" s="775"/>
      <c r="M33" s="764">
        <f>0.035-0.102</f>
        <v>-6.699999999999999E-2</v>
      </c>
      <c r="N33" s="39">
        <f>ROUND($E33*M33*N$7,0)</f>
        <v>-56280</v>
      </c>
      <c r="O33" s="775"/>
      <c r="P33" s="764">
        <f>0.035-0.102</f>
        <v>-6.699999999999999E-2</v>
      </c>
      <c r="Q33" s="39">
        <f>ROUND($E33*P33*Q$7,0)</f>
        <v>-62310</v>
      </c>
      <c r="R33" s="775"/>
      <c r="S33" s="764">
        <f>F33</f>
        <v>-6.1999999999999993E-2</v>
      </c>
      <c r="T33" s="39">
        <f>ROUND($E33*$F33*T$7,0)</f>
        <v>-55800</v>
      </c>
      <c r="U33" s="775"/>
      <c r="V33" s="764">
        <f>I33</f>
        <v>0</v>
      </c>
      <c r="W33" s="39">
        <f>ROUND($E33*$F33*W$7,0)</f>
        <v>-57660</v>
      </c>
      <c r="X33" s="775"/>
      <c r="Y33" s="764">
        <f>L33</f>
        <v>0</v>
      </c>
      <c r="Z33" s="39">
        <f>ROUND($E33*$F33*Z$7,0)</f>
        <v>-55800</v>
      </c>
      <c r="AA33" s="775"/>
      <c r="AB33" s="764">
        <f>O33</f>
        <v>0</v>
      </c>
      <c r="AC33" s="39">
        <f>ROUND($E33*$F33*AC$7,0)</f>
        <v>-57660</v>
      </c>
      <c r="AD33" s="775"/>
      <c r="AE33" s="764">
        <f>R33</f>
        <v>0</v>
      </c>
      <c r="AF33" s="39">
        <f>ROUND($E33*$F33*AF$7,0)</f>
        <v>-57660</v>
      </c>
      <c r="AG33" s="775"/>
      <c r="AH33" s="764">
        <f>U33</f>
        <v>0</v>
      </c>
      <c r="AI33" s="39">
        <f>ROUND($E33*$F33*AI$7,0)</f>
        <v>-55800</v>
      </c>
      <c r="AJ33" s="775"/>
      <c r="AK33" s="764">
        <f>X33</f>
        <v>0</v>
      </c>
      <c r="AL33" s="39">
        <f>ROUND($E33*$F33*AL$7,0)</f>
        <v>-57660</v>
      </c>
      <c r="AM33" s="775"/>
      <c r="AN33" s="764">
        <f>0.035-0.102</f>
        <v>-6.699999999999999E-2</v>
      </c>
      <c r="AO33" s="39">
        <f>ROUND($E33*AN33*AO$7,0)</f>
        <v>-60300</v>
      </c>
      <c r="AP33" s="775"/>
      <c r="AQ33" s="764">
        <f>0.035-0.102</f>
        <v>-6.699999999999999E-2</v>
      </c>
      <c r="AR33" s="39">
        <f>ROUND($E33*AQ33*AR$7,0)</f>
        <v>-62310</v>
      </c>
      <c r="AU33" s="33">
        <f>AR33+AO33+AL33+AI33+AF33+AC33+Z33+W33+T33+Q33+N33+K33</f>
        <v>-701550</v>
      </c>
    </row>
    <row r="34" spans="1:47" s="42" customFormat="1" x14ac:dyDescent="0.2">
      <c r="A34" s="741" t="s">
        <v>750</v>
      </c>
      <c r="B34" s="759"/>
      <c r="C34" s="52"/>
      <c r="D34" s="52"/>
      <c r="E34" s="760"/>
      <c r="F34" s="761"/>
      <c r="G34" s="761"/>
      <c r="H34" s="761"/>
      <c r="I34" s="776">
        <f>SUM(I32:I33)</f>
        <v>30000</v>
      </c>
      <c r="J34" s="776">
        <f t="shared" ref="J34:AR34" si="13">SUM(J32:J33)</f>
        <v>-4.6999999999999986E-2</v>
      </c>
      <c r="K34" s="776">
        <f t="shared" si="13"/>
        <v>-43710</v>
      </c>
      <c r="L34" s="776">
        <f t="shared" si="13"/>
        <v>30000</v>
      </c>
      <c r="M34" s="776">
        <f t="shared" si="13"/>
        <v>-4.6999999999999986E-2</v>
      </c>
      <c r="N34" s="776">
        <f t="shared" si="13"/>
        <v>-39480</v>
      </c>
      <c r="O34" s="776">
        <f t="shared" si="13"/>
        <v>30000</v>
      </c>
      <c r="P34" s="776">
        <f t="shared" si="13"/>
        <v>-4.6999999999999986E-2</v>
      </c>
      <c r="Q34" s="776">
        <f t="shared" si="13"/>
        <v>-43710</v>
      </c>
      <c r="R34" s="776">
        <f t="shared" si="13"/>
        <v>30000</v>
      </c>
      <c r="S34" s="776">
        <f t="shared" si="13"/>
        <v>-4.1999999999999996E-2</v>
      </c>
      <c r="T34" s="776">
        <f t="shared" si="13"/>
        <v>-37800</v>
      </c>
      <c r="U34" s="776">
        <f t="shared" si="13"/>
        <v>30000</v>
      </c>
      <c r="V34" s="776">
        <f t="shared" si="13"/>
        <v>0.02</v>
      </c>
      <c r="W34" s="776">
        <f t="shared" si="13"/>
        <v>-39060</v>
      </c>
      <c r="X34" s="776">
        <f t="shared" si="13"/>
        <v>30000</v>
      </c>
      <c r="Y34" s="776">
        <f t="shared" si="13"/>
        <v>0.02</v>
      </c>
      <c r="Z34" s="776">
        <f t="shared" si="13"/>
        <v>-37800</v>
      </c>
      <c r="AA34" s="776">
        <f t="shared" si="13"/>
        <v>30000</v>
      </c>
      <c r="AB34" s="776">
        <f t="shared" si="13"/>
        <v>0.02</v>
      </c>
      <c r="AC34" s="776">
        <f t="shared" si="13"/>
        <v>-39060</v>
      </c>
      <c r="AD34" s="776">
        <f t="shared" si="13"/>
        <v>30000</v>
      </c>
      <c r="AE34" s="776">
        <f t="shared" si="13"/>
        <v>0.02</v>
      </c>
      <c r="AF34" s="776">
        <f t="shared" si="13"/>
        <v>-39060</v>
      </c>
      <c r="AG34" s="776">
        <f t="shared" si="13"/>
        <v>30000</v>
      </c>
      <c r="AH34" s="776">
        <f t="shared" si="13"/>
        <v>0.02</v>
      </c>
      <c r="AI34" s="776">
        <f t="shared" si="13"/>
        <v>-37800</v>
      </c>
      <c r="AJ34" s="776">
        <f t="shared" si="13"/>
        <v>30000</v>
      </c>
      <c r="AK34" s="776">
        <f t="shared" si="13"/>
        <v>0.02</v>
      </c>
      <c r="AL34" s="776">
        <f t="shared" si="13"/>
        <v>-39060</v>
      </c>
      <c r="AM34" s="776">
        <f t="shared" si="13"/>
        <v>30000</v>
      </c>
      <c r="AN34" s="776">
        <f t="shared" si="13"/>
        <v>-4.6999999999999986E-2</v>
      </c>
      <c r="AO34" s="776">
        <f t="shared" si="13"/>
        <v>-42300</v>
      </c>
      <c r="AP34" s="776">
        <f t="shared" si="13"/>
        <v>30000</v>
      </c>
      <c r="AQ34" s="776">
        <f t="shared" si="13"/>
        <v>-4.6999999999999986E-2</v>
      </c>
      <c r="AR34" s="776">
        <f t="shared" si="13"/>
        <v>-43710</v>
      </c>
      <c r="AU34" s="33"/>
    </row>
    <row r="35" spans="1:47" s="29" customFormat="1" x14ac:dyDescent="0.2">
      <c r="A35" s="605"/>
      <c r="B35" s="605"/>
      <c r="C35" s="762"/>
      <c r="D35" s="762"/>
      <c r="E35" s="763"/>
      <c r="F35" s="764"/>
      <c r="G35" s="764"/>
      <c r="H35" s="764"/>
      <c r="I35" s="772"/>
      <c r="J35" s="764"/>
      <c r="K35" s="533"/>
      <c r="L35" s="772"/>
      <c r="M35" s="764"/>
      <c r="N35" s="533"/>
      <c r="O35" s="772"/>
      <c r="P35" s="764"/>
      <c r="Q35" s="533"/>
      <c r="R35" s="772"/>
      <c r="S35" s="764"/>
      <c r="T35" s="533"/>
      <c r="U35" s="772"/>
      <c r="V35" s="764"/>
      <c r="W35" s="533"/>
      <c r="X35" s="772"/>
      <c r="Y35" s="764"/>
      <c r="Z35" s="533"/>
      <c r="AA35" s="772"/>
      <c r="AB35" s="764"/>
      <c r="AC35" s="533"/>
      <c r="AD35" s="772"/>
      <c r="AE35" s="764"/>
      <c r="AF35" s="533"/>
      <c r="AG35" s="772"/>
      <c r="AH35" s="764"/>
      <c r="AI35" s="533"/>
      <c r="AJ35" s="772"/>
      <c r="AK35" s="764"/>
      <c r="AL35" s="533"/>
      <c r="AM35" s="772"/>
      <c r="AN35" s="764"/>
      <c r="AO35" s="533"/>
      <c r="AP35" s="772"/>
      <c r="AQ35" s="764"/>
      <c r="AR35" s="533"/>
    </row>
    <row r="36" spans="1:47" s="29" customFormat="1" x14ac:dyDescent="0.2">
      <c r="A36" s="605"/>
      <c r="B36" s="605"/>
      <c r="C36" s="762"/>
      <c r="D36" s="762"/>
      <c r="E36" s="763"/>
      <c r="F36" s="764"/>
      <c r="G36" s="764"/>
      <c r="H36" s="764"/>
      <c r="I36" s="772"/>
      <c r="J36" s="764"/>
      <c r="K36" s="533"/>
      <c r="L36" s="772"/>
      <c r="M36" s="764"/>
      <c r="N36" s="533"/>
      <c r="O36" s="772"/>
      <c r="P36" s="764"/>
      <c r="Q36" s="533"/>
      <c r="R36" s="772"/>
      <c r="S36" s="764"/>
      <c r="T36" s="533"/>
      <c r="U36" s="772"/>
      <c r="V36" s="764"/>
      <c r="W36" s="533"/>
      <c r="X36" s="772"/>
      <c r="Y36" s="764"/>
      <c r="Z36" s="533"/>
      <c r="AA36" s="772"/>
      <c r="AB36" s="764"/>
      <c r="AC36" s="533"/>
      <c r="AD36" s="772"/>
      <c r="AE36" s="764"/>
      <c r="AF36" s="533"/>
      <c r="AG36" s="772"/>
      <c r="AH36" s="764"/>
      <c r="AI36" s="533"/>
      <c r="AJ36" s="772"/>
      <c r="AK36" s="764"/>
      <c r="AL36" s="533"/>
      <c r="AM36" s="772"/>
      <c r="AN36" s="764"/>
      <c r="AO36" s="533"/>
      <c r="AP36" s="772"/>
      <c r="AQ36" s="764"/>
      <c r="AR36" s="533"/>
    </row>
    <row r="37" spans="1:47" x14ac:dyDescent="0.2">
      <c r="A37" s="743" t="s">
        <v>654</v>
      </c>
      <c r="I37" s="455"/>
      <c r="K37" s="32"/>
      <c r="L37" s="455"/>
      <c r="M37" s="748"/>
      <c r="N37" s="32"/>
      <c r="O37" s="455"/>
      <c r="P37" s="748"/>
      <c r="Q37" s="32"/>
      <c r="R37" s="455"/>
      <c r="S37" s="748"/>
      <c r="T37" s="32"/>
      <c r="U37" s="455"/>
      <c r="V37" s="748"/>
      <c r="W37" s="32"/>
      <c r="X37" s="455"/>
      <c r="Y37" s="748"/>
      <c r="Z37" s="32"/>
      <c r="AA37" s="455"/>
      <c r="AB37" s="748"/>
      <c r="AC37" s="32"/>
      <c r="AD37" s="455"/>
      <c r="AE37" s="748"/>
      <c r="AF37" s="32"/>
      <c r="AG37" s="455"/>
      <c r="AH37" s="748"/>
      <c r="AI37" s="32"/>
      <c r="AJ37" s="455"/>
      <c r="AK37" s="748"/>
      <c r="AL37" s="32"/>
      <c r="AM37" s="455"/>
      <c r="AN37" s="748"/>
      <c r="AO37" s="32"/>
      <c r="AP37" s="455"/>
      <c r="AQ37" s="748"/>
      <c r="AR37" s="32"/>
      <c r="AS37" s="32"/>
    </row>
    <row r="38" spans="1:47" x14ac:dyDescent="0.2">
      <c r="A38" s="629">
        <v>20835</v>
      </c>
      <c r="B38" t="s">
        <v>649</v>
      </c>
      <c r="D38" s="745">
        <v>37315</v>
      </c>
      <c r="E38" s="37">
        <v>20000</v>
      </c>
      <c r="F38" s="748">
        <f>0.1074-0.1052</f>
        <v>2.1999999999999936E-3</v>
      </c>
      <c r="G38" s="1105" t="s">
        <v>647</v>
      </c>
      <c r="H38" s="1105"/>
      <c r="I38" s="455">
        <v>0</v>
      </c>
      <c r="J38" s="748">
        <f t="shared" ref="J38:J48" si="14">IF(I38&gt;0,K38/I38/K$7,0)</f>
        <v>0</v>
      </c>
      <c r="K38" s="32">
        <f t="shared" ref="K38:K43" si="15">ROUND($E38*$F38*K$7,0)</f>
        <v>1364</v>
      </c>
      <c r="L38" s="455">
        <v>0</v>
      </c>
      <c r="M38" s="748">
        <f t="shared" ref="M38:M48" si="16">IF(L38&gt;0,N38/L38/N$7,0)</f>
        <v>0</v>
      </c>
      <c r="N38" s="32">
        <f t="shared" ref="N38:N43" si="17">ROUND($E38*$F38*N$7,0)</f>
        <v>1232</v>
      </c>
      <c r="O38" s="455">
        <v>0</v>
      </c>
      <c r="P38" s="748">
        <f t="shared" ref="P38:P48" si="18">IF(O38&gt;0,Q38/O38/Q$7,0)</f>
        <v>0</v>
      </c>
      <c r="Q38" s="32">
        <v>0</v>
      </c>
      <c r="R38" s="455">
        <v>0</v>
      </c>
      <c r="S38" s="748">
        <f t="shared" ref="S38:S48" si="19">IF(R38&gt;0,T38/R38/T$7,0)</f>
        <v>0</v>
      </c>
      <c r="T38" s="32">
        <v>0</v>
      </c>
      <c r="U38" s="455">
        <v>0</v>
      </c>
      <c r="V38" s="748">
        <f t="shared" ref="V38:V48" si="20">IF(U38&gt;0,W38/U38/W$7,0)</f>
        <v>0</v>
      </c>
      <c r="W38" s="32">
        <v>0</v>
      </c>
      <c r="X38" s="455">
        <v>0</v>
      </c>
      <c r="Y38" s="748">
        <f t="shared" ref="Y38:Y48" si="21">IF(X38&gt;0,Z38/X38/Z$7,0)</f>
        <v>0</v>
      </c>
      <c r="Z38" s="32">
        <v>0</v>
      </c>
      <c r="AA38" s="455">
        <v>0</v>
      </c>
      <c r="AB38" s="748">
        <f t="shared" ref="AB38:AB48" si="22">IF(AA38&gt;0,AC38/AA38/AC$7,0)</f>
        <v>0</v>
      </c>
      <c r="AC38" s="32">
        <v>0</v>
      </c>
      <c r="AD38" s="455">
        <v>0</v>
      </c>
      <c r="AE38" s="748">
        <f t="shared" ref="AE38:AE48" si="23">IF(AD38&gt;0,AF38/AD38/AF$7,0)</f>
        <v>0</v>
      </c>
      <c r="AF38" s="32">
        <v>0</v>
      </c>
      <c r="AG38" s="455">
        <v>0</v>
      </c>
      <c r="AH38" s="748">
        <f t="shared" ref="AH38:AH48" si="24">IF(AG38&gt;0,AI38/AG38/AI$7,0)</f>
        <v>0</v>
      </c>
      <c r="AI38" s="32">
        <v>0</v>
      </c>
      <c r="AJ38" s="455">
        <v>0</v>
      </c>
      <c r="AK38" s="748">
        <f t="shared" ref="AK38:AK48" si="25">IF(AJ38&gt;0,AL38/AJ38/AL$7,0)</f>
        <v>0</v>
      </c>
      <c r="AL38" s="32">
        <v>0</v>
      </c>
      <c r="AM38" s="455">
        <v>0</v>
      </c>
      <c r="AN38" s="748">
        <f t="shared" ref="AN38:AN48" si="26">IF(AM38&gt;0,AO38/AM38/AO$7,0)</f>
        <v>0</v>
      </c>
      <c r="AO38" s="32">
        <v>0</v>
      </c>
      <c r="AP38" s="455">
        <v>0</v>
      </c>
      <c r="AQ38" s="748">
        <f t="shared" ref="AQ38:AQ48" si="27">IF(AP38&gt;0,AR38/AP38/AR$7,0)</f>
        <v>0</v>
      </c>
      <c r="AR38" s="32">
        <v>0</v>
      </c>
      <c r="AS38" s="32"/>
      <c r="AU38" s="33">
        <f t="shared" ref="AU38:AU47" si="28">AR38+AO38+AL38+AI38+AF38+AC38+Z38+W38+T38+Q38+N38+K38</f>
        <v>2596</v>
      </c>
    </row>
    <row r="39" spans="1:47" x14ac:dyDescent="0.2">
      <c r="A39" s="629">
        <v>20715</v>
      </c>
      <c r="B39" t="s">
        <v>285</v>
      </c>
      <c r="D39" s="745" t="s">
        <v>655</v>
      </c>
      <c r="E39" s="37">
        <v>200000</v>
      </c>
      <c r="F39" s="748">
        <f t="shared" ref="F39:F44" si="29">0.1074-0.1052</f>
        <v>2.1999999999999936E-3</v>
      </c>
      <c r="G39" s="1105" t="s">
        <v>647</v>
      </c>
      <c r="H39" s="1105"/>
      <c r="I39" s="455">
        <v>0</v>
      </c>
      <c r="J39" s="748">
        <f t="shared" si="14"/>
        <v>0</v>
      </c>
      <c r="K39" s="32">
        <f t="shared" si="15"/>
        <v>13640</v>
      </c>
      <c r="L39" s="455">
        <v>0</v>
      </c>
      <c r="M39" s="748">
        <f t="shared" si="16"/>
        <v>0</v>
      </c>
      <c r="N39" s="32">
        <f t="shared" si="17"/>
        <v>12320</v>
      </c>
      <c r="O39" s="455">
        <v>0</v>
      </c>
      <c r="P39" s="748">
        <f t="shared" si="18"/>
        <v>0</v>
      </c>
      <c r="Q39" s="32">
        <f t="shared" ref="Q39:Q46" si="30">ROUND($E39*$F39*Q$7,0)</f>
        <v>13640</v>
      </c>
      <c r="R39" s="455">
        <v>0</v>
      </c>
      <c r="S39" s="748">
        <f t="shared" si="19"/>
        <v>0</v>
      </c>
      <c r="T39" s="32">
        <f t="shared" ref="T39:T46" si="31">ROUND($E39*$F39*T$7,0)</f>
        <v>13200</v>
      </c>
      <c r="U39" s="455">
        <v>0</v>
      </c>
      <c r="V39" s="748">
        <f t="shared" si="20"/>
        <v>0</v>
      </c>
      <c r="W39" s="32">
        <f t="shared" ref="W39:W46" si="32">ROUND($E39*$F39*W$7,0)</f>
        <v>13640</v>
      </c>
      <c r="X39" s="455">
        <v>0</v>
      </c>
      <c r="Y39" s="748">
        <f t="shared" si="21"/>
        <v>0</v>
      </c>
      <c r="Z39" s="32">
        <f t="shared" ref="Z39:Z46" si="33">ROUND($E39*$F39*Z$7,0)</f>
        <v>13200</v>
      </c>
      <c r="AA39" s="455">
        <v>0</v>
      </c>
      <c r="AB39" s="748">
        <f t="shared" si="22"/>
        <v>0</v>
      </c>
      <c r="AC39" s="32">
        <f t="shared" ref="AC39:AC46" si="34">ROUND($E39*$F39*AC$7,0)</f>
        <v>13640</v>
      </c>
      <c r="AD39" s="455">
        <v>0</v>
      </c>
      <c r="AE39" s="748">
        <f t="shared" si="23"/>
        <v>0</v>
      </c>
      <c r="AF39" s="32">
        <f t="shared" ref="AF39:AF46" si="35">ROUND($E39*$F39*AF$7,0)</f>
        <v>13640</v>
      </c>
      <c r="AG39" s="455">
        <v>0</v>
      </c>
      <c r="AH39" s="748">
        <f t="shared" si="24"/>
        <v>0</v>
      </c>
      <c r="AI39" s="32">
        <f t="shared" ref="AI39:AI46" si="36">ROUND($E39*$F39*AI$7,0)</f>
        <v>13200</v>
      </c>
      <c r="AJ39" s="455">
        <v>0</v>
      </c>
      <c r="AK39" s="748">
        <f t="shared" si="25"/>
        <v>0</v>
      </c>
      <c r="AL39" s="32">
        <f t="shared" ref="AL39:AL46" si="37">ROUND($E39*$F39*AL$7,0)</f>
        <v>13640</v>
      </c>
      <c r="AM39" s="455">
        <v>0</v>
      </c>
      <c r="AN39" s="748">
        <f t="shared" si="26"/>
        <v>0</v>
      </c>
      <c r="AO39" s="32">
        <f t="shared" ref="AO39:AO44" si="38">ROUND($E39*(0.1096-0.1052)*AO$7,0)</f>
        <v>26400</v>
      </c>
      <c r="AP39" s="455">
        <v>0</v>
      </c>
      <c r="AQ39" s="748">
        <f t="shared" si="27"/>
        <v>0</v>
      </c>
      <c r="AR39" s="32">
        <f t="shared" ref="AR39:AR44" si="39">ROUND($E39*(0.1096-0.1052)*AR$7,0)</f>
        <v>27280</v>
      </c>
      <c r="AS39" s="32"/>
      <c r="AU39" s="33">
        <f t="shared" si="28"/>
        <v>187440</v>
      </c>
    </row>
    <row r="40" spans="1:47" x14ac:dyDescent="0.2">
      <c r="A40" s="629">
        <v>21165</v>
      </c>
      <c r="B40" t="s">
        <v>286</v>
      </c>
      <c r="D40" s="745">
        <v>39172</v>
      </c>
      <c r="E40" s="37">
        <v>150000</v>
      </c>
      <c r="F40" s="748">
        <f t="shared" si="29"/>
        <v>2.1999999999999936E-3</v>
      </c>
      <c r="G40" s="1105" t="s">
        <v>647</v>
      </c>
      <c r="H40" s="1105"/>
      <c r="I40" s="455">
        <v>0</v>
      </c>
      <c r="J40" s="748">
        <f t="shared" si="14"/>
        <v>0</v>
      </c>
      <c r="K40" s="32">
        <f t="shared" si="15"/>
        <v>10230</v>
      </c>
      <c r="L40" s="455">
        <v>0</v>
      </c>
      <c r="M40" s="748">
        <f t="shared" si="16"/>
        <v>0</v>
      </c>
      <c r="N40" s="32">
        <f t="shared" si="17"/>
        <v>9240</v>
      </c>
      <c r="O40" s="455">
        <v>0</v>
      </c>
      <c r="P40" s="748">
        <f t="shared" si="18"/>
        <v>0</v>
      </c>
      <c r="Q40" s="32">
        <f t="shared" si="30"/>
        <v>10230</v>
      </c>
      <c r="R40" s="455">
        <v>0</v>
      </c>
      <c r="S40" s="748">
        <f t="shared" si="19"/>
        <v>0</v>
      </c>
      <c r="T40" s="32">
        <f t="shared" si="31"/>
        <v>9900</v>
      </c>
      <c r="U40" s="455">
        <v>0</v>
      </c>
      <c r="V40" s="748">
        <f t="shared" si="20"/>
        <v>0</v>
      </c>
      <c r="W40" s="32">
        <f t="shared" si="32"/>
        <v>10230</v>
      </c>
      <c r="X40" s="455">
        <v>0</v>
      </c>
      <c r="Y40" s="748">
        <f t="shared" si="21"/>
        <v>0</v>
      </c>
      <c r="Z40" s="32">
        <f t="shared" si="33"/>
        <v>9900</v>
      </c>
      <c r="AA40" s="455">
        <v>0</v>
      </c>
      <c r="AB40" s="748">
        <f t="shared" si="22"/>
        <v>0</v>
      </c>
      <c r="AC40" s="32">
        <f t="shared" si="34"/>
        <v>10230</v>
      </c>
      <c r="AD40" s="455">
        <v>0</v>
      </c>
      <c r="AE40" s="748">
        <f t="shared" si="23"/>
        <v>0</v>
      </c>
      <c r="AF40" s="32">
        <f t="shared" si="35"/>
        <v>10230</v>
      </c>
      <c r="AG40" s="455">
        <v>0</v>
      </c>
      <c r="AH40" s="748">
        <f t="shared" si="24"/>
        <v>0</v>
      </c>
      <c r="AI40" s="32">
        <f t="shared" si="36"/>
        <v>9900</v>
      </c>
      <c r="AJ40" s="455">
        <v>0</v>
      </c>
      <c r="AK40" s="748">
        <f t="shared" si="25"/>
        <v>0</v>
      </c>
      <c r="AL40" s="32">
        <f t="shared" si="37"/>
        <v>10230</v>
      </c>
      <c r="AM40" s="455">
        <v>0</v>
      </c>
      <c r="AN40" s="748">
        <f t="shared" si="26"/>
        <v>0</v>
      </c>
      <c r="AO40" s="32">
        <f t="shared" si="38"/>
        <v>19800</v>
      </c>
      <c r="AP40" s="455">
        <v>0</v>
      </c>
      <c r="AQ40" s="748">
        <f t="shared" si="27"/>
        <v>0</v>
      </c>
      <c r="AR40" s="32">
        <f t="shared" si="39"/>
        <v>20460</v>
      </c>
      <c r="AS40" s="32"/>
      <c r="AU40" s="33">
        <f t="shared" si="28"/>
        <v>140580</v>
      </c>
    </row>
    <row r="41" spans="1:47" x14ac:dyDescent="0.2">
      <c r="A41" s="629">
        <v>26678</v>
      </c>
      <c r="B41" t="s">
        <v>650</v>
      </c>
      <c r="D41" s="745">
        <v>39172</v>
      </c>
      <c r="E41" s="37">
        <v>25000</v>
      </c>
      <c r="F41" s="748">
        <f t="shared" si="29"/>
        <v>2.1999999999999936E-3</v>
      </c>
      <c r="G41" s="1105" t="s">
        <v>647</v>
      </c>
      <c r="H41" s="1105"/>
      <c r="I41" s="455">
        <v>0</v>
      </c>
      <c r="J41" s="748">
        <f t="shared" si="14"/>
        <v>0</v>
      </c>
      <c r="K41" s="32">
        <f t="shared" si="15"/>
        <v>1705</v>
      </c>
      <c r="L41" s="455">
        <v>0</v>
      </c>
      <c r="M41" s="748">
        <f t="shared" si="16"/>
        <v>0</v>
      </c>
      <c r="N41" s="32">
        <f t="shared" si="17"/>
        <v>1540</v>
      </c>
      <c r="O41" s="455">
        <v>0</v>
      </c>
      <c r="P41" s="748">
        <f t="shared" si="18"/>
        <v>0</v>
      </c>
      <c r="Q41" s="32">
        <f t="shared" si="30"/>
        <v>1705</v>
      </c>
      <c r="R41" s="455">
        <v>0</v>
      </c>
      <c r="S41" s="748">
        <f t="shared" si="19"/>
        <v>0</v>
      </c>
      <c r="T41" s="32">
        <f t="shared" si="31"/>
        <v>1650</v>
      </c>
      <c r="U41" s="455">
        <v>0</v>
      </c>
      <c r="V41" s="748">
        <f t="shared" si="20"/>
        <v>0</v>
      </c>
      <c r="W41" s="32">
        <f t="shared" si="32"/>
        <v>1705</v>
      </c>
      <c r="X41" s="455">
        <v>0</v>
      </c>
      <c r="Y41" s="748">
        <f t="shared" si="21"/>
        <v>0</v>
      </c>
      <c r="Z41" s="32">
        <f t="shared" si="33"/>
        <v>1650</v>
      </c>
      <c r="AA41" s="455">
        <v>0</v>
      </c>
      <c r="AB41" s="748">
        <f t="shared" si="22"/>
        <v>0</v>
      </c>
      <c r="AC41" s="32">
        <f t="shared" si="34"/>
        <v>1705</v>
      </c>
      <c r="AD41" s="455">
        <v>0</v>
      </c>
      <c r="AE41" s="748">
        <f t="shared" si="23"/>
        <v>0</v>
      </c>
      <c r="AF41" s="32">
        <f t="shared" si="35"/>
        <v>1705</v>
      </c>
      <c r="AG41" s="455">
        <v>0</v>
      </c>
      <c r="AH41" s="748">
        <f t="shared" si="24"/>
        <v>0</v>
      </c>
      <c r="AI41" s="32">
        <f t="shared" si="36"/>
        <v>1650</v>
      </c>
      <c r="AJ41" s="455">
        <v>0</v>
      </c>
      <c r="AK41" s="748">
        <f t="shared" si="25"/>
        <v>0</v>
      </c>
      <c r="AL41" s="32">
        <f t="shared" si="37"/>
        <v>1705</v>
      </c>
      <c r="AM41" s="455">
        <v>0</v>
      </c>
      <c r="AN41" s="748">
        <f t="shared" si="26"/>
        <v>0</v>
      </c>
      <c r="AO41" s="32">
        <f t="shared" si="38"/>
        <v>3300</v>
      </c>
      <c r="AP41" s="455">
        <v>0</v>
      </c>
      <c r="AQ41" s="748">
        <f t="shared" si="27"/>
        <v>0</v>
      </c>
      <c r="AR41" s="32">
        <f t="shared" si="39"/>
        <v>3410</v>
      </c>
      <c r="AS41" s="32"/>
      <c r="AU41" s="33">
        <f t="shared" si="28"/>
        <v>23430</v>
      </c>
    </row>
    <row r="42" spans="1:47" x14ac:dyDescent="0.2">
      <c r="A42" s="629">
        <v>26372</v>
      </c>
      <c r="B42" t="s">
        <v>499</v>
      </c>
      <c r="D42" s="745">
        <v>39172</v>
      </c>
      <c r="E42" s="37">
        <v>25000</v>
      </c>
      <c r="F42" s="748">
        <f t="shared" si="29"/>
        <v>2.1999999999999936E-3</v>
      </c>
      <c r="G42" s="1105" t="s">
        <v>647</v>
      </c>
      <c r="H42" s="1105"/>
      <c r="I42" s="455">
        <v>0</v>
      </c>
      <c r="J42" s="748">
        <f t="shared" si="14"/>
        <v>0</v>
      </c>
      <c r="K42" s="32">
        <f t="shared" si="15"/>
        <v>1705</v>
      </c>
      <c r="L42" s="455">
        <v>0</v>
      </c>
      <c r="M42" s="748">
        <f t="shared" si="16"/>
        <v>0</v>
      </c>
      <c r="N42" s="32">
        <f t="shared" si="17"/>
        <v>1540</v>
      </c>
      <c r="O42" s="455">
        <v>0</v>
      </c>
      <c r="P42" s="748">
        <f t="shared" si="18"/>
        <v>0</v>
      </c>
      <c r="Q42" s="32">
        <f t="shared" si="30"/>
        <v>1705</v>
      </c>
      <c r="R42" s="455">
        <v>0</v>
      </c>
      <c r="S42" s="748">
        <f t="shared" si="19"/>
        <v>0</v>
      </c>
      <c r="T42" s="32">
        <f t="shared" si="31"/>
        <v>1650</v>
      </c>
      <c r="U42" s="455">
        <v>0</v>
      </c>
      <c r="V42" s="748">
        <f t="shared" si="20"/>
        <v>0</v>
      </c>
      <c r="W42" s="32">
        <f t="shared" si="32"/>
        <v>1705</v>
      </c>
      <c r="X42" s="455">
        <v>0</v>
      </c>
      <c r="Y42" s="748">
        <f t="shared" si="21"/>
        <v>0</v>
      </c>
      <c r="Z42" s="32">
        <f t="shared" si="33"/>
        <v>1650</v>
      </c>
      <c r="AA42" s="455">
        <v>0</v>
      </c>
      <c r="AB42" s="748">
        <f t="shared" si="22"/>
        <v>0</v>
      </c>
      <c r="AC42" s="32">
        <f t="shared" si="34"/>
        <v>1705</v>
      </c>
      <c r="AD42" s="455">
        <v>0</v>
      </c>
      <c r="AE42" s="748">
        <f t="shared" si="23"/>
        <v>0</v>
      </c>
      <c r="AF42" s="32">
        <f t="shared" si="35"/>
        <v>1705</v>
      </c>
      <c r="AG42" s="455">
        <v>0</v>
      </c>
      <c r="AH42" s="748">
        <f t="shared" si="24"/>
        <v>0</v>
      </c>
      <c r="AI42" s="32">
        <f t="shared" si="36"/>
        <v>1650</v>
      </c>
      <c r="AJ42" s="455">
        <v>0</v>
      </c>
      <c r="AK42" s="748">
        <f t="shared" si="25"/>
        <v>0</v>
      </c>
      <c r="AL42" s="32">
        <f t="shared" si="37"/>
        <v>1705</v>
      </c>
      <c r="AM42" s="455">
        <v>0</v>
      </c>
      <c r="AN42" s="748">
        <f t="shared" si="26"/>
        <v>0</v>
      </c>
      <c r="AO42" s="32">
        <f t="shared" si="38"/>
        <v>3300</v>
      </c>
      <c r="AP42" s="455">
        <v>0</v>
      </c>
      <c r="AQ42" s="748">
        <f t="shared" si="27"/>
        <v>0</v>
      </c>
      <c r="AR42" s="32">
        <f t="shared" si="39"/>
        <v>3410</v>
      </c>
      <c r="AS42" s="32"/>
      <c r="AU42" s="33">
        <f t="shared" si="28"/>
        <v>23430</v>
      </c>
    </row>
    <row r="43" spans="1:47" x14ac:dyDescent="0.2">
      <c r="A43" s="629">
        <v>25924</v>
      </c>
      <c r="B43" t="s">
        <v>651</v>
      </c>
      <c r="D43" s="745">
        <v>38837</v>
      </c>
      <c r="E43" s="37">
        <v>20000</v>
      </c>
      <c r="F43" s="748">
        <f t="shared" si="29"/>
        <v>2.1999999999999936E-3</v>
      </c>
      <c r="G43" s="1105" t="s">
        <v>647</v>
      </c>
      <c r="H43" s="1105"/>
      <c r="I43" s="455">
        <v>0</v>
      </c>
      <c r="J43" s="748">
        <f t="shared" si="14"/>
        <v>0</v>
      </c>
      <c r="K43" s="32">
        <f t="shared" si="15"/>
        <v>1364</v>
      </c>
      <c r="L43" s="455">
        <v>0</v>
      </c>
      <c r="M43" s="748">
        <f t="shared" si="16"/>
        <v>0</v>
      </c>
      <c r="N43" s="32">
        <f t="shared" si="17"/>
        <v>1232</v>
      </c>
      <c r="O43" s="455">
        <v>0</v>
      </c>
      <c r="P43" s="748">
        <f t="shared" si="18"/>
        <v>0</v>
      </c>
      <c r="Q43" s="32">
        <f t="shared" si="30"/>
        <v>1364</v>
      </c>
      <c r="R43" s="455">
        <v>0</v>
      </c>
      <c r="S43" s="748">
        <f t="shared" si="19"/>
        <v>0</v>
      </c>
      <c r="T43" s="32">
        <f t="shared" si="31"/>
        <v>1320</v>
      </c>
      <c r="U43" s="455">
        <v>0</v>
      </c>
      <c r="V43" s="748">
        <f t="shared" si="20"/>
        <v>0</v>
      </c>
      <c r="W43" s="32">
        <f t="shared" si="32"/>
        <v>1364</v>
      </c>
      <c r="X43" s="455">
        <v>0</v>
      </c>
      <c r="Y43" s="748">
        <f t="shared" si="21"/>
        <v>0</v>
      </c>
      <c r="Z43" s="32">
        <f t="shared" si="33"/>
        <v>1320</v>
      </c>
      <c r="AA43" s="455">
        <v>0</v>
      </c>
      <c r="AB43" s="748">
        <f t="shared" si="22"/>
        <v>0</v>
      </c>
      <c r="AC43" s="32">
        <f t="shared" si="34"/>
        <v>1364</v>
      </c>
      <c r="AD43" s="455">
        <v>0</v>
      </c>
      <c r="AE43" s="748">
        <f t="shared" si="23"/>
        <v>0</v>
      </c>
      <c r="AF43" s="32">
        <f t="shared" si="35"/>
        <v>1364</v>
      </c>
      <c r="AG43" s="455">
        <v>0</v>
      </c>
      <c r="AH43" s="748">
        <f t="shared" si="24"/>
        <v>0</v>
      </c>
      <c r="AI43" s="32">
        <f t="shared" si="36"/>
        <v>1320</v>
      </c>
      <c r="AJ43" s="455">
        <v>0</v>
      </c>
      <c r="AK43" s="748">
        <f t="shared" si="25"/>
        <v>0</v>
      </c>
      <c r="AL43" s="32">
        <f t="shared" si="37"/>
        <v>1364</v>
      </c>
      <c r="AM43" s="455">
        <v>0</v>
      </c>
      <c r="AN43" s="748">
        <f t="shared" si="26"/>
        <v>0</v>
      </c>
      <c r="AO43" s="32">
        <f t="shared" si="38"/>
        <v>2640</v>
      </c>
      <c r="AP43" s="455">
        <v>0</v>
      </c>
      <c r="AQ43" s="748">
        <f t="shared" si="27"/>
        <v>0</v>
      </c>
      <c r="AR43" s="32">
        <f t="shared" si="39"/>
        <v>2728</v>
      </c>
      <c r="AS43" s="32"/>
      <c r="AU43" s="33">
        <f t="shared" si="28"/>
        <v>18744</v>
      </c>
    </row>
    <row r="44" spans="1:47" x14ac:dyDescent="0.2">
      <c r="A44" s="629">
        <v>20834</v>
      </c>
      <c r="B44" t="s">
        <v>652</v>
      </c>
      <c r="D44" s="745">
        <v>39141</v>
      </c>
      <c r="E44" s="37">
        <v>25000</v>
      </c>
      <c r="F44" s="748">
        <f t="shared" si="29"/>
        <v>2.1999999999999936E-3</v>
      </c>
      <c r="G44" s="1105" t="s">
        <v>647</v>
      </c>
      <c r="H44" s="1105"/>
      <c r="I44" s="455">
        <v>0</v>
      </c>
      <c r="J44" s="748">
        <f t="shared" si="14"/>
        <v>0</v>
      </c>
      <c r="K44" s="32">
        <f>ROUND($E44*$F44*K$7,0)</f>
        <v>1705</v>
      </c>
      <c r="L44" s="455">
        <v>0</v>
      </c>
      <c r="M44" s="748">
        <f t="shared" si="16"/>
        <v>0</v>
      </c>
      <c r="N44" s="32">
        <f>ROUND($E44*$F44*N$7,0)</f>
        <v>1540</v>
      </c>
      <c r="O44" s="455">
        <v>0</v>
      </c>
      <c r="P44" s="748">
        <f t="shared" si="18"/>
        <v>0</v>
      </c>
      <c r="Q44" s="32">
        <f t="shared" si="30"/>
        <v>1705</v>
      </c>
      <c r="R44" s="455">
        <v>0</v>
      </c>
      <c r="S44" s="748">
        <f t="shared" si="19"/>
        <v>0</v>
      </c>
      <c r="T44" s="32">
        <f t="shared" si="31"/>
        <v>1650</v>
      </c>
      <c r="U44" s="455">
        <v>0</v>
      </c>
      <c r="V44" s="748">
        <f t="shared" si="20"/>
        <v>0</v>
      </c>
      <c r="W44" s="32">
        <f t="shared" si="32"/>
        <v>1705</v>
      </c>
      <c r="X44" s="455">
        <v>0</v>
      </c>
      <c r="Y44" s="748">
        <f t="shared" si="21"/>
        <v>0</v>
      </c>
      <c r="Z44" s="32">
        <f t="shared" si="33"/>
        <v>1650</v>
      </c>
      <c r="AA44" s="455">
        <v>0</v>
      </c>
      <c r="AB44" s="748">
        <f t="shared" si="22"/>
        <v>0</v>
      </c>
      <c r="AC44" s="32">
        <f t="shared" si="34"/>
        <v>1705</v>
      </c>
      <c r="AD44" s="455">
        <v>0</v>
      </c>
      <c r="AE44" s="748">
        <f t="shared" si="23"/>
        <v>0</v>
      </c>
      <c r="AF44" s="32">
        <f t="shared" si="35"/>
        <v>1705</v>
      </c>
      <c r="AG44" s="455">
        <v>0</v>
      </c>
      <c r="AH44" s="748">
        <f t="shared" si="24"/>
        <v>0</v>
      </c>
      <c r="AI44" s="32">
        <f t="shared" si="36"/>
        <v>1650</v>
      </c>
      <c r="AJ44" s="455">
        <v>0</v>
      </c>
      <c r="AK44" s="748">
        <f t="shared" si="25"/>
        <v>0</v>
      </c>
      <c r="AL44" s="32">
        <f t="shared" si="37"/>
        <v>1705</v>
      </c>
      <c r="AM44" s="455">
        <v>0</v>
      </c>
      <c r="AN44" s="748">
        <f t="shared" si="26"/>
        <v>0</v>
      </c>
      <c r="AO44" s="32">
        <f t="shared" si="38"/>
        <v>3300</v>
      </c>
      <c r="AP44" s="455">
        <v>0</v>
      </c>
      <c r="AQ44" s="748">
        <f t="shared" si="27"/>
        <v>0</v>
      </c>
      <c r="AR44" s="32">
        <f t="shared" si="39"/>
        <v>3410</v>
      </c>
      <c r="AS44" s="32"/>
      <c r="AU44" s="33">
        <f t="shared" si="28"/>
        <v>23430</v>
      </c>
    </row>
    <row r="45" spans="1:47" x14ac:dyDescent="0.2">
      <c r="A45" s="936">
        <v>27534</v>
      </c>
      <c r="B45" s="41" t="s">
        <v>425</v>
      </c>
      <c r="C45" s="972">
        <v>37196</v>
      </c>
      <c r="D45" s="972">
        <v>37925</v>
      </c>
      <c r="E45" s="37">
        <v>0</v>
      </c>
      <c r="F45" s="748">
        <v>-0.05</v>
      </c>
      <c r="G45" s="1105" t="s">
        <v>759</v>
      </c>
      <c r="H45" s="1108"/>
      <c r="I45" s="455">
        <v>0</v>
      </c>
      <c r="J45" s="748">
        <f>IF(I45&gt;0,K45/I45/K$7,0)</f>
        <v>0</v>
      </c>
      <c r="K45" s="32">
        <f>ROUND($E45*$F45*K$7,0)</f>
        <v>0</v>
      </c>
      <c r="L45" s="455">
        <v>0</v>
      </c>
      <c r="M45" s="748">
        <v>0</v>
      </c>
      <c r="N45" s="32">
        <f>ROUND($E45*$F45*N$7,0)</f>
        <v>0</v>
      </c>
      <c r="O45" s="455">
        <v>0</v>
      </c>
      <c r="P45" s="748">
        <f>IF(O45&gt;0,Q45/O45/Q$7,0)</f>
        <v>0</v>
      </c>
      <c r="Q45" s="32">
        <f t="shared" si="30"/>
        <v>0</v>
      </c>
      <c r="R45" s="455">
        <v>0</v>
      </c>
      <c r="S45" s="748">
        <f>IF(R45&gt;0,T45/R45/T$7,0)</f>
        <v>0</v>
      </c>
      <c r="T45" s="32">
        <f t="shared" si="31"/>
        <v>0</v>
      </c>
      <c r="U45" s="455">
        <v>0</v>
      </c>
      <c r="V45" s="748">
        <f>IF(U45&gt;0,W45/U45/W$7,0)</f>
        <v>0</v>
      </c>
      <c r="W45" s="32">
        <f t="shared" si="32"/>
        <v>0</v>
      </c>
      <c r="X45" s="455">
        <v>0</v>
      </c>
      <c r="Y45" s="748">
        <f>IF(X45&gt;0,Z45/X45/Z$7,0)</f>
        <v>0</v>
      </c>
      <c r="Z45" s="32">
        <f t="shared" si="33"/>
        <v>0</v>
      </c>
      <c r="AA45" s="455">
        <v>0</v>
      </c>
      <c r="AB45" s="748">
        <f>IF(AA45&gt;0,AC45/AA45/AC$7,0)</f>
        <v>0</v>
      </c>
      <c r="AC45" s="32">
        <f t="shared" si="34"/>
        <v>0</v>
      </c>
      <c r="AD45" s="455">
        <v>0</v>
      </c>
      <c r="AE45" s="748">
        <f>IF(AD45&gt;0,AF45/AD45/AF$7,0)</f>
        <v>0</v>
      </c>
      <c r="AF45" s="32">
        <f t="shared" si="35"/>
        <v>0</v>
      </c>
      <c r="AG45" s="455">
        <v>0</v>
      </c>
      <c r="AH45" s="748">
        <f>IF(AG45&gt;0,AI45/AG45/AI$7,0)</f>
        <v>0</v>
      </c>
      <c r="AI45" s="32">
        <f t="shared" si="36"/>
        <v>0</v>
      </c>
      <c r="AJ45" s="455">
        <v>0</v>
      </c>
      <c r="AK45" s="748">
        <f>IF(AJ45&gt;0,AL45/AJ45/AL$7,0)</f>
        <v>0</v>
      </c>
      <c r="AL45" s="32">
        <f t="shared" si="37"/>
        <v>0</v>
      </c>
      <c r="AM45" s="455">
        <v>0</v>
      </c>
      <c r="AN45" s="748">
        <f>IF(AM45&gt;0,AO45/AM45/AO$7,0)</f>
        <v>0</v>
      </c>
      <c r="AO45" s="32">
        <f>ROUND(21500*$F45*AO$7,0)</f>
        <v>-32250</v>
      </c>
      <c r="AP45" s="455">
        <v>0</v>
      </c>
      <c r="AQ45" s="748">
        <f>IF(AP45&gt;0,AR45/AP45/AR$7,0)</f>
        <v>0</v>
      </c>
      <c r="AR45" s="32">
        <f>ROUND(21500*$F45*AR$7,0)</f>
        <v>-33325</v>
      </c>
      <c r="AS45" s="32"/>
      <c r="AU45" s="33">
        <f t="shared" si="28"/>
        <v>-65575</v>
      </c>
    </row>
    <row r="46" spans="1:47" x14ac:dyDescent="0.2">
      <c r="A46" s="936">
        <v>27534</v>
      </c>
      <c r="B46" s="41" t="s">
        <v>425</v>
      </c>
      <c r="C46" s="972">
        <v>37196</v>
      </c>
      <c r="D46" s="972">
        <v>37925</v>
      </c>
      <c r="E46" s="37">
        <v>0</v>
      </c>
      <c r="F46" s="748">
        <v>0</v>
      </c>
      <c r="G46" s="1105"/>
      <c r="H46" s="1108"/>
      <c r="I46" s="455"/>
      <c r="K46" s="32">
        <f>ROUND($E46*$F46*K$7,0)</f>
        <v>0</v>
      </c>
      <c r="L46" s="455"/>
      <c r="M46" s="748"/>
      <c r="N46" s="32">
        <f>ROUND($E46*$F46*N$7,0)</f>
        <v>0</v>
      </c>
      <c r="O46" s="455"/>
      <c r="P46" s="748"/>
      <c r="Q46" s="32">
        <f t="shared" si="30"/>
        <v>0</v>
      </c>
      <c r="R46" s="455"/>
      <c r="S46" s="748"/>
      <c r="T46" s="32">
        <f t="shared" si="31"/>
        <v>0</v>
      </c>
      <c r="U46" s="455"/>
      <c r="V46" s="748"/>
      <c r="W46" s="32">
        <f t="shared" si="32"/>
        <v>0</v>
      </c>
      <c r="X46" s="455"/>
      <c r="Y46" s="748"/>
      <c r="Z46" s="32">
        <f t="shared" si="33"/>
        <v>0</v>
      </c>
      <c r="AA46" s="455"/>
      <c r="AB46" s="748"/>
      <c r="AC46" s="32">
        <f t="shared" si="34"/>
        <v>0</v>
      </c>
      <c r="AD46" s="455"/>
      <c r="AE46" s="748"/>
      <c r="AF46" s="32">
        <f t="shared" si="35"/>
        <v>0</v>
      </c>
      <c r="AG46" s="455"/>
      <c r="AH46" s="748"/>
      <c r="AI46" s="32">
        <f t="shared" si="36"/>
        <v>0</v>
      </c>
      <c r="AJ46" s="455"/>
      <c r="AK46" s="748"/>
      <c r="AL46" s="32">
        <f t="shared" si="37"/>
        <v>0</v>
      </c>
      <c r="AM46" s="455"/>
      <c r="AN46" s="748"/>
      <c r="AO46" s="32">
        <f>ROUND(11000*$F46*AO$7,0)</f>
        <v>0</v>
      </c>
      <c r="AP46" s="455"/>
      <c r="AQ46" s="748"/>
      <c r="AR46" s="32">
        <f>ROUND(11000*$F46*AR$7,0)</f>
        <v>0</v>
      </c>
      <c r="AS46" s="32"/>
      <c r="AU46" s="33">
        <f t="shared" si="28"/>
        <v>0</v>
      </c>
    </row>
    <row r="47" spans="1:47" x14ac:dyDescent="0.2">
      <c r="D47" s="745"/>
      <c r="E47" s="753"/>
      <c r="I47" s="777">
        <v>0</v>
      </c>
      <c r="J47" s="748">
        <f t="shared" si="14"/>
        <v>0</v>
      </c>
      <c r="K47" s="39">
        <v>0</v>
      </c>
      <c r="L47" s="777">
        <v>0</v>
      </c>
      <c r="M47" s="748">
        <f t="shared" si="16"/>
        <v>0</v>
      </c>
      <c r="N47" s="39">
        <v>0</v>
      </c>
      <c r="O47" s="777">
        <v>0</v>
      </c>
      <c r="P47" s="748">
        <f t="shared" si="18"/>
        <v>0</v>
      </c>
      <c r="Q47" s="39">
        <v>0</v>
      </c>
      <c r="R47" s="777">
        <v>0</v>
      </c>
      <c r="S47" s="748">
        <f t="shared" si="19"/>
        <v>0</v>
      </c>
      <c r="T47" s="39">
        <v>0</v>
      </c>
      <c r="U47" s="777">
        <v>0</v>
      </c>
      <c r="V47" s="748">
        <f t="shared" si="20"/>
        <v>0</v>
      </c>
      <c r="W47" s="39">
        <v>0</v>
      </c>
      <c r="X47" s="777">
        <v>0</v>
      </c>
      <c r="Y47" s="748">
        <f t="shared" si="21"/>
        <v>0</v>
      </c>
      <c r="Z47" s="39">
        <v>0</v>
      </c>
      <c r="AA47" s="777">
        <v>0</v>
      </c>
      <c r="AB47" s="748">
        <f t="shared" si="22"/>
        <v>0</v>
      </c>
      <c r="AC47" s="39">
        <v>0</v>
      </c>
      <c r="AD47" s="777">
        <v>0</v>
      </c>
      <c r="AE47" s="748">
        <f t="shared" si="23"/>
        <v>0</v>
      </c>
      <c r="AF47" s="39">
        <v>0</v>
      </c>
      <c r="AG47" s="777">
        <v>0</v>
      </c>
      <c r="AH47" s="748">
        <f t="shared" si="24"/>
        <v>0</v>
      </c>
      <c r="AI47" s="39">
        <v>0</v>
      </c>
      <c r="AJ47" s="777">
        <v>0</v>
      </c>
      <c r="AK47" s="748">
        <f t="shared" si="25"/>
        <v>0</v>
      </c>
      <c r="AL47" s="39">
        <v>0</v>
      </c>
      <c r="AM47" s="777">
        <v>0</v>
      </c>
      <c r="AN47" s="748">
        <f t="shared" si="26"/>
        <v>0</v>
      </c>
      <c r="AO47" s="39">
        <v>0</v>
      </c>
      <c r="AP47" s="777">
        <v>0</v>
      </c>
      <c r="AQ47" s="748">
        <f t="shared" si="27"/>
        <v>0</v>
      </c>
      <c r="AR47" s="39">
        <v>0</v>
      </c>
      <c r="AS47" s="32"/>
      <c r="AU47" s="804">
        <f t="shared" si="28"/>
        <v>0</v>
      </c>
    </row>
    <row r="48" spans="1:47" s="42" customFormat="1" x14ac:dyDescent="0.2">
      <c r="A48" s="741" t="s">
        <v>762</v>
      </c>
      <c r="C48" s="3"/>
      <c r="D48" s="3"/>
      <c r="E48" s="431">
        <f>SUM(E38:E47)</f>
        <v>465000</v>
      </c>
      <c r="F48" s="754"/>
      <c r="G48" s="754"/>
      <c r="H48" s="754"/>
      <c r="I48" s="774">
        <f>SUM(I38:I47)</f>
        <v>0</v>
      </c>
      <c r="J48" s="754">
        <f t="shared" si="14"/>
        <v>0</v>
      </c>
      <c r="K48" s="31">
        <f>SUM(K38:K47)</f>
        <v>31713</v>
      </c>
      <c r="L48" s="774">
        <f>SUM(L38:L47)</f>
        <v>0</v>
      </c>
      <c r="M48" s="754">
        <f t="shared" si="16"/>
        <v>0</v>
      </c>
      <c r="N48" s="31">
        <f>SUM(N38:N47)</f>
        <v>28644</v>
      </c>
      <c r="O48" s="774">
        <f>SUM(O38:O47)</f>
        <v>0</v>
      </c>
      <c r="P48" s="754">
        <f t="shared" si="18"/>
        <v>0</v>
      </c>
      <c r="Q48" s="31">
        <f>SUM(Q38:Q47)</f>
        <v>30349</v>
      </c>
      <c r="R48" s="774">
        <f>SUM(R38:R47)</f>
        <v>0</v>
      </c>
      <c r="S48" s="754">
        <f t="shared" si="19"/>
        <v>0</v>
      </c>
      <c r="T48" s="31">
        <f>SUM(T38:T47)</f>
        <v>29370</v>
      </c>
      <c r="U48" s="774">
        <f>SUM(U38:U47)</f>
        <v>0</v>
      </c>
      <c r="V48" s="754">
        <f t="shared" si="20"/>
        <v>0</v>
      </c>
      <c r="W48" s="31">
        <f>SUM(W38:W47)</f>
        <v>30349</v>
      </c>
      <c r="X48" s="774">
        <f>SUM(X38:X47)</f>
        <v>0</v>
      </c>
      <c r="Y48" s="754">
        <f t="shared" si="21"/>
        <v>0</v>
      </c>
      <c r="Z48" s="31">
        <f>SUM(Z38:Z47)</f>
        <v>29370</v>
      </c>
      <c r="AA48" s="774">
        <f>SUM(AA38:AA47)</f>
        <v>0</v>
      </c>
      <c r="AB48" s="754">
        <f t="shared" si="22"/>
        <v>0</v>
      </c>
      <c r="AC48" s="31">
        <f>SUM(AC38:AC47)</f>
        <v>30349</v>
      </c>
      <c r="AD48" s="774">
        <f>SUM(AD38:AD47)</f>
        <v>0</v>
      </c>
      <c r="AE48" s="754">
        <f t="shared" si="23"/>
        <v>0</v>
      </c>
      <c r="AF48" s="31">
        <f>SUM(AF38:AF47)</f>
        <v>30349</v>
      </c>
      <c r="AG48" s="774">
        <f>SUM(AG38:AG47)</f>
        <v>0</v>
      </c>
      <c r="AH48" s="754">
        <f t="shared" si="24"/>
        <v>0</v>
      </c>
      <c r="AI48" s="31">
        <f>SUM(AI38:AI47)</f>
        <v>29370</v>
      </c>
      <c r="AJ48" s="774">
        <f>SUM(AJ38:AJ47)</f>
        <v>0</v>
      </c>
      <c r="AK48" s="754">
        <f t="shared" si="25"/>
        <v>0</v>
      </c>
      <c r="AL48" s="31">
        <f>SUM(AL38:AL47)</f>
        <v>30349</v>
      </c>
      <c r="AM48" s="774">
        <f>SUM(AM38:AM47)</f>
        <v>0</v>
      </c>
      <c r="AN48" s="754">
        <f t="shared" si="26"/>
        <v>0</v>
      </c>
      <c r="AO48" s="31">
        <f>SUM(AO38:AO47)</f>
        <v>26490</v>
      </c>
      <c r="AP48" s="774">
        <f>SUM(AP38:AP47)</f>
        <v>0</v>
      </c>
      <c r="AQ48" s="754">
        <f t="shared" si="27"/>
        <v>0</v>
      </c>
      <c r="AR48" s="31">
        <f>SUM(AR38:AR47)</f>
        <v>27373</v>
      </c>
      <c r="AS48" s="31"/>
      <c r="AT48" s="31">
        <f>SUM(I48:AS48)</f>
        <v>354075</v>
      </c>
      <c r="AU48" s="802">
        <f>SUM(AU38:AU47)</f>
        <v>354075</v>
      </c>
    </row>
    <row r="49" spans="1:47" s="29" customFormat="1" x14ac:dyDescent="0.2">
      <c r="A49" s="605"/>
      <c r="B49" s="605"/>
      <c r="C49" s="762"/>
      <c r="D49" s="762"/>
      <c r="E49" s="763"/>
      <c r="F49" s="764"/>
      <c r="G49" s="764"/>
      <c r="H49" s="764"/>
      <c r="I49" s="772"/>
      <c r="J49" s="764"/>
      <c r="K49" s="533"/>
      <c r="L49" s="772"/>
      <c r="M49" s="764"/>
      <c r="N49" s="533"/>
      <c r="O49" s="772"/>
      <c r="P49" s="764"/>
      <c r="Q49" s="533"/>
      <c r="R49" s="772"/>
      <c r="S49" s="764"/>
      <c r="T49" s="533"/>
      <c r="U49" s="772"/>
      <c r="V49" s="764"/>
      <c r="W49" s="533"/>
      <c r="X49" s="772"/>
      <c r="Y49" s="764"/>
      <c r="Z49" s="533"/>
      <c r="AA49" s="772"/>
      <c r="AB49" s="764"/>
      <c r="AC49" s="533"/>
      <c r="AD49" s="772"/>
      <c r="AE49" s="764"/>
      <c r="AF49" s="533"/>
      <c r="AG49" s="772"/>
      <c r="AH49" s="764"/>
      <c r="AI49" s="533"/>
      <c r="AJ49" s="772"/>
      <c r="AK49" s="764"/>
      <c r="AL49" s="533"/>
      <c r="AM49" s="772"/>
      <c r="AN49" s="764"/>
      <c r="AO49" s="533"/>
      <c r="AP49" s="772"/>
      <c r="AQ49" s="764"/>
      <c r="AR49" s="533"/>
    </row>
    <row r="50" spans="1:47" x14ac:dyDescent="0.2">
      <c r="A50" s="646"/>
      <c r="B50" s="646"/>
      <c r="C50" s="478"/>
      <c r="D50" s="478"/>
      <c r="E50" s="756"/>
      <c r="F50" s="757"/>
      <c r="G50" s="757"/>
      <c r="H50" s="757"/>
      <c r="I50" s="773"/>
      <c r="J50" s="757"/>
      <c r="K50" s="482"/>
      <c r="L50" s="773"/>
      <c r="M50" s="757"/>
      <c r="N50" s="482"/>
      <c r="O50" s="773"/>
      <c r="P50" s="757"/>
      <c r="Q50" s="482"/>
      <c r="R50" s="773"/>
      <c r="S50" s="757"/>
      <c r="T50" s="482"/>
      <c r="U50" s="773"/>
      <c r="V50" s="757"/>
      <c r="W50" s="482"/>
      <c r="X50" s="773"/>
      <c r="Y50" s="757"/>
      <c r="Z50" s="482"/>
      <c r="AA50" s="773"/>
      <c r="AB50" s="757"/>
      <c r="AC50" s="482"/>
      <c r="AD50" s="773"/>
      <c r="AE50" s="757"/>
      <c r="AF50" s="482"/>
      <c r="AG50" s="773"/>
      <c r="AH50" s="757"/>
      <c r="AI50" s="482"/>
      <c r="AJ50" s="773"/>
      <c r="AK50" s="757"/>
      <c r="AL50" s="482"/>
      <c r="AM50" s="773"/>
      <c r="AN50" s="757"/>
      <c r="AO50" s="482"/>
      <c r="AP50" s="773"/>
      <c r="AQ50" s="757"/>
      <c r="AR50" s="482"/>
    </row>
    <row r="51" spans="1:47" x14ac:dyDescent="0.2">
      <c r="A51" s="743" t="s">
        <v>283</v>
      </c>
      <c r="I51" s="455"/>
      <c r="K51" s="32"/>
      <c r="L51" s="455"/>
      <c r="M51" s="748"/>
      <c r="N51" s="32"/>
      <c r="O51" s="455"/>
      <c r="P51" s="748"/>
      <c r="Q51" s="32"/>
      <c r="R51" s="455"/>
      <c r="S51" s="748"/>
      <c r="T51" s="32"/>
      <c r="U51" s="455"/>
      <c r="V51" s="748"/>
      <c r="W51" s="32"/>
      <c r="X51" s="455"/>
      <c r="Y51" s="748"/>
      <c r="Z51" s="32"/>
      <c r="AA51" s="455"/>
      <c r="AB51" s="748"/>
      <c r="AC51" s="32"/>
      <c r="AD51" s="455"/>
      <c r="AE51" s="748"/>
      <c r="AF51" s="32"/>
      <c r="AG51" s="455"/>
      <c r="AH51" s="748"/>
      <c r="AI51" s="32"/>
      <c r="AJ51" s="455"/>
      <c r="AK51" s="748"/>
      <c r="AL51" s="32"/>
      <c r="AM51" s="455"/>
      <c r="AN51" s="748"/>
      <c r="AO51" s="32"/>
      <c r="AP51" s="455"/>
      <c r="AQ51" s="748"/>
      <c r="AR51" s="32"/>
      <c r="AS51" s="32"/>
    </row>
    <row r="52" spans="1:47" x14ac:dyDescent="0.2">
      <c r="A52" s="629">
        <v>27649</v>
      </c>
      <c r="B52" t="s">
        <v>605</v>
      </c>
      <c r="C52" s="35" t="s">
        <v>616</v>
      </c>
      <c r="D52" s="745">
        <v>39233</v>
      </c>
      <c r="E52" s="37">
        <v>7500</v>
      </c>
      <c r="F52" s="748">
        <v>0.22500000000000001</v>
      </c>
      <c r="G52" s="748" t="s">
        <v>617</v>
      </c>
      <c r="H52" s="748" t="s">
        <v>617</v>
      </c>
      <c r="I52" s="455">
        <v>0</v>
      </c>
      <c r="J52" s="748">
        <f>IF(I52&gt;0,K52/I52/K$7,0)</f>
        <v>0</v>
      </c>
      <c r="K52" s="32">
        <v>0</v>
      </c>
      <c r="L52" s="455">
        <v>0</v>
      </c>
      <c r="M52" s="748">
        <f>IF(L52&gt;0,N52/L52/N$7,0)</f>
        <v>0</v>
      </c>
      <c r="N52" s="32">
        <v>0</v>
      </c>
      <c r="O52" s="455">
        <v>0</v>
      </c>
      <c r="P52" s="748">
        <f>IF(O52&gt;0,Q52/O52/Q$7,0)</f>
        <v>0</v>
      </c>
      <c r="Q52" s="32">
        <v>0</v>
      </c>
      <c r="R52" s="455">
        <v>0</v>
      </c>
      <c r="S52" s="748">
        <f>IF(R52&gt;0,T52/R52/T$7,0)</f>
        <v>0</v>
      </c>
      <c r="T52" s="32">
        <v>0</v>
      </c>
      <c r="U52" s="455">
        <v>0</v>
      </c>
      <c r="V52" s="748">
        <f>IF(U52&gt;0,W52/U52/W$7,0)</f>
        <v>0</v>
      </c>
      <c r="W52" s="32">
        <v>0</v>
      </c>
      <c r="X52" s="455">
        <v>7500</v>
      </c>
      <c r="Y52" s="748">
        <f>IF(X52&gt;0,Z52/X52/Z$7,0)</f>
        <v>0.22500000000000001</v>
      </c>
      <c r="Z52" s="32">
        <f>ROUND($E52*$F52*Z$7,0)</f>
        <v>50625</v>
      </c>
      <c r="AA52" s="455">
        <v>7500</v>
      </c>
      <c r="AB52" s="748">
        <f>IF(AA52&gt;0,AC52/AA52/AC$7,0)</f>
        <v>0.22500215053763442</v>
      </c>
      <c r="AC52" s="32">
        <f t="shared" ref="AC52:AC61" si="40">ROUND($E52*$F52*AC$7,0)</f>
        <v>52313</v>
      </c>
      <c r="AD52" s="455">
        <v>7500</v>
      </c>
      <c r="AE52" s="748">
        <f>IF(AD52&gt;0,AF52/AD52/AF$7,0)</f>
        <v>0.22500215053763442</v>
      </c>
      <c r="AF52" s="32">
        <f t="shared" ref="AF52:AF61" si="41">ROUND($E52*$F52*AF$7,0)</f>
        <v>52313</v>
      </c>
      <c r="AG52" s="455">
        <v>7500</v>
      </c>
      <c r="AH52" s="748">
        <f>IF(AG52&gt;0,AI52/AG52/AI$7,0)</f>
        <v>0.22500000000000001</v>
      </c>
      <c r="AI52" s="32">
        <f t="shared" ref="AI52:AI61" si="42">ROUND($E52*$F52*AI$7,0)</f>
        <v>50625</v>
      </c>
      <c r="AJ52" s="455">
        <v>7500</v>
      </c>
      <c r="AK52" s="748">
        <f>IF(AJ52&gt;0,AL52/AJ52/AL$7,0)</f>
        <v>0.22500215053763442</v>
      </c>
      <c r="AL52" s="32">
        <f t="shared" ref="AL52:AL61" si="43">ROUND($E52*$F52*AL$7,0)</f>
        <v>52313</v>
      </c>
      <c r="AM52" s="455">
        <v>7500</v>
      </c>
      <c r="AN52" s="748">
        <f>IF(AM52&gt;0,AO52/AM52/AO$7,0)</f>
        <v>0.22500000000000001</v>
      </c>
      <c r="AO52" s="32">
        <f t="shared" ref="AO52:AO61" si="44">ROUND($E52*$F52*AO$7,0)</f>
        <v>50625</v>
      </c>
      <c r="AP52" s="455">
        <v>7500</v>
      </c>
      <c r="AQ52" s="748">
        <f>IF(AP52&gt;0,AR52/AP52/AR$7,0)</f>
        <v>0.22500215053763442</v>
      </c>
      <c r="AR52" s="32">
        <f t="shared" ref="AR52:AR61" si="45">ROUND($E52*$F52*AR$7,0)</f>
        <v>52313</v>
      </c>
      <c r="AS52" s="32"/>
      <c r="AU52" s="33">
        <f t="shared" ref="AU52:AU61" si="46">AR52+AO52+AL52+AI52+AF52+AC52+Z52+W52+T52+Q52+N52+K52</f>
        <v>361127</v>
      </c>
    </row>
    <row r="53" spans="1:47" x14ac:dyDescent="0.2">
      <c r="A53" s="629" t="s">
        <v>712</v>
      </c>
      <c r="B53" t="s">
        <v>26</v>
      </c>
      <c r="C53" s="35" t="s">
        <v>616</v>
      </c>
      <c r="D53" s="745">
        <v>37621</v>
      </c>
      <c r="E53" s="37">
        <v>13300</v>
      </c>
      <c r="F53" s="748">
        <v>0.08</v>
      </c>
      <c r="G53" s="748" t="s">
        <v>617</v>
      </c>
      <c r="H53" s="748" t="s">
        <v>617</v>
      </c>
      <c r="I53" s="455">
        <v>0</v>
      </c>
      <c r="J53" s="748">
        <f>IF(I53&gt;0,K53/I53/K$7,0)</f>
        <v>0</v>
      </c>
      <c r="K53" s="32">
        <v>0</v>
      </c>
      <c r="L53" s="455">
        <v>0</v>
      </c>
      <c r="M53" s="748">
        <f>IF(L53&gt;0,N53/L53/N$7,0)</f>
        <v>0</v>
      </c>
      <c r="N53" s="32">
        <v>0</v>
      </c>
      <c r="O53" s="455">
        <v>0</v>
      </c>
      <c r="P53" s="748">
        <f>IF(O53&gt;0,Q53/O53/Q$7,0)</f>
        <v>0</v>
      </c>
      <c r="Q53" s="32">
        <v>0</v>
      </c>
      <c r="R53" s="455">
        <v>0</v>
      </c>
      <c r="S53" s="748">
        <f>IF(R53&gt;0,T53/R53/T$7,0)</f>
        <v>0</v>
      </c>
      <c r="T53" s="32">
        <v>0</v>
      </c>
      <c r="U53" s="455">
        <v>0</v>
      </c>
      <c r="V53" s="748">
        <f>IF(U53&gt;0,W53/U53/W$7,0)</f>
        <v>0</v>
      </c>
      <c r="W53" s="32">
        <v>0</v>
      </c>
      <c r="X53" s="455">
        <f>$E$53</f>
        <v>13300</v>
      </c>
      <c r="Y53" s="748">
        <f>$F$53</f>
        <v>0.08</v>
      </c>
      <c r="Z53" s="32">
        <f>ROUND($E53*$F53*Z$7,0)</f>
        <v>31920</v>
      </c>
      <c r="AA53" s="455">
        <f>$E$53</f>
        <v>13300</v>
      </c>
      <c r="AB53" s="748">
        <f>$F$53</f>
        <v>0.08</v>
      </c>
      <c r="AC53" s="32">
        <f t="shared" si="40"/>
        <v>32984</v>
      </c>
      <c r="AD53" s="455">
        <f>$E$53</f>
        <v>13300</v>
      </c>
      <c r="AE53" s="748">
        <f>$F$53</f>
        <v>0.08</v>
      </c>
      <c r="AF53" s="32">
        <f t="shared" si="41"/>
        <v>32984</v>
      </c>
      <c r="AG53" s="455">
        <f>$E$53</f>
        <v>13300</v>
      </c>
      <c r="AH53" s="748">
        <f>$F$53</f>
        <v>0.08</v>
      </c>
      <c r="AI53" s="32">
        <f t="shared" si="42"/>
        <v>31920</v>
      </c>
      <c r="AJ53" s="455">
        <f>$E$53</f>
        <v>13300</v>
      </c>
      <c r="AK53" s="748">
        <f>$F$53</f>
        <v>0.08</v>
      </c>
      <c r="AL53" s="32">
        <f t="shared" si="43"/>
        <v>32984</v>
      </c>
      <c r="AM53" s="455">
        <f>$E$53</f>
        <v>13300</v>
      </c>
      <c r="AN53" s="748">
        <f>$F$53</f>
        <v>0.08</v>
      </c>
      <c r="AO53" s="32">
        <f t="shared" si="44"/>
        <v>31920</v>
      </c>
      <c r="AP53" s="455">
        <f>$E$53</f>
        <v>13300</v>
      </c>
      <c r="AQ53" s="748">
        <f>$F$53</f>
        <v>0.08</v>
      </c>
      <c r="AR53" s="32">
        <f t="shared" si="45"/>
        <v>32984</v>
      </c>
      <c r="AS53" s="32"/>
      <c r="AU53" s="33">
        <f>AR53+AO53+AL53+AI53+AF53+AC53+Z53+W53+T53+Q53+N53+K53</f>
        <v>227696</v>
      </c>
    </row>
    <row r="54" spans="1:47" x14ac:dyDescent="0.2">
      <c r="A54" s="629">
        <v>27641</v>
      </c>
      <c r="B54" t="s">
        <v>605</v>
      </c>
      <c r="C54" s="35" t="s">
        <v>616</v>
      </c>
      <c r="D54" s="745">
        <v>48395</v>
      </c>
      <c r="E54" s="37">
        <v>20000</v>
      </c>
      <c r="F54" s="748">
        <v>0.38</v>
      </c>
      <c r="G54" s="748" t="s">
        <v>617</v>
      </c>
      <c r="H54" s="748" t="s">
        <v>617</v>
      </c>
      <c r="I54" s="455">
        <v>0</v>
      </c>
      <c r="J54" s="748">
        <f t="shared" ref="J54:J61" si="47">IF(I54&gt;0,K54/I54/K$7,0)</f>
        <v>0</v>
      </c>
      <c r="K54" s="32">
        <v>0</v>
      </c>
      <c r="L54" s="455">
        <v>0</v>
      </c>
      <c r="M54" s="748">
        <f t="shared" ref="M54:M61" si="48">IF(L54&gt;0,N54/L54/N$7,0)</f>
        <v>0</v>
      </c>
      <c r="N54" s="32">
        <v>0</v>
      </c>
      <c r="O54" s="455">
        <v>0</v>
      </c>
      <c r="P54" s="748">
        <f t="shared" ref="P54:P61" si="49">IF(O54&gt;0,Q54/O54/Q$7,0)</f>
        <v>0</v>
      </c>
      <c r="Q54" s="32">
        <v>0</v>
      </c>
      <c r="R54" s="455">
        <v>0</v>
      </c>
      <c r="S54" s="748">
        <f t="shared" ref="S54:S61" si="50">IF(R54&gt;0,T54/R54/T$7,0)</f>
        <v>0</v>
      </c>
      <c r="T54" s="32">
        <v>0</v>
      </c>
      <c r="U54" s="455">
        <v>0</v>
      </c>
      <c r="V54" s="748">
        <f t="shared" ref="V54:V61" si="51">IF(U54&gt;0,W54/U54/W$7,0)</f>
        <v>0</v>
      </c>
      <c r="W54" s="32">
        <v>0</v>
      </c>
      <c r="X54" s="455">
        <v>20000</v>
      </c>
      <c r="Y54" s="748">
        <f t="shared" ref="Y54:Y61" si="52">IF(X54&gt;0,Z54/X54/Z$7,0)</f>
        <v>0.38</v>
      </c>
      <c r="Z54" s="32">
        <f>ROUND($E54*$F54*Z$7,0)</f>
        <v>228000</v>
      </c>
      <c r="AA54" s="455">
        <v>20000</v>
      </c>
      <c r="AB54" s="748">
        <f t="shared" ref="AB54:AB61" si="53">IF(AA54&gt;0,AC54/AA54/AC$7,0)</f>
        <v>0.38</v>
      </c>
      <c r="AC54" s="32">
        <f t="shared" si="40"/>
        <v>235600</v>
      </c>
      <c r="AD54" s="455">
        <v>20000</v>
      </c>
      <c r="AE54" s="748">
        <f t="shared" ref="AE54:AE61" si="54">IF(AD54&gt;0,AF54/AD54/AF$7,0)</f>
        <v>0.38</v>
      </c>
      <c r="AF54" s="32">
        <f t="shared" si="41"/>
        <v>235600</v>
      </c>
      <c r="AG54" s="455">
        <v>20000</v>
      </c>
      <c r="AH54" s="748">
        <f t="shared" ref="AH54:AH61" si="55">IF(AG54&gt;0,AI54/AG54/AI$7,0)</f>
        <v>0.38</v>
      </c>
      <c r="AI54" s="32">
        <f t="shared" si="42"/>
        <v>228000</v>
      </c>
      <c r="AJ54" s="455">
        <v>20000</v>
      </c>
      <c r="AK54" s="748">
        <f t="shared" ref="AK54:AK61" si="56">IF(AJ54&gt;0,AL54/AJ54/AL$7,0)</f>
        <v>0.38</v>
      </c>
      <c r="AL54" s="32">
        <f t="shared" si="43"/>
        <v>235600</v>
      </c>
      <c r="AM54" s="455">
        <v>20000</v>
      </c>
      <c r="AN54" s="748">
        <f t="shared" ref="AN54:AN61" si="57">IF(AM54&gt;0,AO54/AM54/AO$7,0)</f>
        <v>0.38</v>
      </c>
      <c r="AO54" s="32">
        <f t="shared" si="44"/>
        <v>228000</v>
      </c>
      <c r="AP54" s="455">
        <v>20000</v>
      </c>
      <c r="AQ54" s="748">
        <f t="shared" ref="AQ54:AQ61" si="58">IF(AP54&gt;0,AR54/AP54/AR$7,0)</f>
        <v>0.38</v>
      </c>
      <c r="AR54" s="32">
        <f t="shared" si="45"/>
        <v>235600</v>
      </c>
      <c r="AS54" s="32"/>
      <c r="AU54" s="33">
        <f t="shared" si="46"/>
        <v>1626400</v>
      </c>
    </row>
    <row r="55" spans="1:47" x14ac:dyDescent="0.2">
      <c r="A55" s="629">
        <v>27608</v>
      </c>
      <c r="B55" t="s">
        <v>606</v>
      </c>
      <c r="C55" s="35" t="s">
        <v>616</v>
      </c>
      <c r="D55" s="745">
        <v>42886</v>
      </c>
      <c r="E55" s="37">
        <v>10000</v>
      </c>
      <c r="F55" s="748">
        <v>0.38500000000000001</v>
      </c>
      <c r="G55" s="748" t="s">
        <v>617</v>
      </c>
      <c r="H55" s="748" t="s">
        <v>617</v>
      </c>
      <c r="I55" s="455">
        <v>0</v>
      </c>
      <c r="J55" s="748">
        <f t="shared" si="47"/>
        <v>0</v>
      </c>
      <c r="K55" s="32">
        <v>0</v>
      </c>
      <c r="L55" s="455">
        <v>0</v>
      </c>
      <c r="M55" s="748">
        <f t="shared" si="48"/>
        <v>0</v>
      </c>
      <c r="N55" s="32">
        <v>0</v>
      </c>
      <c r="O55" s="455">
        <v>0</v>
      </c>
      <c r="P55" s="748">
        <f t="shared" si="49"/>
        <v>0</v>
      </c>
      <c r="Q55" s="32">
        <v>0</v>
      </c>
      <c r="R55" s="455">
        <v>0</v>
      </c>
      <c r="S55" s="748">
        <f t="shared" si="50"/>
        <v>0</v>
      </c>
      <c r="T55" s="32">
        <v>0</v>
      </c>
      <c r="U55" s="455">
        <v>0</v>
      </c>
      <c r="V55" s="748">
        <f t="shared" si="51"/>
        <v>0</v>
      </c>
      <c r="W55" s="32">
        <v>0</v>
      </c>
      <c r="X55" s="455">
        <v>10000</v>
      </c>
      <c r="Y55" s="748">
        <f t="shared" si="52"/>
        <v>0.38500000000000001</v>
      </c>
      <c r="Z55" s="32">
        <f>ROUND($E55*$F55*Z$7,0)</f>
        <v>115500</v>
      </c>
      <c r="AA55" s="455">
        <v>10000</v>
      </c>
      <c r="AB55" s="748">
        <f t="shared" si="53"/>
        <v>0.38500000000000001</v>
      </c>
      <c r="AC55" s="32">
        <f t="shared" si="40"/>
        <v>119350</v>
      </c>
      <c r="AD55" s="455">
        <v>10000</v>
      </c>
      <c r="AE55" s="748">
        <f t="shared" si="54"/>
        <v>0.38500000000000001</v>
      </c>
      <c r="AF55" s="32">
        <f t="shared" si="41"/>
        <v>119350</v>
      </c>
      <c r="AG55" s="455">
        <v>10000</v>
      </c>
      <c r="AH55" s="748">
        <f t="shared" si="55"/>
        <v>0.38500000000000001</v>
      </c>
      <c r="AI55" s="32">
        <f t="shared" si="42"/>
        <v>115500</v>
      </c>
      <c r="AJ55" s="455">
        <v>10000</v>
      </c>
      <c r="AK55" s="748">
        <f t="shared" si="56"/>
        <v>0.38500000000000001</v>
      </c>
      <c r="AL55" s="32">
        <f t="shared" si="43"/>
        <v>119350</v>
      </c>
      <c r="AM55" s="455">
        <v>10000</v>
      </c>
      <c r="AN55" s="748">
        <f t="shared" si="57"/>
        <v>0.38500000000000001</v>
      </c>
      <c r="AO55" s="32">
        <f t="shared" si="44"/>
        <v>115500</v>
      </c>
      <c r="AP55" s="455">
        <v>10000</v>
      </c>
      <c r="AQ55" s="748">
        <f t="shared" si="58"/>
        <v>0.38500000000000001</v>
      </c>
      <c r="AR55" s="32">
        <f t="shared" si="45"/>
        <v>119350</v>
      </c>
      <c r="AS55" s="32"/>
      <c r="AU55" s="33">
        <f t="shared" si="46"/>
        <v>823900</v>
      </c>
    </row>
    <row r="56" spans="1:47" x14ac:dyDescent="0.2">
      <c r="A56" s="629">
        <v>27607</v>
      </c>
      <c r="B56" t="s">
        <v>607</v>
      </c>
      <c r="C56" s="35" t="s">
        <v>616</v>
      </c>
      <c r="D56" s="745">
        <v>38077</v>
      </c>
      <c r="E56" s="37">
        <v>1700</v>
      </c>
      <c r="F56" s="748">
        <v>1.75</v>
      </c>
      <c r="G56" s="748" t="s">
        <v>617</v>
      </c>
      <c r="H56" s="748" t="s">
        <v>617</v>
      </c>
      <c r="I56" s="455">
        <v>0</v>
      </c>
      <c r="J56" s="748">
        <f t="shared" si="47"/>
        <v>0</v>
      </c>
      <c r="K56" s="32">
        <v>0</v>
      </c>
      <c r="L56" s="455">
        <v>0</v>
      </c>
      <c r="M56" s="748">
        <f t="shared" si="48"/>
        <v>0</v>
      </c>
      <c r="N56" s="32">
        <v>0</v>
      </c>
      <c r="O56" s="455">
        <v>0</v>
      </c>
      <c r="P56" s="748">
        <f t="shared" si="49"/>
        <v>0</v>
      </c>
      <c r="Q56" s="32">
        <v>0</v>
      </c>
      <c r="R56" s="455">
        <v>0</v>
      </c>
      <c r="S56" s="748">
        <f t="shared" si="50"/>
        <v>0</v>
      </c>
      <c r="T56" s="32">
        <v>0</v>
      </c>
      <c r="U56" s="455">
        <v>0</v>
      </c>
      <c r="V56" s="748">
        <f t="shared" si="51"/>
        <v>0</v>
      </c>
      <c r="W56" s="32">
        <v>0</v>
      </c>
      <c r="X56" s="455">
        <v>1700</v>
      </c>
      <c r="Y56" s="748">
        <f t="shared" si="52"/>
        <v>1.75</v>
      </c>
      <c r="Z56" s="32">
        <f>ROUND($E56*$F56*Z$7,0)</f>
        <v>89250</v>
      </c>
      <c r="AA56" s="455">
        <v>1700</v>
      </c>
      <c r="AB56" s="748">
        <f t="shared" si="53"/>
        <v>1.75</v>
      </c>
      <c r="AC56" s="32">
        <f t="shared" si="40"/>
        <v>92225</v>
      </c>
      <c r="AD56" s="455">
        <v>1700</v>
      </c>
      <c r="AE56" s="748">
        <f t="shared" si="54"/>
        <v>1.75</v>
      </c>
      <c r="AF56" s="32">
        <f t="shared" si="41"/>
        <v>92225</v>
      </c>
      <c r="AG56" s="455">
        <v>1700</v>
      </c>
      <c r="AH56" s="748">
        <f t="shared" si="55"/>
        <v>1.75</v>
      </c>
      <c r="AI56" s="32">
        <f t="shared" si="42"/>
        <v>89250</v>
      </c>
      <c r="AJ56" s="455">
        <v>1700</v>
      </c>
      <c r="AK56" s="748">
        <f t="shared" si="56"/>
        <v>1.75</v>
      </c>
      <c r="AL56" s="32">
        <f t="shared" si="43"/>
        <v>92225</v>
      </c>
      <c r="AM56" s="455">
        <v>1700</v>
      </c>
      <c r="AN56" s="748">
        <f t="shared" si="57"/>
        <v>1.75</v>
      </c>
      <c r="AO56" s="32">
        <f t="shared" si="44"/>
        <v>89250</v>
      </c>
      <c r="AP56" s="455">
        <v>1700</v>
      </c>
      <c r="AQ56" s="748">
        <f t="shared" si="58"/>
        <v>1.75</v>
      </c>
      <c r="AR56" s="32">
        <f t="shared" si="45"/>
        <v>92225</v>
      </c>
      <c r="AS56" s="32"/>
      <c r="AU56" s="33">
        <f t="shared" si="46"/>
        <v>636650</v>
      </c>
    </row>
    <row r="57" spans="1:47" x14ac:dyDescent="0.2">
      <c r="A57" s="629">
        <v>27642</v>
      </c>
      <c r="B57" t="s">
        <v>608</v>
      </c>
      <c r="C57" s="35" t="s">
        <v>616</v>
      </c>
      <c r="D57" s="745">
        <v>42886</v>
      </c>
      <c r="E57" s="37">
        <v>40000</v>
      </c>
      <c r="F57" s="748">
        <v>0.38</v>
      </c>
      <c r="G57" s="748" t="s">
        <v>617</v>
      </c>
      <c r="H57" s="748" t="s">
        <v>617</v>
      </c>
      <c r="I57" s="455">
        <v>0</v>
      </c>
      <c r="J57" s="748">
        <f t="shared" si="47"/>
        <v>0</v>
      </c>
      <c r="K57" s="32">
        <v>0</v>
      </c>
      <c r="L57" s="455">
        <v>0</v>
      </c>
      <c r="M57" s="748">
        <f t="shared" si="48"/>
        <v>0</v>
      </c>
      <c r="N57" s="32">
        <v>0</v>
      </c>
      <c r="O57" s="455">
        <v>0</v>
      </c>
      <c r="P57" s="748">
        <f t="shared" si="49"/>
        <v>0</v>
      </c>
      <c r="Q57" s="32">
        <v>0</v>
      </c>
      <c r="R57" s="455">
        <v>0</v>
      </c>
      <c r="S57" s="748">
        <f t="shared" si="50"/>
        <v>0</v>
      </c>
      <c r="T57" s="32">
        <v>0</v>
      </c>
      <c r="U57" s="455">
        <v>0</v>
      </c>
      <c r="V57" s="748">
        <f t="shared" si="51"/>
        <v>0</v>
      </c>
      <c r="W57" s="32">
        <v>0</v>
      </c>
      <c r="X57" s="455">
        <v>0</v>
      </c>
      <c r="Y57" s="748">
        <f t="shared" si="52"/>
        <v>0</v>
      </c>
      <c r="Z57" s="32">
        <v>0</v>
      </c>
      <c r="AA57" s="455">
        <v>40000</v>
      </c>
      <c r="AB57" s="748">
        <f t="shared" si="53"/>
        <v>0.38</v>
      </c>
      <c r="AC57" s="32">
        <f t="shared" si="40"/>
        <v>471200</v>
      </c>
      <c r="AD57" s="455">
        <v>40000</v>
      </c>
      <c r="AE57" s="748">
        <f t="shared" si="54"/>
        <v>0.38</v>
      </c>
      <c r="AF57" s="32">
        <f t="shared" si="41"/>
        <v>471200</v>
      </c>
      <c r="AG57" s="455">
        <v>40000</v>
      </c>
      <c r="AH57" s="748">
        <f t="shared" si="55"/>
        <v>0.38</v>
      </c>
      <c r="AI57" s="32">
        <f t="shared" si="42"/>
        <v>456000</v>
      </c>
      <c r="AJ57" s="455">
        <v>40000</v>
      </c>
      <c r="AK57" s="748">
        <f t="shared" si="56"/>
        <v>0.38</v>
      </c>
      <c r="AL57" s="32">
        <f t="shared" si="43"/>
        <v>471200</v>
      </c>
      <c r="AM57" s="455">
        <v>40000</v>
      </c>
      <c r="AN57" s="748">
        <f t="shared" si="57"/>
        <v>0.38</v>
      </c>
      <c r="AO57" s="32">
        <f t="shared" si="44"/>
        <v>456000</v>
      </c>
      <c r="AP57" s="455">
        <v>40000</v>
      </c>
      <c r="AQ57" s="748">
        <f t="shared" si="58"/>
        <v>0.38</v>
      </c>
      <c r="AR57" s="32">
        <f t="shared" si="45"/>
        <v>471200</v>
      </c>
      <c r="AS57" s="32"/>
      <c r="AU57" s="33">
        <f t="shared" si="46"/>
        <v>2796800</v>
      </c>
    </row>
    <row r="58" spans="1:47" x14ac:dyDescent="0.2">
      <c r="A58" s="629">
        <v>27622</v>
      </c>
      <c r="B58" t="s">
        <v>609</v>
      </c>
      <c r="C58" s="35" t="s">
        <v>616</v>
      </c>
      <c r="D58" s="745">
        <v>41882</v>
      </c>
      <c r="E58" s="37">
        <v>4500</v>
      </c>
      <c r="F58" s="748">
        <v>0.42</v>
      </c>
      <c r="G58" s="748" t="s">
        <v>617</v>
      </c>
      <c r="H58" s="748" t="s">
        <v>617</v>
      </c>
      <c r="I58" s="455">
        <v>0</v>
      </c>
      <c r="J58" s="748">
        <f t="shared" si="47"/>
        <v>0</v>
      </c>
      <c r="K58" s="32">
        <v>0</v>
      </c>
      <c r="L58" s="455">
        <v>0</v>
      </c>
      <c r="M58" s="748">
        <f t="shared" si="48"/>
        <v>0</v>
      </c>
      <c r="N58" s="32">
        <v>0</v>
      </c>
      <c r="O58" s="455">
        <v>0</v>
      </c>
      <c r="P58" s="748">
        <f t="shared" si="49"/>
        <v>0</v>
      </c>
      <c r="Q58" s="32">
        <v>0</v>
      </c>
      <c r="R58" s="455">
        <v>0</v>
      </c>
      <c r="S58" s="748">
        <f t="shared" si="50"/>
        <v>0</v>
      </c>
      <c r="T58" s="32">
        <v>0</v>
      </c>
      <c r="U58" s="455">
        <v>0</v>
      </c>
      <c r="V58" s="748">
        <f t="shared" si="51"/>
        <v>0</v>
      </c>
      <c r="W58" s="32">
        <v>0</v>
      </c>
      <c r="X58" s="455">
        <v>4500</v>
      </c>
      <c r="Y58" s="748">
        <f t="shared" si="52"/>
        <v>0.42</v>
      </c>
      <c r="Z58" s="32">
        <f>ROUND($E58*$F58*Z$7,0)</f>
        <v>56700</v>
      </c>
      <c r="AA58" s="455">
        <v>4500</v>
      </c>
      <c r="AB58" s="748">
        <f t="shared" si="53"/>
        <v>0.42</v>
      </c>
      <c r="AC58" s="32">
        <f t="shared" si="40"/>
        <v>58590</v>
      </c>
      <c r="AD58" s="455">
        <v>4500</v>
      </c>
      <c r="AE58" s="748">
        <f t="shared" si="54"/>
        <v>0.42</v>
      </c>
      <c r="AF58" s="32">
        <f t="shared" si="41"/>
        <v>58590</v>
      </c>
      <c r="AG58" s="455">
        <v>4500</v>
      </c>
      <c r="AH58" s="748">
        <f t="shared" si="55"/>
        <v>0.42</v>
      </c>
      <c r="AI58" s="32">
        <f t="shared" si="42"/>
        <v>56700</v>
      </c>
      <c r="AJ58" s="455">
        <v>4500</v>
      </c>
      <c r="AK58" s="748">
        <f t="shared" si="56"/>
        <v>0.42</v>
      </c>
      <c r="AL58" s="32">
        <f t="shared" si="43"/>
        <v>58590</v>
      </c>
      <c r="AM58" s="455">
        <v>4500</v>
      </c>
      <c r="AN58" s="748">
        <f t="shared" si="57"/>
        <v>0.42</v>
      </c>
      <c r="AO58" s="32">
        <f t="shared" si="44"/>
        <v>56700</v>
      </c>
      <c r="AP58" s="455">
        <v>4500</v>
      </c>
      <c r="AQ58" s="748">
        <f t="shared" si="58"/>
        <v>0.42</v>
      </c>
      <c r="AR58" s="32">
        <f t="shared" si="45"/>
        <v>58590</v>
      </c>
      <c r="AS58" s="32"/>
      <c r="AU58" s="33">
        <f t="shared" si="46"/>
        <v>404460</v>
      </c>
    </row>
    <row r="59" spans="1:47" x14ac:dyDescent="0.2">
      <c r="A59" s="629">
        <v>27609</v>
      </c>
      <c r="B59" t="s">
        <v>306</v>
      </c>
      <c r="C59" s="35" t="s">
        <v>616</v>
      </c>
      <c r="D59" s="745">
        <v>41060</v>
      </c>
      <c r="E59" s="37">
        <v>15000</v>
      </c>
      <c r="F59" s="748">
        <v>0.38</v>
      </c>
      <c r="G59" s="748" t="s">
        <v>617</v>
      </c>
      <c r="H59" s="748" t="s">
        <v>617</v>
      </c>
      <c r="I59" s="455">
        <v>0</v>
      </c>
      <c r="J59" s="748">
        <f t="shared" si="47"/>
        <v>0</v>
      </c>
      <c r="K59" s="32">
        <v>0</v>
      </c>
      <c r="L59" s="455">
        <v>0</v>
      </c>
      <c r="M59" s="748">
        <f t="shared" si="48"/>
        <v>0</v>
      </c>
      <c r="N59" s="32">
        <v>0</v>
      </c>
      <c r="O59" s="455">
        <v>0</v>
      </c>
      <c r="P59" s="748">
        <f t="shared" si="49"/>
        <v>0</v>
      </c>
      <c r="Q59" s="32">
        <v>0</v>
      </c>
      <c r="R59" s="455">
        <v>0</v>
      </c>
      <c r="S59" s="748">
        <f t="shared" si="50"/>
        <v>0</v>
      </c>
      <c r="T59" s="32">
        <v>0</v>
      </c>
      <c r="U59" s="455">
        <v>0</v>
      </c>
      <c r="V59" s="748">
        <f t="shared" si="51"/>
        <v>0</v>
      </c>
      <c r="W59" s="32">
        <v>0</v>
      </c>
      <c r="X59" s="455">
        <v>15000</v>
      </c>
      <c r="Y59" s="748">
        <f t="shared" si="52"/>
        <v>0.38</v>
      </c>
      <c r="Z59" s="32">
        <f>ROUND($E59*$F59*Z$7,0)</f>
        <v>171000</v>
      </c>
      <c r="AA59" s="455">
        <v>15000</v>
      </c>
      <c r="AB59" s="748">
        <f t="shared" si="53"/>
        <v>0.38</v>
      </c>
      <c r="AC59" s="32">
        <f t="shared" si="40"/>
        <v>176700</v>
      </c>
      <c r="AD59" s="455">
        <v>15000</v>
      </c>
      <c r="AE59" s="748">
        <f t="shared" si="54"/>
        <v>0.38</v>
      </c>
      <c r="AF59" s="32">
        <f t="shared" si="41"/>
        <v>176700</v>
      </c>
      <c r="AG59" s="455">
        <v>15000</v>
      </c>
      <c r="AH59" s="748">
        <f t="shared" si="55"/>
        <v>0.38</v>
      </c>
      <c r="AI59" s="32">
        <f t="shared" si="42"/>
        <v>171000</v>
      </c>
      <c r="AJ59" s="455">
        <v>15000</v>
      </c>
      <c r="AK59" s="748">
        <f t="shared" si="56"/>
        <v>0.38</v>
      </c>
      <c r="AL59" s="32">
        <f t="shared" si="43"/>
        <v>176700</v>
      </c>
      <c r="AM59" s="455">
        <v>15000</v>
      </c>
      <c r="AN59" s="748">
        <f t="shared" si="57"/>
        <v>0.38</v>
      </c>
      <c r="AO59" s="32">
        <f t="shared" si="44"/>
        <v>171000</v>
      </c>
      <c r="AP59" s="455">
        <v>15000</v>
      </c>
      <c r="AQ59" s="748">
        <f t="shared" si="58"/>
        <v>0.38</v>
      </c>
      <c r="AR59" s="32">
        <f t="shared" si="45"/>
        <v>176700</v>
      </c>
      <c r="AS59" s="32"/>
      <c r="AU59" s="33">
        <f t="shared" si="46"/>
        <v>1219800</v>
      </c>
    </row>
    <row r="60" spans="1:47" x14ac:dyDescent="0.2">
      <c r="A60" s="629">
        <v>27604</v>
      </c>
      <c r="B60" t="s">
        <v>610</v>
      </c>
      <c r="C60" s="35" t="s">
        <v>616</v>
      </c>
      <c r="D60" s="745">
        <v>37772</v>
      </c>
      <c r="E60" s="37">
        <v>5300</v>
      </c>
      <c r="F60" s="748">
        <v>2.2000000000000002</v>
      </c>
      <c r="G60" s="748" t="s">
        <v>617</v>
      </c>
      <c r="H60" s="748" t="s">
        <v>617</v>
      </c>
      <c r="I60" s="455">
        <v>0</v>
      </c>
      <c r="J60" s="748">
        <f t="shared" si="47"/>
        <v>0</v>
      </c>
      <c r="K60" s="32">
        <v>0</v>
      </c>
      <c r="L60" s="455">
        <v>0</v>
      </c>
      <c r="M60" s="748">
        <f t="shared" si="48"/>
        <v>0</v>
      </c>
      <c r="N60" s="32">
        <v>0</v>
      </c>
      <c r="O60" s="455">
        <v>0</v>
      </c>
      <c r="P60" s="748">
        <f t="shared" si="49"/>
        <v>0</v>
      </c>
      <c r="Q60" s="32">
        <v>0</v>
      </c>
      <c r="R60" s="455">
        <v>0</v>
      </c>
      <c r="S60" s="748">
        <f t="shared" si="50"/>
        <v>0</v>
      </c>
      <c r="T60" s="32">
        <v>0</v>
      </c>
      <c r="U60" s="455">
        <v>0</v>
      </c>
      <c r="V60" s="748">
        <f t="shared" si="51"/>
        <v>0</v>
      </c>
      <c r="W60" s="32">
        <v>0</v>
      </c>
      <c r="X60" s="455">
        <v>5300</v>
      </c>
      <c r="Y60" s="748">
        <f t="shared" si="52"/>
        <v>2.2000000000000002</v>
      </c>
      <c r="Z60" s="32">
        <f>ROUND($E60*$F60*Z$7,0)</f>
        <v>349800</v>
      </c>
      <c r="AA60" s="455">
        <v>5300</v>
      </c>
      <c r="AB60" s="748">
        <f t="shared" si="53"/>
        <v>2.2000000000000002</v>
      </c>
      <c r="AC60" s="32">
        <f t="shared" si="40"/>
        <v>361460</v>
      </c>
      <c r="AD60" s="455">
        <v>5300</v>
      </c>
      <c r="AE60" s="748">
        <f t="shared" si="54"/>
        <v>2.2000000000000002</v>
      </c>
      <c r="AF60" s="32">
        <f t="shared" si="41"/>
        <v>361460</v>
      </c>
      <c r="AG60" s="455">
        <v>5300</v>
      </c>
      <c r="AH60" s="748">
        <f t="shared" si="55"/>
        <v>2.2000000000000002</v>
      </c>
      <c r="AI60" s="32">
        <f t="shared" si="42"/>
        <v>349800</v>
      </c>
      <c r="AJ60" s="455">
        <v>5300</v>
      </c>
      <c r="AK60" s="748">
        <f t="shared" si="56"/>
        <v>2.2000000000000002</v>
      </c>
      <c r="AL60" s="32">
        <f t="shared" si="43"/>
        <v>361460</v>
      </c>
      <c r="AM60" s="455">
        <v>5300</v>
      </c>
      <c r="AN60" s="748">
        <f t="shared" si="57"/>
        <v>2.2000000000000002</v>
      </c>
      <c r="AO60" s="32">
        <f t="shared" si="44"/>
        <v>349800</v>
      </c>
      <c r="AP60" s="455">
        <v>5300</v>
      </c>
      <c r="AQ60" s="748">
        <f t="shared" si="58"/>
        <v>2.2000000000000002</v>
      </c>
      <c r="AR60" s="32">
        <f t="shared" si="45"/>
        <v>361460</v>
      </c>
      <c r="AS60" s="32"/>
      <c r="AU60" s="33">
        <f t="shared" si="46"/>
        <v>2495240</v>
      </c>
    </row>
    <row r="61" spans="1:47" x14ac:dyDescent="0.2">
      <c r="A61" s="629">
        <v>27605</v>
      </c>
      <c r="B61" t="s">
        <v>610</v>
      </c>
      <c r="C61" s="35" t="s">
        <v>616</v>
      </c>
      <c r="D61" s="745">
        <v>42886</v>
      </c>
      <c r="E61" s="753">
        <v>2700</v>
      </c>
      <c r="F61" s="748">
        <v>0.38</v>
      </c>
      <c r="G61" s="748" t="s">
        <v>617</v>
      </c>
      <c r="H61" s="748" t="s">
        <v>617</v>
      </c>
      <c r="I61" s="777">
        <v>0</v>
      </c>
      <c r="J61" s="748">
        <f t="shared" si="47"/>
        <v>0</v>
      </c>
      <c r="K61" s="39">
        <v>0</v>
      </c>
      <c r="L61" s="777">
        <v>0</v>
      </c>
      <c r="M61" s="748">
        <f t="shared" si="48"/>
        <v>0</v>
      </c>
      <c r="N61" s="39">
        <v>0</v>
      </c>
      <c r="O61" s="777">
        <v>0</v>
      </c>
      <c r="P61" s="748">
        <f t="shared" si="49"/>
        <v>0</v>
      </c>
      <c r="Q61" s="39">
        <v>0</v>
      </c>
      <c r="R61" s="777">
        <v>0</v>
      </c>
      <c r="S61" s="748">
        <f t="shared" si="50"/>
        <v>0</v>
      </c>
      <c r="T61" s="39">
        <v>0</v>
      </c>
      <c r="U61" s="777">
        <v>0</v>
      </c>
      <c r="V61" s="748">
        <f t="shared" si="51"/>
        <v>0</v>
      </c>
      <c r="W61" s="39">
        <v>0</v>
      </c>
      <c r="X61" s="777">
        <v>2700</v>
      </c>
      <c r="Y61" s="748">
        <f t="shared" si="52"/>
        <v>0.38</v>
      </c>
      <c r="Z61" s="39">
        <f>ROUND($E61*$F61*Z$7,0)</f>
        <v>30780</v>
      </c>
      <c r="AA61" s="777">
        <v>2700</v>
      </c>
      <c r="AB61" s="748">
        <f t="shared" si="53"/>
        <v>0.38</v>
      </c>
      <c r="AC61" s="39">
        <f t="shared" si="40"/>
        <v>31806</v>
      </c>
      <c r="AD61" s="777">
        <v>2700</v>
      </c>
      <c r="AE61" s="748">
        <f t="shared" si="54"/>
        <v>0.38</v>
      </c>
      <c r="AF61" s="39">
        <f t="shared" si="41"/>
        <v>31806</v>
      </c>
      <c r="AG61" s="777">
        <v>2700</v>
      </c>
      <c r="AH61" s="748">
        <f t="shared" si="55"/>
        <v>0.38</v>
      </c>
      <c r="AI61" s="39">
        <f t="shared" si="42"/>
        <v>30780</v>
      </c>
      <c r="AJ61" s="777">
        <v>2700</v>
      </c>
      <c r="AK61" s="748">
        <f t="shared" si="56"/>
        <v>0.38</v>
      </c>
      <c r="AL61" s="39">
        <f t="shared" si="43"/>
        <v>31806</v>
      </c>
      <c r="AM61" s="777">
        <v>2700</v>
      </c>
      <c r="AN61" s="748">
        <f t="shared" si="57"/>
        <v>0.38</v>
      </c>
      <c r="AO61" s="39">
        <f t="shared" si="44"/>
        <v>30780</v>
      </c>
      <c r="AP61" s="777">
        <v>2700</v>
      </c>
      <c r="AQ61" s="748">
        <f t="shared" si="58"/>
        <v>0.38</v>
      </c>
      <c r="AR61" s="39">
        <f t="shared" si="45"/>
        <v>31806</v>
      </c>
      <c r="AS61" s="32"/>
      <c r="AU61" s="804">
        <f t="shared" si="46"/>
        <v>219564</v>
      </c>
    </row>
    <row r="62" spans="1:47" x14ac:dyDescent="0.2">
      <c r="A62" s="629" t="s">
        <v>614</v>
      </c>
      <c r="E62" s="37">
        <f>SUM(E51:E61)</f>
        <v>120000</v>
      </c>
      <c r="I62" s="455">
        <f>SUM(I52:I61)</f>
        <v>0</v>
      </c>
      <c r="K62" s="32">
        <f>SUM(K51:K61)</f>
        <v>0</v>
      </c>
      <c r="L62" s="455">
        <f>SUM(L52:L61)</f>
        <v>0</v>
      </c>
      <c r="M62" s="748"/>
      <c r="N62" s="32">
        <f>SUM(N51:N61)</f>
        <v>0</v>
      </c>
      <c r="O62" s="455">
        <f>SUM(O52:O61)</f>
        <v>0</v>
      </c>
      <c r="P62" s="748"/>
      <c r="Q62" s="32">
        <f>SUM(Q51:Q61)</f>
        <v>0</v>
      </c>
      <c r="R62" s="455">
        <f>SUM(R52:R61)</f>
        <v>0</v>
      </c>
      <c r="S62" s="748"/>
      <c r="T62" s="32">
        <f>SUM(T51:T61)</f>
        <v>0</v>
      </c>
      <c r="U62" s="455">
        <f>SUM(U52:U61)</f>
        <v>0</v>
      </c>
      <c r="V62" s="748"/>
      <c r="W62" s="32">
        <f>SUM(W51:W61)</f>
        <v>0</v>
      </c>
      <c r="X62" s="455">
        <f>SUM(X52:X61)</f>
        <v>80000</v>
      </c>
      <c r="Y62" s="748"/>
      <c r="Z62" s="32">
        <f>SUM(Z51:Z61)</f>
        <v>1123575</v>
      </c>
      <c r="AA62" s="455">
        <f>SUM(AA52:AA61)</f>
        <v>120000</v>
      </c>
      <c r="AB62" s="748"/>
      <c r="AC62" s="32">
        <f>SUM(AC51:AC61)</f>
        <v>1632228</v>
      </c>
      <c r="AD62" s="455">
        <f>SUM(AD52:AD61)</f>
        <v>120000</v>
      </c>
      <c r="AE62" s="748"/>
      <c r="AF62" s="32">
        <f>SUM(AF51:AF61)</f>
        <v>1632228</v>
      </c>
      <c r="AG62" s="455">
        <f>SUM(AG52:AG61)</f>
        <v>120000</v>
      </c>
      <c r="AH62" s="748"/>
      <c r="AI62" s="32">
        <f>SUM(AI51:AI61)</f>
        <v>1579575</v>
      </c>
      <c r="AJ62" s="455">
        <f>SUM(AJ52:AJ61)</f>
        <v>120000</v>
      </c>
      <c r="AK62" s="748"/>
      <c r="AL62" s="32">
        <f>SUM(AL51:AL61)</f>
        <v>1632228</v>
      </c>
      <c r="AM62" s="455">
        <f>SUM(AM52:AM61)</f>
        <v>120000</v>
      </c>
      <c r="AN62" s="748"/>
      <c r="AO62" s="32">
        <f>SUM(AO51:AO61)</f>
        <v>1579575</v>
      </c>
      <c r="AP62" s="455">
        <f>SUM(AP52:AP61)</f>
        <v>120000</v>
      </c>
      <c r="AQ62" s="748"/>
      <c r="AR62" s="32">
        <f>SUM(AR51:AR61)</f>
        <v>1632228</v>
      </c>
      <c r="AS62" s="32"/>
      <c r="AU62" s="802">
        <f>SUM(AU52:AU61)</f>
        <v>10811637</v>
      </c>
    </row>
    <row r="63" spans="1:47" x14ac:dyDescent="0.2">
      <c r="I63" s="455"/>
      <c r="K63" s="32"/>
      <c r="L63" s="455"/>
      <c r="M63" s="748"/>
      <c r="N63" s="32"/>
      <c r="O63" s="455"/>
      <c r="P63" s="748"/>
      <c r="Q63" s="32"/>
      <c r="R63" s="455"/>
      <c r="S63" s="748"/>
      <c r="T63" s="32"/>
      <c r="U63" s="455"/>
      <c r="V63" s="748"/>
      <c r="W63" s="32"/>
      <c r="X63" s="455"/>
      <c r="Y63" s="748"/>
      <c r="Z63" s="32"/>
      <c r="AA63" s="455"/>
      <c r="AB63" s="748"/>
      <c r="AC63" s="32"/>
      <c r="AD63" s="455"/>
      <c r="AE63" s="748"/>
      <c r="AF63" s="32"/>
      <c r="AG63" s="455"/>
      <c r="AH63" s="748"/>
      <c r="AI63" s="32"/>
      <c r="AJ63" s="455"/>
      <c r="AK63" s="748"/>
      <c r="AL63" s="32"/>
      <c r="AM63" s="455"/>
      <c r="AN63" s="748"/>
      <c r="AO63" s="32"/>
      <c r="AP63" s="455"/>
      <c r="AQ63" s="748"/>
      <c r="AR63" s="32"/>
      <c r="AS63" s="32"/>
    </row>
    <row r="64" spans="1:47" x14ac:dyDescent="0.2">
      <c r="A64" s="629">
        <v>26683</v>
      </c>
      <c r="B64" t="s">
        <v>611</v>
      </c>
      <c r="C64" s="745">
        <v>37347</v>
      </c>
      <c r="D64" s="745">
        <v>37711</v>
      </c>
      <c r="E64" s="37">
        <v>8000</v>
      </c>
      <c r="F64" s="748">
        <v>0.3453</v>
      </c>
      <c r="G64" s="748">
        <v>2.46E-2</v>
      </c>
      <c r="H64" s="748">
        <f>SUM(F64:G64)</f>
        <v>0.36990000000000001</v>
      </c>
      <c r="I64" s="455">
        <v>0</v>
      </c>
      <c r="J64" s="748">
        <f>IF(I64&gt;0,K64/I64/K$7,0)</f>
        <v>0</v>
      </c>
      <c r="K64" s="32">
        <v>0</v>
      </c>
      <c r="L64" s="455">
        <v>0</v>
      </c>
      <c r="M64" s="748">
        <f>IF(L64&gt;0,N64/L64/N$7,0)</f>
        <v>0</v>
      </c>
      <c r="N64" s="32">
        <v>0</v>
      </c>
      <c r="O64" s="455">
        <v>0</v>
      </c>
      <c r="P64" s="748">
        <f>IF(O64&gt;0,Q64/O64/Q$7,0)</f>
        <v>0</v>
      </c>
      <c r="Q64" s="32">
        <v>0</v>
      </c>
      <c r="R64" s="455">
        <f>$E64</f>
        <v>8000</v>
      </c>
      <c r="S64" s="748">
        <f t="shared" ref="S64:S71" si="59">IF(R64&gt;0,T64/R64/T$7,0)</f>
        <v>0.3453</v>
      </c>
      <c r="T64" s="32">
        <f>ROUND($E64*$F64*T$7,0)</f>
        <v>82872</v>
      </c>
      <c r="U64" s="455">
        <v>8000</v>
      </c>
      <c r="V64" s="748">
        <f>IF(U64&gt;0,W64/U64/W$7,0)</f>
        <v>0.34529838709677418</v>
      </c>
      <c r="W64" s="32">
        <f>ROUND($E64*$F64*W$7,0)</f>
        <v>85634</v>
      </c>
      <c r="X64" s="455">
        <v>8000</v>
      </c>
      <c r="Y64" s="748">
        <f>IF(X64&gt;0,Z64/X64/Z$7,0)</f>
        <v>0.3453</v>
      </c>
      <c r="Z64" s="32">
        <f>ROUND($E64*$F64*Z$7,0)</f>
        <v>82872</v>
      </c>
      <c r="AA64" s="455">
        <v>8000</v>
      </c>
      <c r="AB64" s="748">
        <f>IF(AA64&gt;0,AC64/AA64/AC$7,0)</f>
        <v>0.34529838709677418</v>
      </c>
      <c r="AC64" s="32">
        <f>ROUND($E64*$F64*AC$7,0)</f>
        <v>85634</v>
      </c>
      <c r="AD64" s="455">
        <v>8000</v>
      </c>
      <c r="AE64" s="748">
        <f>IF(AD64&gt;0,AF64/AD64/AF$7,0)</f>
        <v>0.34529838709677418</v>
      </c>
      <c r="AF64" s="32">
        <f>ROUND($E64*$F64*AF$7,0)</f>
        <v>85634</v>
      </c>
      <c r="AG64" s="455">
        <v>8000</v>
      </c>
      <c r="AH64" s="748">
        <f>IF(AG64&gt;0,AI64/AG64/AI$7,0)</f>
        <v>0.3453</v>
      </c>
      <c r="AI64" s="32">
        <f>ROUND($E64*$F64*AI$7,0)</f>
        <v>82872</v>
      </c>
      <c r="AJ64" s="455">
        <v>8000</v>
      </c>
      <c r="AK64" s="748">
        <f>IF(AJ64&gt;0,AL64/AJ64/AL$7,0)</f>
        <v>0.34529838709677418</v>
      </c>
      <c r="AL64" s="32">
        <f>ROUND($E64*$F64*AL$7,0)</f>
        <v>85634</v>
      </c>
      <c r="AM64" s="455">
        <v>8000</v>
      </c>
      <c r="AN64" s="748">
        <f t="shared" ref="AN64:AN71" si="60">IF(AM64&gt;0,AO64/AM64/AO$7,0)</f>
        <v>0.3453</v>
      </c>
      <c r="AO64" s="32">
        <f>ROUND($E64*$F64*AO$7,0)</f>
        <v>82872</v>
      </c>
      <c r="AP64" s="455">
        <v>8000</v>
      </c>
      <c r="AQ64" s="748">
        <f t="shared" ref="AQ64:AQ71" si="61">IF(AP64&gt;0,AR64/AP64/AR$7,0)</f>
        <v>0.34529838709677418</v>
      </c>
      <c r="AR64" s="32">
        <f>ROUND($E64*$F64*AR$7,0)</f>
        <v>85634</v>
      </c>
      <c r="AS64" s="32"/>
      <c r="AU64" s="33">
        <f t="shared" ref="AU64:AU71" si="62">AR64+AO64+AL64+AI64+AF64+AC64+Z64+W64+T64+Q64+N64+K64</f>
        <v>759658</v>
      </c>
    </row>
    <row r="65" spans="1:48" x14ac:dyDescent="0.2">
      <c r="A65" s="629">
        <v>8255</v>
      </c>
      <c r="B65" t="s">
        <v>285</v>
      </c>
      <c r="D65" s="745" t="s">
        <v>655</v>
      </c>
      <c r="E65" s="37">
        <v>306000</v>
      </c>
      <c r="F65" s="748">
        <f>0.3297-0.3232</f>
        <v>6.5000000000000058E-3</v>
      </c>
      <c r="G65" s="1105" t="s">
        <v>647</v>
      </c>
      <c r="H65" s="1105"/>
      <c r="I65" s="455">
        <v>0</v>
      </c>
      <c r="J65" s="748">
        <f>IF(I65&gt;0,K65/I65/K$7,0)</f>
        <v>0</v>
      </c>
      <c r="K65" s="32">
        <f>ROUND($E65*$F65*K$7,0)</f>
        <v>61659</v>
      </c>
      <c r="L65" s="455">
        <v>0</v>
      </c>
      <c r="M65" s="748">
        <f>IF(L65&gt;0,N65/L65/N$7,0)</f>
        <v>0</v>
      </c>
      <c r="N65" s="32">
        <f>ROUND($E65*$F65*N$7,0)</f>
        <v>55692</v>
      </c>
      <c r="O65" s="455">
        <v>0</v>
      </c>
      <c r="P65" s="748">
        <f>IF(O65&gt;0,Q65/O65/Q$7,0)</f>
        <v>0</v>
      </c>
      <c r="Q65" s="32">
        <f>ROUND($E65*$F65*Q$7,0)</f>
        <v>61659</v>
      </c>
      <c r="R65" s="455">
        <v>0</v>
      </c>
      <c r="S65" s="748">
        <f t="shared" si="59"/>
        <v>0</v>
      </c>
      <c r="T65" s="32">
        <f>ROUND($E65*$F65*T$7,0)</f>
        <v>59670</v>
      </c>
      <c r="U65" s="455">
        <v>0</v>
      </c>
      <c r="V65" s="748">
        <f>IF(U65&gt;0,W65/U65/W$7,0)</f>
        <v>0</v>
      </c>
      <c r="W65" s="32">
        <f>ROUND($E65*$F65*W$7,0)</f>
        <v>61659</v>
      </c>
      <c r="X65" s="455">
        <v>0</v>
      </c>
      <c r="Y65" s="748">
        <f>IF(X65&gt;0,Z65/X65/Z$7,0)</f>
        <v>0</v>
      </c>
      <c r="Z65" s="32">
        <f>ROUND($E65*$F65*Z$7,0)</f>
        <v>59670</v>
      </c>
      <c r="AA65" s="455">
        <v>0</v>
      </c>
      <c r="AB65" s="748">
        <f>IF(AA65&gt;0,AC65/AA65/AC$7,0)</f>
        <v>0</v>
      </c>
      <c r="AC65" s="32">
        <f>ROUND($E65*$F65*AC$7,0)</f>
        <v>61659</v>
      </c>
      <c r="AD65" s="455">
        <v>0</v>
      </c>
      <c r="AE65" s="748">
        <f>IF(AD65&gt;0,AF65/AD65/AF$7,0)</f>
        <v>0</v>
      </c>
      <c r="AF65" s="32">
        <f>ROUND($E65*$F65*AF$7,0)</f>
        <v>61659</v>
      </c>
      <c r="AG65" s="455">
        <v>0</v>
      </c>
      <c r="AH65" s="748">
        <f>IF(AG65&gt;0,AI65/AG65/AI$7,0)</f>
        <v>0</v>
      </c>
      <c r="AI65" s="32">
        <f>ROUND($E65*$F65*AI$7,0)</f>
        <v>59670</v>
      </c>
      <c r="AJ65" s="455">
        <v>0</v>
      </c>
      <c r="AK65" s="748">
        <f>IF(AJ65&gt;0,AL65/AJ65/AL$7,0)</f>
        <v>0</v>
      </c>
      <c r="AL65" s="32">
        <f>ROUND($E65*$F65*AL$7,0)</f>
        <v>61659</v>
      </c>
      <c r="AM65" s="455">
        <v>0</v>
      </c>
      <c r="AN65" s="748">
        <f t="shared" si="60"/>
        <v>0</v>
      </c>
      <c r="AO65" s="32">
        <f>ROUND($E65*(0.3364-0.3232)*AO$7,0)</f>
        <v>121176</v>
      </c>
      <c r="AP65" s="455">
        <v>0</v>
      </c>
      <c r="AQ65" s="748">
        <f t="shared" si="61"/>
        <v>0</v>
      </c>
      <c r="AR65" s="32">
        <f>ROUND($E65*(0.3364-0.3232)*AR$7,0)</f>
        <v>125215</v>
      </c>
      <c r="AS65" s="32"/>
      <c r="AT65" s="31">
        <f>SUM(I65:AS65)</f>
        <v>851047</v>
      </c>
      <c r="AU65" s="33">
        <f t="shared" si="62"/>
        <v>851047</v>
      </c>
    </row>
    <row r="66" spans="1:48" x14ac:dyDescent="0.2">
      <c r="A66" s="936">
        <v>27581</v>
      </c>
      <c r="B66" s="41" t="s">
        <v>425</v>
      </c>
      <c r="C66" s="972">
        <v>37196</v>
      </c>
      <c r="D66" s="972">
        <v>37925</v>
      </c>
      <c r="E66" s="40"/>
      <c r="F66" s="973"/>
      <c r="G66" s="974"/>
      <c r="H66" s="974"/>
      <c r="I66" s="975"/>
      <c r="J66" s="973"/>
      <c r="K66" s="976"/>
      <c r="L66" s="975"/>
      <c r="M66" s="973"/>
      <c r="N66" s="976"/>
      <c r="O66" s="975"/>
      <c r="P66" s="973"/>
      <c r="Q66" s="977"/>
      <c r="R66" s="41">
        <v>0</v>
      </c>
      <c r="S66" s="41">
        <v>0</v>
      </c>
      <c r="T66" s="393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393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975"/>
      <c r="AN66" s="973"/>
      <c r="AO66" s="976"/>
      <c r="AP66" s="975"/>
      <c r="AQ66" s="973"/>
      <c r="AR66" s="976"/>
      <c r="AS66" s="976"/>
      <c r="AT66" s="978"/>
      <c r="AU66" s="961">
        <f t="shared" si="62"/>
        <v>0</v>
      </c>
    </row>
    <row r="67" spans="1:48" x14ac:dyDescent="0.2">
      <c r="A67" s="936">
        <v>27581</v>
      </c>
      <c r="B67" s="41" t="s">
        <v>425</v>
      </c>
      <c r="C67" s="972">
        <v>37196</v>
      </c>
      <c r="D67" s="972">
        <v>37925</v>
      </c>
      <c r="E67" s="40">
        <v>14000</v>
      </c>
      <c r="F67" s="973">
        <v>-0.12</v>
      </c>
      <c r="G67" s="974"/>
      <c r="H67" s="974"/>
      <c r="I67" s="975"/>
      <c r="J67" s="973"/>
      <c r="K67" s="976"/>
      <c r="L67" s="975"/>
      <c r="M67" s="973"/>
      <c r="N67" s="976"/>
      <c r="O67" s="975"/>
      <c r="P67" s="973"/>
      <c r="Q67" s="976"/>
      <c r="R67" s="975">
        <v>0</v>
      </c>
      <c r="S67" s="973">
        <v>0</v>
      </c>
      <c r="T67" s="32">
        <f>ROUND($E67*$F67*T$7,0)</f>
        <v>-50400</v>
      </c>
      <c r="U67" s="975">
        <v>0</v>
      </c>
      <c r="V67" s="973">
        <v>0</v>
      </c>
      <c r="W67" s="32">
        <f>ROUND($E67*$F67*W$7,0)</f>
        <v>-52080</v>
      </c>
      <c r="X67" s="975">
        <v>0</v>
      </c>
      <c r="Y67" s="973">
        <v>0</v>
      </c>
      <c r="Z67" s="32">
        <f>ROUND($E67*$F67*Z$7,0)</f>
        <v>-50400</v>
      </c>
      <c r="AA67" s="975">
        <v>0</v>
      </c>
      <c r="AB67" s="973">
        <v>0</v>
      </c>
      <c r="AC67" s="32">
        <f>ROUND($E67*$F67*AC$7,0)</f>
        <v>-52080</v>
      </c>
      <c r="AD67" s="975">
        <v>0</v>
      </c>
      <c r="AE67" s="973">
        <v>0</v>
      </c>
      <c r="AF67" s="32">
        <f>ROUND($E67*$F67*AF$7,0)</f>
        <v>-52080</v>
      </c>
      <c r="AG67" s="975">
        <v>0</v>
      </c>
      <c r="AH67" s="973">
        <v>0</v>
      </c>
      <c r="AI67" s="32">
        <f>ROUND($E67*$F67*AI$7,0)</f>
        <v>-50400</v>
      </c>
      <c r="AJ67" s="975">
        <v>0</v>
      </c>
      <c r="AK67" s="973">
        <v>0</v>
      </c>
      <c r="AL67" s="32">
        <f>ROUND($E67*$F67*AL$7,0)</f>
        <v>-52080</v>
      </c>
      <c r="AM67" s="975">
        <v>0</v>
      </c>
      <c r="AN67" s="973">
        <f>IF(AM67&gt;0,AO67/AM67/AO$7,0)</f>
        <v>0</v>
      </c>
      <c r="AO67" s="976">
        <v>0</v>
      </c>
      <c r="AP67" s="975">
        <v>0</v>
      </c>
      <c r="AQ67" s="973">
        <f>IF(AP67&gt;0,AR67/AP67/AR$7,0)</f>
        <v>0</v>
      </c>
      <c r="AR67" s="976">
        <v>0</v>
      </c>
      <c r="AS67" s="976"/>
      <c r="AT67" s="978">
        <f>SUM(I67:AS67)</f>
        <v>-359520</v>
      </c>
      <c r="AU67" s="961">
        <f>AR67+AO67+AL67+AI67+AF67+AC67+Z67+W67+T67+Q67+N67+K67</f>
        <v>-359520</v>
      </c>
    </row>
    <row r="68" spans="1:48" x14ac:dyDescent="0.2">
      <c r="A68" s="629">
        <v>27340</v>
      </c>
      <c r="B68" t="s">
        <v>645</v>
      </c>
      <c r="C68" s="745"/>
      <c r="D68" s="745">
        <v>37287</v>
      </c>
      <c r="E68" s="37">
        <v>10000</v>
      </c>
      <c r="F68" s="748">
        <v>0.12</v>
      </c>
      <c r="G68" s="748" t="s">
        <v>617</v>
      </c>
      <c r="H68" s="748" t="s">
        <v>617</v>
      </c>
      <c r="I68" s="455">
        <v>0</v>
      </c>
      <c r="J68" s="748">
        <f>IF(I68&gt;0,K68/I68/K$7,0)</f>
        <v>0</v>
      </c>
      <c r="K68" s="32">
        <v>0</v>
      </c>
      <c r="L68" s="455">
        <f>$E$68</f>
        <v>10000</v>
      </c>
      <c r="M68" s="748">
        <f>IF(L68&gt;0,N68/L68/N$7,0)</f>
        <v>0.12</v>
      </c>
      <c r="N68" s="32">
        <f>ROUND($E68*$F68*N$7,0)</f>
        <v>33600</v>
      </c>
      <c r="O68" s="455">
        <f>$E$68</f>
        <v>10000</v>
      </c>
      <c r="P68" s="748">
        <f>IF(O68&gt;0,Q68/O68/Q$7,0)</f>
        <v>0.12000000000000001</v>
      </c>
      <c r="Q68" s="32">
        <f>ROUND($E68*$F68*Q$7,0)</f>
        <v>37200</v>
      </c>
      <c r="R68" s="455">
        <f>$E$68</f>
        <v>10000</v>
      </c>
      <c r="S68" s="748">
        <f t="shared" si="59"/>
        <v>0.12000000000000001</v>
      </c>
      <c r="T68" s="32">
        <f>ROUND($E68*$F68*T$7,0)</f>
        <v>36000</v>
      </c>
      <c r="U68" s="455">
        <f>$E$68</f>
        <v>10000</v>
      </c>
      <c r="V68" s="748">
        <f>IF(U68&gt;0,W68/U68/W$7,0)</f>
        <v>0.12000000000000001</v>
      </c>
      <c r="W68" s="32">
        <f>ROUND($E68*$F68*W$7,0)</f>
        <v>37200</v>
      </c>
      <c r="X68" s="455">
        <f>$E$68</f>
        <v>10000</v>
      </c>
      <c r="Y68" s="748">
        <f>IF(X68&gt;0,Z68/X68/Z$7,0)</f>
        <v>0.12000000000000001</v>
      </c>
      <c r="Z68" s="32">
        <f>ROUND($E68*$F68*Z$7,0)</f>
        <v>36000</v>
      </c>
      <c r="AA68" s="455">
        <f>$E$68</f>
        <v>10000</v>
      </c>
      <c r="AB68" s="748">
        <f>IF(AA68&gt;0,AC68/AA68/AC$7,0)</f>
        <v>0.12000000000000001</v>
      </c>
      <c r="AC68" s="32">
        <f>ROUND($E68*$F68*AC$7,0)</f>
        <v>37200</v>
      </c>
      <c r="AD68" s="455">
        <f>$E$68</f>
        <v>10000</v>
      </c>
      <c r="AE68" s="748">
        <f>IF(AD68&gt;0,AF68/AD68/AF$7,0)</f>
        <v>0.12000000000000001</v>
      </c>
      <c r="AF68" s="32">
        <f>ROUND($E68*$F68*AF$7,0)</f>
        <v>37200</v>
      </c>
      <c r="AG68" s="455">
        <f>$E$68</f>
        <v>10000</v>
      </c>
      <c r="AH68" s="748">
        <f>IF(AG68&gt;0,AI68/AG68/AI$7,0)</f>
        <v>0.12000000000000001</v>
      </c>
      <c r="AI68" s="32">
        <f>ROUND($E68*$F68*AI$7,0)</f>
        <v>36000</v>
      </c>
      <c r="AJ68" s="455">
        <f>$E$68</f>
        <v>10000</v>
      </c>
      <c r="AK68" s="748">
        <f>IF(AJ68&gt;0,AL68/AJ68/AL$7,0)</f>
        <v>0.12000000000000001</v>
      </c>
      <c r="AL68" s="32">
        <f>ROUND($E68*$F68*AL$7,0)</f>
        <v>37200</v>
      </c>
      <c r="AM68" s="455">
        <f>$E$68</f>
        <v>10000</v>
      </c>
      <c r="AN68" s="748">
        <f t="shared" si="60"/>
        <v>0.12000000000000001</v>
      </c>
      <c r="AO68" s="32">
        <f>ROUND($E68*$F68*AO$7,0)</f>
        <v>36000</v>
      </c>
      <c r="AP68" s="455">
        <f>$E$68</f>
        <v>10000</v>
      </c>
      <c r="AQ68" s="748">
        <f t="shared" si="61"/>
        <v>0.12000000000000001</v>
      </c>
      <c r="AR68" s="32">
        <f>ROUND($E68*$F68*AR$7,0)</f>
        <v>37200</v>
      </c>
      <c r="AS68" s="32"/>
      <c r="AU68" s="33">
        <f t="shared" si="62"/>
        <v>400800</v>
      </c>
    </row>
    <row r="69" spans="1:48" x14ac:dyDescent="0.2">
      <c r="A69" s="629">
        <v>27340</v>
      </c>
      <c r="B69" t="s">
        <v>645</v>
      </c>
      <c r="C69" s="745"/>
      <c r="D69" s="745">
        <v>37287</v>
      </c>
      <c r="E69" s="37">
        <v>10000</v>
      </c>
      <c r="F69" s="748">
        <v>0.08</v>
      </c>
      <c r="G69" s="748" t="s">
        <v>617</v>
      </c>
      <c r="H69" s="748" t="s">
        <v>617</v>
      </c>
      <c r="I69" s="455">
        <v>0</v>
      </c>
      <c r="J69" s="748">
        <f>IF(I69&gt;0,K69/I69/K$7,0)</f>
        <v>0</v>
      </c>
      <c r="K69" s="32">
        <v>0</v>
      </c>
      <c r="L69" s="455">
        <f>$E$68</f>
        <v>10000</v>
      </c>
      <c r="M69" s="748">
        <f>IF(L69&gt;0,N69/L69/N$7,0)</f>
        <v>0.08</v>
      </c>
      <c r="N69" s="32">
        <f>ROUND($E69*$F69*N$7,0)</f>
        <v>22400</v>
      </c>
      <c r="O69" s="455">
        <f>$E$68</f>
        <v>10000</v>
      </c>
      <c r="P69" s="748">
        <f>IF(O69&gt;0,Q69/O69/Q$7,0)</f>
        <v>0.08</v>
      </c>
      <c r="Q69" s="32">
        <f>ROUND($E69*$F69*Q$7,0)</f>
        <v>24800</v>
      </c>
      <c r="R69" s="455">
        <f>$E$68</f>
        <v>10000</v>
      </c>
      <c r="S69" s="748">
        <f t="shared" si="59"/>
        <v>0.08</v>
      </c>
      <c r="T69" s="32">
        <f>ROUND($E69*$F69*T$7,0)</f>
        <v>24000</v>
      </c>
      <c r="U69" s="455">
        <f>$E$68</f>
        <v>10000</v>
      </c>
      <c r="V69" s="748">
        <f>IF(U69&gt;0,W69/U69/W$7,0)</f>
        <v>0.08</v>
      </c>
      <c r="W69" s="32">
        <f>ROUND($E69*$F69*W$7,0)</f>
        <v>24800</v>
      </c>
      <c r="X69" s="455">
        <f>$E$68</f>
        <v>10000</v>
      </c>
      <c r="Y69" s="748">
        <f>IF(X69&gt;0,Z69/X69/Z$7,0)</f>
        <v>0.08</v>
      </c>
      <c r="Z69" s="32">
        <f>ROUND($E69*$F69*Z$7,0)</f>
        <v>24000</v>
      </c>
      <c r="AA69" s="455">
        <f>$E$68</f>
        <v>10000</v>
      </c>
      <c r="AB69" s="748">
        <f>IF(AA69&gt;0,AC69/AA69/AC$7,0)</f>
        <v>0.08</v>
      </c>
      <c r="AC69" s="32">
        <f>ROUND($E69*$F69*AC$7,0)</f>
        <v>24800</v>
      </c>
      <c r="AD69" s="455">
        <f>$E$68</f>
        <v>10000</v>
      </c>
      <c r="AE69" s="748">
        <f>IF(AD69&gt;0,AF69/AD69/AF$7,0)</f>
        <v>0.08</v>
      </c>
      <c r="AF69" s="32">
        <f>ROUND($E69*$F69*AF$7,0)</f>
        <v>24800</v>
      </c>
      <c r="AG69" s="455">
        <f>$E$68</f>
        <v>10000</v>
      </c>
      <c r="AH69" s="748">
        <f>IF(AG69&gt;0,AI69/AG69/AI$7,0)</f>
        <v>0.08</v>
      </c>
      <c r="AI69" s="32">
        <f>ROUND($E69*$F69*AI$7,0)</f>
        <v>24000</v>
      </c>
      <c r="AJ69" s="455">
        <f>$E$68</f>
        <v>10000</v>
      </c>
      <c r="AK69" s="748">
        <f>IF(AJ69&gt;0,AL69/AJ69/AL$7,0)</f>
        <v>0.08</v>
      </c>
      <c r="AL69" s="32">
        <f>ROUND($E69*$F69*AL$7,0)</f>
        <v>24800</v>
      </c>
      <c r="AM69" s="455">
        <f>$E$68</f>
        <v>10000</v>
      </c>
      <c r="AN69" s="748">
        <f t="shared" si="60"/>
        <v>0.08</v>
      </c>
      <c r="AO69" s="32">
        <f>ROUND($E69*$F69*AO$7,0)</f>
        <v>24000</v>
      </c>
      <c r="AP69" s="455">
        <f>$E$68</f>
        <v>10000</v>
      </c>
      <c r="AQ69" s="748">
        <f t="shared" si="61"/>
        <v>0.08</v>
      </c>
      <c r="AR69" s="32">
        <f>ROUND($E69*$F69*AR$7,0)</f>
        <v>24800</v>
      </c>
      <c r="AS69" s="32"/>
      <c r="AU69" s="33">
        <f t="shared" si="62"/>
        <v>267200</v>
      </c>
    </row>
    <row r="70" spans="1:48" x14ac:dyDescent="0.2">
      <c r="A70" s="629">
        <v>26511</v>
      </c>
      <c r="B70" t="s">
        <v>628</v>
      </c>
      <c r="C70" s="745">
        <v>37561</v>
      </c>
      <c r="D70" s="745">
        <v>37621</v>
      </c>
      <c r="E70" s="37">
        <v>21000</v>
      </c>
      <c r="F70" s="748">
        <v>0.12</v>
      </c>
      <c r="G70" s="748" t="s">
        <v>617</v>
      </c>
      <c r="H70" s="748" t="s">
        <v>617</v>
      </c>
      <c r="I70" s="455"/>
      <c r="K70" s="32"/>
      <c r="L70" s="455"/>
      <c r="M70" s="748"/>
      <c r="N70" s="32"/>
      <c r="O70" s="455"/>
      <c r="P70" s="748"/>
      <c r="Q70" s="32"/>
      <c r="R70" s="455">
        <v>0</v>
      </c>
      <c r="S70" s="748">
        <f t="shared" si="59"/>
        <v>0</v>
      </c>
      <c r="T70" s="32">
        <v>0</v>
      </c>
      <c r="U70" s="455">
        <v>0</v>
      </c>
      <c r="V70" s="748"/>
      <c r="W70" s="32">
        <v>0</v>
      </c>
      <c r="X70" s="455">
        <v>0</v>
      </c>
      <c r="Y70" s="748"/>
      <c r="Z70" s="32">
        <v>0</v>
      </c>
      <c r="AA70" s="455">
        <v>0</v>
      </c>
      <c r="AB70" s="748"/>
      <c r="AC70" s="32">
        <v>0</v>
      </c>
      <c r="AD70" s="455">
        <v>0</v>
      </c>
      <c r="AE70" s="748"/>
      <c r="AF70" s="32">
        <v>0</v>
      </c>
      <c r="AG70" s="455">
        <v>0</v>
      </c>
      <c r="AH70" s="748"/>
      <c r="AI70" s="32">
        <v>0</v>
      </c>
      <c r="AJ70" s="455">
        <v>0</v>
      </c>
      <c r="AK70" s="748"/>
      <c r="AL70" s="32">
        <v>0</v>
      </c>
      <c r="AM70" s="455">
        <f>E70</f>
        <v>21000</v>
      </c>
      <c r="AN70" s="748">
        <f t="shared" si="60"/>
        <v>0.12000000000000001</v>
      </c>
      <c r="AO70" s="32">
        <f>ROUND($E70*$F70*AO$7,0)</f>
        <v>75600</v>
      </c>
      <c r="AP70" s="455">
        <f>E70</f>
        <v>21000</v>
      </c>
      <c r="AQ70" s="748">
        <f t="shared" si="61"/>
        <v>0.12000000000000001</v>
      </c>
      <c r="AR70" s="32">
        <f>ROUND($E70*$F70*AR$7,0)</f>
        <v>78120</v>
      </c>
      <c r="AS70" s="32"/>
      <c r="AU70" s="33">
        <f t="shared" si="62"/>
        <v>153720</v>
      </c>
    </row>
    <row r="71" spans="1:48" x14ac:dyDescent="0.2">
      <c r="A71" s="629">
        <v>25841</v>
      </c>
      <c r="B71" t="s">
        <v>628</v>
      </c>
      <c r="C71" s="745">
        <v>37561</v>
      </c>
      <c r="D71" s="745">
        <v>37621</v>
      </c>
      <c r="E71" s="753">
        <v>40000</v>
      </c>
      <c r="F71" s="748">
        <v>0.08</v>
      </c>
      <c r="G71" s="748" t="s">
        <v>617</v>
      </c>
      <c r="H71" s="748" t="s">
        <v>617</v>
      </c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 t="shared" si="59"/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f>E71</f>
        <v>40000</v>
      </c>
      <c r="AN71" s="748">
        <f t="shared" si="60"/>
        <v>0.08</v>
      </c>
      <c r="AO71" s="39">
        <f>ROUND($E71*$F71*AO$7,0)</f>
        <v>96000</v>
      </c>
      <c r="AP71" s="777">
        <f>E71</f>
        <v>40000</v>
      </c>
      <c r="AQ71" s="748">
        <f t="shared" si="61"/>
        <v>0.08</v>
      </c>
      <c r="AR71" s="39">
        <f>ROUND($E71*$F71*AR$7,0)</f>
        <v>99200</v>
      </c>
      <c r="AS71" s="32"/>
      <c r="AU71" s="804">
        <f t="shared" si="62"/>
        <v>195200</v>
      </c>
      <c r="AV71" s="33">
        <f>SUM(AU68:AU71)</f>
        <v>1016920</v>
      </c>
    </row>
    <row r="72" spans="1:48" x14ac:dyDescent="0.2">
      <c r="A72" s="629" t="s">
        <v>613</v>
      </c>
      <c r="E72" s="37">
        <f>SUM(E64:E71)</f>
        <v>409000</v>
      </c>
      <c r="I72" s="455">
        <f>SUM(I64:I71)</f>
        <v>0</v>
      </c>
      <c r="K72" s="32">
        <f>SUM(K64:K71)</f>
        <v>61659</v>
      </c>
      <c r="L72" s="455">
        <f>SUM(L64:L71)</f>
        <v>20000</v>
      </c>
      <c r="M72" s="748"/>
      <c r="N72" s="32">
        <f>SUM(N64:N71)</f>
        <v>111692</v>
      </c>
      <c r="O72" s="455">
        <f>SUM(O64:O71)</f>
        <v>20000</v>
      </c>
      <c r="P72" s="748"/>
      <c r="Q72" s="32">
        <f>SUM(Q64:Q71)</f>
        <v>123659</v>
      </c>
      <c r="R72" s="455">
        <f>SUM(R64:R71)</f>
        <v>28000</v>
      </c>
      <c r="S72" s="748"/>
      <c r="T72" s="32">
        <f>SUM(T64:T71)</f>
        <v>152142</v>
      </c>
      <c r="U72" s="455">
        <f>SUM(U64:U71)</f>
        <v>28000</v>
      </c>
      <c r="V72" s="748"/>
      <c r="W72" s="32">
        <f>SUM(W64:W71)</f>
        <v>157213</v>
      </c>
      <c r="X72" s="455">
        <f>SUM(X64:X71)</f>
        <v>28000</v>
      </c>
      <c r="Y72" s="748"/>
      <c r="Z72" s="32">
        <f>SUM(Z64:Z71)</f>
        <v>152142</v>
      </c>
      <c r="AA72" s="455">
        <f>SUM(AA64:AA71)</f>
        <v>28000</v>
      </c>
      <c r="AB72" s="748"/>
      <c r="AC72" s="32">
        <f>SUM(AC64:AC71)</f>
        <v>157213</v>
      </c>
      <c r="AD72" s="455">
        <f>SUM(AD64:AD71)</f>
        <v>28000</v>
      </c>
      <c r="AE72" s="748"/>
      <c r="AF72" s="32">
        <f>SUM(AF64:AF71)</f>
        <v>157213</v>
      </c>
      <c r="AG72" s="455">
        <f>SUM(AG64:AG71)</f>
        <v>28000</v>
      </c>
      <c r="AH72" s="748"/>
      <c r="AI72" s="32">
        <f>SUM(AI64:AI71)</f>
        <v>152142</v>
      </c>
      <c r="AJ72" s="455">
        <f>SUM(AJ64:AJ71)</f>
        <v>28000</v>
      </c>
      <c r="AK72" s="748"/>
      <c r="AL72" s="32">
        <f>SUM(AL64:AL71)</f>
        <v>157213</v>
      </c>
      <c r="AM72" s="455">
        <f>SUM(AM64:AM71)</f>
        <v>89000</v>
      </c>
      <c r="AN72" s="748"/>
      <c r="AO72" s="32">
        <f>SUM(AO64:AO71)</f>
        <v>435648</v>
      </c>
      <c r="AP72" s="455">
        <f>SUM(AP64:AP71)</f>
        <v>89000</v>
      </c>
      <c r="AQ72" s="748"/>
      <c r="AR72" s="32">
        <f>SUM(AR64:AR71)</f>
        <v>450169</v>
      </c>
      <c r="AS72" s="32"/>
      <c r="AU72" s="802">
        <f>SUM(AU64:AU71)</f>
        <v>2268105</v>
      </c>
    </row>
    <row r="73" spans="1:48" x14ac:dyDescent="0.2">
      <c r="I73" s="455"/>
      <c r="K73" s="32"/>
      <c r="L73" s="455"/>
      <c r="M73" s="748"/>
      <c r="N73" s="32"/>
      <c r="O73" s="455"/>
      <c r="P73" s="748"/>
      <c r="Q73" s="32"/>
      <c r="R73" s="455"/>
      <c r="S73" s="748"/>
      <c r="T73" s="32"/>
      <c r="U73" s="455"/>
      <c r="V73" s="748"/>
      <c r="W73" s="32"/>
      <c r="X73" s="455"/>
      <c r="Y73" s="748"/>
      <c r="Z73" s="32"/>
      <c r="AA73" s="455"/>
      <c r="AB73" s="748"/>
      <c r="AC73" s="32"/>
      <c r="AD73" s="455"/>
      <c r="AE73" s="748"/>
      <c r="AF73" s="32"/>
      <c r="AG73" s="455"/>
      <c r="AH73" s="748"/>
      <c r="AI73" s="32"/>
      <c r="AJ73" s="455"/>
      <c r="AK73" s="748"/>
      <c r="AL73" s="32"/>
      <c r="AM73" s="455"/>
      <c r="AN73" s="748"/>
      <c r="AO73" s="32"/>
      <c r="AP73" s="455"/>
      <c r="AQ73" s="748"/>
      <c r="AR73" s="32"/>
      <c r="AS73" s="32"/>
    </row>
    <row r="74" spans="1:48" s="42" customFormat="1" x14ac:dyDescent="0.2">
      <c r="A74" s="741" t="s">
        <v>612</v>
      </c>
      <c r="C74" s="3"/>
      <c r="D74" s="3"/>
      <c r="E74" s="431">
        <f>E72+E62</f>
        <v>529000</v>
      </c>
      <c r="F74" s="754"/>
      <c r="G74" s="754"/>
      <c r="H74" s="754"/>
      <c r="I74" s="774">
        <f>I62+I72</f>
        <v>0</v>
      </c>
      <c r="J74" s="754">
        <f>IF(I74&gt;0,K74/I74/K$7,0)</f>
        <v>0</v>
      </c>
      <c r="K74" s="31">
        <f>K72+K62</f>
        <v>61659</v>
      </c>
      <c r="L74" s="774">
        <f>L62+L72</f>
        <v>20000</v>
      </c>
      <c r="M74" s="754">
        <f>IF(L74&gt;0,N74/L74/N$7,0)</f>
        <v>0.19944999999999999</v>
      </c>
      <c r="N74" s="31">
        <f>N72+N62</f>
        <v>111692</v>
      </c>
      <c r="O74" s="774">
        <f>O62+O72</f>
        <v>20000</v>
      </c>
      <c r="P74" s="754">
        <f>IF(O74&gt;0,Q74/O74/Q$7,0)</f>
        <v>0.19944999999999999</v>
      </c>
      <c r="Q74" s="31">
        <f>Q72+Q62</f>
        <v>123659</v>
      </c>
      <c r="R74" s="774">
        <f>R62+R72</f>
        <v>28000</v>
      </c>
      <c r="S74" s="754">
        <f>IF(R74&gt;0,T74/R74/T$7,0)</f>
        <v>0.18112142857142857</v>
      </c>
      <c r="T74" s="31">
        <f>T72+T62</f>
        <v>152142</v>
      </c>
      <c r="U74" s="774">
        <f>U62+U72</f>
        <v>28000</v>
      </c>
      <c r="V74" s="754">
        <f>IF(U74&gt;0,W74/U74/W$7,0)</f>
        <v>0.18112096774193548</v>
      </c>
      <c r="W74" s="31">
        <f>W72+W62</f>
        <v>157213</v>
      </c>
      <c r="X74" s="774">
        <f>X62+X72</f>
        <v>108000</v>
      </c>
      <c r="Y74" s="754">
        <f>IF(X74&gt;0,Z74/X74/Z$7,0)</f>
        <v>0.39373981481481479</v>
      </c>
      <c r="Z74" s="31">
        <f>Z72+Z62</f>
        <v>1275717</v>
      </c>
      <c r="AA74" s="774">
        <f>AA62+AA72</f>
        <v>148000</v>
      </c>
      <c r="AB74" s="754">
        <f>IF(AA74&gt;0,AC74/AA74/AC$7,0)</f>
        <v>0.3900263731473409</v>
      </c>
      <c r="AC74" s="31">
        <f>AC72+AC62</f>
        <v>1789441</v>
      </c>
      <c r="AD74" s="774">
        <f>AD62+AD72</f>
        <v>148000</v>
      </c>
      <c r="AE74" s="754">
        <f>IF(AD74&gt;0,AF74/AD74/AF$7,0)</f>
        <v>0.3900263731473409</v>
      </c>
      <c r="AF74" s="31">
        <f>AF72+AF62</f>
        <v>1789441</v>
      </c>
      <c r="AG74" s="774">
        <f>AG62+AG72</f>
        <v>148000</v>
      </c>
      <c r="AH74" s="754">
        <f>IF(AG74&gt;0,AI74/AG74/AI$7,0)</f>
        <v>0.39002635135135133</v>
      </c>
      <c r="AI74" s="31">
        <f>AI72+AI62</f>
        <v>1731717</v>
      </c>
      <c r="AJ74" s="774">
        <f>AJ62+AJ72</f>
        <v>148000</v>
      </c>
      <c r="AK74" s="754">
        <f>IF(AJ74&gt;0,AL74/AJ74/AL$7,0)</f>
        <v>0.3900263731473409</v>
      </c>
      <c r="AL74" s="31">
        <f>AL72+AL62</f>
        <v>1789441</v>
      </c>
      <c r="AM74" s="774">
        <f>AM62+AM72</f>
        <v>209000</v>
      </c>
      <c r="AN74" s="754">
        <f>IF(AM74&gt;0,AO74/AM74/AO$7,0)</f>
        <v>0.32140717703349281</v>
      </c>
      <c r="AO74" s="31">
        <f>AO72+AO62</f>
        <v>2015223</v>
      </c>
      <c r="AP74" s="774">
        <f>AP62+AP72</f>
        <v>209000</v>
      </c>
      <c r="AQ74" s="754">
        <f>IF(AP74&gt;0,AR74/AP74/AR$7,0)</f>
        <v>0.32140716159901217</v>
      </c>
      <c r="AR74" s="31">
        <f>AR72+AR62</f>
        <v>2082397</v>
      </c>
      <c r="AS74" s="31"/>
    </row>
    <row r="75" spans="1:48" s="42" customFormat="1" x14ac:dyDescent="0.2">
      <c r="A75" s="741"/>
      <c r="C75" s="3"/>
      <c r="D75" s="3"/>
      <c r="E75" s="431"/>
      <c r="F75" s="754"/>
      <c r="G75" s="754"/>
      <c r="H75" s="754"/>
      <c r="I75" s="774"/>
      <c r="J75" s="754"/>
      <c r="K75" s="31"/>
      <c r="L75" s="774"/>
      <c r="M75" s="754"/>
      <c r="N75" s="31"/>
      <c r="O75" s="774"/>
      <c r="P75" s="754"/>
      <c r="Q75" s="31"/>
      <c r="R75" s="774"/>
      <c r="S75" s="754"/>
      <c r="T75" s="31"/>
      <c r="U75" s="774"/>
      <c r="V75" s="754"/>
      <c r="W75" s="31"/>
      <c r="X75" s="774"/>
      <c r="Y75" s="754"/>
      <c r="Z75" s="31"/>
      <c r="AA75" s="774"/>
      <c r="AB75" s="754"/>
      <c r="AC75" s="31"/>
      <c r="AD75" s="774"/>
      <c r="AE75" s="754"/>
      <c r="AF75" s="31"/>
      <c r="AG75" s="774"/>
      <c r="AH75" s="754"/>
      <c r="AI75" s="31"/>
      <c r="AJ75" s="774"/>
      <c r="AK75" s="754"/>
      <c r="AL75" s="31"/>
      <c r="AM75" s="774"/>
      <c r="AN75" s="754"/>
      <c r="AO75" s="31"/>
      <c r="AP75" s="774"/>
      <c r="AQ75" s="754"/>
      <c r="AR75" s="31"/>
      <c r="AS75" s="31"/>
    </row>
    <row r="76" spans="1:48" s="42" customFormat="1" x14ac:dyDescent="0.2">
      <c r="A76" s="741"/>
      <c r="C76" s="3"/>
      <c r="D76" s="3"/>
      <c r="E76" s="431"/>
      <c r="F76" s="754"/>
      <c r="G76" s="754"/>
      <c r="H76" s="754"/>
      <c r="I76" s="774"/>
      <c r="J76" s="754"/>
      <c r="K76" s="31"/>
      <c r="L76" s="774"/>
      <c r="M76" s="754"/>
      <c r="N76" s="31"/>
      <c r="O76" s="774"/>
      <c r="P76" s="754"/>
      <c r="Q76" s="31"/>
      <c r="R76" s="774"/>
      <c r="S76" s="754"/>
      <c r="T76" s="31"/>
      <c r="U76" s="774"/>
      <c r="V76" s="754"/>
      <c r="W76" s="31"/>
      <c r="X76" s="774"/>
      <c r="Y76" s="754"/>
      <c r="Z76" s="31"/>
      <c r="AA76" s="774"/>
      <c r="AB76" s="754"/>
      <c r="AC76" s="31"/>
      <c r="AD76" s="774"/>
      <c r="AE76" s="754"/>
      <c r="AF76" s="31"/>
      <c r="AG76" s="774"/>
      <c r="AH76" s="754"/>
      <c r="AI76" s="31"/>
      <c r="AJ76" s="774"/>
      <c r="AK76" s="754"/>
      <c r="AL76" s="31"/>
      <c r="AM76" s="774"/>
      <c r="AN76" s="754"/>
      <c r="AO76" s="31"/>
      <c r="AP76" s="774"/>
      <c r="AQ76" s="754"/>
      <c r="AR76" s="31"/>
      <c r="AS76" s="31"/>
    </row>
    <row r="77" spans="1:48" x14ac:dyDescent="0.2">
      <c r="A77" s="743" t="s">
        <v>648</v>
      </c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8" x14ac:dyDescent="0.2">
      <c r="A78" s="629">
        <v>20747</v>
      </c>
      <c r="B78" t="s">
        <v>649</v>
      </c>
      <c r="D78" s="745">
        <v>37315</v>
      </c>
      <c r="E78" s="37">
        <v>10000</v>
      </c>
      <c r="F78" s="748">
        <f t="shared" ref="F78:F83" si="63">0.2659-0.2606</f>
        <v>5.3000000000000269E-3</v>
      </c>
      <c r="G78" s="1105" t="s">
        <v>647</v>
      </c>
      <c r="H78" s="1105"/>
      <c r="I78" s="455">
        <v>0</v>
      </c>
      <c r="J78" s="748">
        <f t="shared" ref="J78:J86" si="64">IF(I78&gt;0,K78/I78/K$7,0)</f>
        <v>0</v>
      </c>
      <c r="K78" s="32">
        <f t="shared" ref="K78:K83" si="65">ROUND($E78*$F78*K$7,0)</f>
        <v>1643</v>
      </c>
      <c r="L78" s="455">
        <v>0</v>
      </c>
      <c r="M78" s="748">
        <f t="shared" ref="M78:M86" si="66">IF(L78&gt;0,N78/L78/N$7,0)</f>
        <v>0</v>
      </c>
      <c r="N78" s="32">
        <f t="shared" ref="N78:N83" si="67">ROUND($E78*$F78*N$7,0)</f>
        <v>1484</v>
      </c>
      <c r="O78" s="455">
        <v>0</v>
      </c>
      <c r="P78" s="748">
        <f t="shared" ref="P78:P86" si="68">IF(O78&gt;0,Q78/O78/Q$7,0)</f>
        <v>0</v>
      </c>
      <c r="Q78" s="32">
        <v>0</v>
      </c>
      <c r="R78" s="455">
        <v>0</v>
      </c>
      <c r="S78" s="748">
        <f t="shared" ref="S78:S86" si="69">IF(R78&gt;0,T78/R78/T$7,0)</f>
        <v>0</v>
      </c>
      <c r="T78" s="32">
        <v>0</v>
      </c>
      <c r="U78" s="455">
        <v>0</v>
      </c>
      <c r="V78" s="748">
        <f t="shared" ref="V78:V86" si="70">IF(U78&gt;0,W78/U78/W$7,0)</f>
        <v>0</v>
      </c>
      <c r="W78" s="32">
        <v>0</v>
      </c>
      <c r="X78" s="455">
        <v>0</v>
      </c>
      <c r="Y78" s="748">
        <f t="shared" ref="Y78:Y86" si="71">IF(X78&gt;0,Z78/X78/Z$7,0)</f>
        <v>0</v>
      </c>
      <c r="Z78" s="32">
        <v>0</v>
      </c>
      <c r="AA78" s="455">
        <v>0</v>
      </c>
      <c r="AB78" s="748">
        <f t="shared" ref="AB78:AB86" si="72">IF(AA78&gt;0,AC78/AA78/AC$7,0)</f>
        <v>0</v>
      </c>
      <c r="AC78" s="32">
        <v>0</v>
      </c>
      <c r="AD78" s="455">
        <v>0</v>
      </c>
      <c r="AE78" s="748">
        <f t="shared" ref="AE78:AE86" si="73">IF(AD78&gt;0,AF78/AD78/AF$7,0)</f>
        <v>0</v>
      </c>
      <c r="AF78" s="32">
        <v>0</v>
      </c>
      <c r="AG78" s="455">
        <v>0</v>
      </c>
      <c r="AH78" s="748">
        <f t="shared" ref="AH78:AH86" si="74">IF(AG78&gt;0,AI78/AG78/AI$7,0)</f>
        <v>0</v>
      </c>
      <c r="AI78" s="32">
        <v>0</v>
      </c>
      <c r="AJ78" s="455">
        <v>0</v>
      </c>
      <c r="AK78" s="748">
        <f t="shared" ref="AK78:AK86" si="75">IF(AJ78&gt;0,AL78/AJ78/AL$7,0)</f>
        <v>0</v>
      </c>
      <c r="AL78" s="32">
        <v>0</v>
      </c>
      <c r="AM78" s="455">
        <v>0</v>
      </c>
      <c r="AN78" s="748">
        <f t="shared" ref="AN78:AN86" si="76">IF(AM78&gt;0,AO78/AM78/AO$7,0)</f>
        <v>0</v>
      </c>
      <c r="AO78" s="32">
        <v>0</v>
      </c>
      <c r="AP78" s="455">
        <v>0</v>
      </c>
      <c r="AQ78" s="748">
        <f t="shared" ref="AQ78:AQ86" si="77">IF(AP78&gt;0,AR78/AP78/AR$7,0)</f>
        <v>0</v>
      </c>
      <c r="AR78" s="32">
        <v>0</v>
      </c>
      <c r="AS78" s="32"/>
      <c r="AU78" s="33">
        <f t="shared" ref="AU78:AU85" si="78">AR78+AO78+AL78+AI78+AF78+AC78+Z78+W78+T78+Q78+N78+K78</f>
        <v>3127</v>
      </c>
    </row>
    <row r="79" spans="1:48" x14ac:dyDescent="0.2">
      <c r="A79" s="629">
        <v>20748</v>
      </c>
      <c r="B79" t="s">
        <v>649</v>
      </c>
      <c r="D79" s="745">
        <v>37315</v>
      </c>
      <c r="E79" s="37">
        <v>10000</v>
      </c>
      <c r="F79" s="748">
        <f t="shared" si="63"/>
        <v>5.3000000000000269E-3</v>
      </c>
      <c r="G79" s="1105" t="s">
        <v>647</v>
      </c>
      <c r="H79" s="1105"/>
      <c r="I79" s="455">
        <v>0</v>
      </c>
      <c r="J79" s="748">
        <f t="shared" si="64"/>
        <v>0</v>
      </c>
      <c r="K79" s="32">
        <f t="shared" si="65"/>
        <v>1643</v>
      </c>
      <c r="L79" s="455">
        <v>0</v>
      </c>
      <c r="M79" s="748">
        <f t="shared" si="66"/>
        <v>0</v>
      </c>
      <c r="N79" s="32">
        <f t="shared" si="67"/>
        <v>1484</v>
      </c>
      <c r="O79" s="455">
        <v>0</v>
      </c>
      <c r="P79" s="748">
        <f t="shared" si="68"/>
        <v>0</v>
      </c>
      <c r="Q79" s="32">
        <v>0</v>
      </c>
      <c r="R79" s="455">
        <v>0</v>
      </c>
      <c r="S79" s="748">
        <f t="shared" si="69"/>
        <v>0</v>
      </c>
      <c r="T79" s="32">
        <v>0</v>
      </c>
      <c r="U79" s="455">
        <v>0</v>
      </c>
      <c r="V79" s="748">
        <f t="shared" si="70"/>
        <v>0</v>
      </c>
      <c r="W79" s="32">
        <v>0</v>
      </c>
      <c r="X79" s="455">
        <v>0</v>
      </c>
      <c r="Y79" s="748">
        <f t="shared" si="71"/>
        <v>0</v>
      </c>
      <c r="Z79" s="32">
        <v>0</v>
      </c>
      <c r="AA79" s="455">
        <v>0</v>
      </c>
      <c r="AB79" s="748">
        <f t="shared" si="72"/>
        <v>0</v>
      </c>
      <c r="AC79" s="32">
        <v>0</v>
      </c>
      <c r="AD79" s="455">
        <v>0</v>
      </c>
      <c r="AE79" s="748">
        <f t="shared" si="73"/>
        <v>0</v>
      </c>
      <c r="AF79" s="32">
        <v>0</v>
      </c>
      <c r="AG79" s="455">
        <v>0</v>
      </c>
      <c r="AH79" s="748">
        <f t="shared" si="74"/>
        <v>0</v>
      </c>
      <c r="AI79" s="32">
        <v>0</v>
      </c>
      <c r="AJ79" s="455">
        <v>0</v>
      </c>
      <c r="AK79" s="748">
        <f t="shared" si="75"/>
        <v>0</v>
      </c>
      <c r="AL79" s="32">
        <v>0</v>
      </c>
      <c r="AM79" s="455">
        <v>0</v>
      </c>
      <c r="AN79" s="748">
        <f t="shared" si="76"/>
        <v>0</v>
      </c>
      <c r="AO79" s="32">
        <v>0</v>
      </c>
      <c r="AP79" s="455">
        <v>0</v>
      </c>
      <c r="AQ79" s="748">
        <f t="shared" si="77"/>
        <v>0</v>
      </c>
      <c r="AR79" s="32">
        <v>0</v>
      </c>
      <c r="AS79" s="32"/>
      <c r="AU79" s="33">
        <f t="shared" si="78"/>
        <v>3127</v>
      </c>
    </row>
    <row r="80" spans="1:48" x14ac:dyDescent="0.2">
      <c r="A80" s="629">
        <v>21165</v>
      </c>
      <c r="B80" t="s">
        <v>286</v>
      </c>
      <c r="D80" s="745">
        <v>39172</v>
      </c>
      <c r="E80" s="37">
        <v>150000</v>
      </c>
      <c r="F80" s="748">
        <f t="shared" si="63"/>
        <v>5.3000000000000269E-3</v>
      </c>
      <c r="G80" s="1105" t="s">
        <v>647</v>
      </c>
      <c r="H80" s="1105"/>
      <c r="I80" s="455">
        <v>0</v>
      </c>
      <c r="J80" s="748">
        <f t="shared" si="64"/>
        <v>0</v>
      </c>
      <c r="K80" s="32">
        <f t="shared" si="65"/>
        <v>24645</v>
      </c>
      <c r="L80" s="455">
        <v>0</v>
      </c>
      <c r="M80" s="748">
        <f t="shared" si="66"/>
        <v>0</v>
      </c>
      <c r="N80" s="32">
        <f t="shared" si="67"/>
        <v>22260</v>
      </c>
      <c r="O80" s="455">
        <v>0</v>
      </c>
      <c r="P80" s="748">
        <f t="shared" si="68"/>
        <v>0</v>
      </c>
      <c r="Q80" s="32">
        <f>ROUND($E80*$F80*Q$7,0)</f>
        <v>24645</v>
      </c>
      <c r="R80" s="455">
        <v>0</v>
      </c>
      <c r="S80" s="748">
        <f t="shared" si="69"/>
        <v>0</v>
      </c>
      <c r="T80" s="32">
        <f>ROUND($E80*$F80*T$7,0)</f>
        <v>23850</v>
      </c>
      <c r="U80" s="455">
        <v>0</v>
      </c>
      <c r="V80" s="748">
        <f t="shared" si="70"/>
        <v>0</v>
      </c>
      <c r="W80" s="32">
        <f>ROUND($E80*$F80*W$7,0)</f>
        <v>24645</v>
      </c>
      <c r="X80" s="455">
        <v>0</v>
      </c>
      <c r="Y80" s="748">
        <f t="shared" si="71"/>
        <v>0</v>
      </c>
      <c r="Z80" s="32">
        <f>ROUND($E80*$F80*Z$7,0)</f>
        <v>23850</v>
      </c>
      <c r="AA80" s="455">
        <v>0</v>
      </c>
      <c r="AB80" s="748">
        <f t="shared" si="72"/>
        <v>0</v>
      </c>
      <c r="AC80" s="32">
        <f>ROUND($E80*$F80*AC$7,0)</f>
        <v>24645</v>
      </c>
      <c r="AD80" s="455">
        <v>0</v>
      </c>
      <c r="AE80" s="748">
        <f t="shared" si="73"/>
        <v>0</v>
      </c>
      <c r="AF80" s="32">
        <f>ROUND($E80*$F80*AF$7,0)</f>
        <v>24645</v>
      </c>
      <c r="AG80" s="455">
        <v>0</v>
      </c>
      <c r="AH80" s="748">
        <f t="shared" si="74"/>
        <v>0</v>
      </c>
      <c r="AI80" s="32">
        <f>ROUND($E80*$F80*AI$7,0)</f>
        <v>23850</v>
      </c>
      <c r="AJ80" s="455">
        <v>0</v>
      </c>
      <c r="AK80" s="748">
        <f t="shared" si="75"/>
        <v>0</v>
      </c>
      <c r="AL80" s="32">
        <f>ROUND($E80*$F80*AL$7,0)</f>
        <v>24645</v>
      </c>
      <c r="AM80" s="455">
        <v>0</v>
      </c>
      <c r="AN80" s="748">
        <f t="shared" si="76"/>
        <v>0</v>
      </c>
      <c r="AO80" s="32">
        <f>ROUND($E80*(0.2713-0.2606)*AO$7,0)</f>
        <v>48150</v>
      </c>
      <c r="AP80" s="455">
        <v>0</v>
      </c>
      <c r="AQ80" s="748">
        <f t="shared" si="77"/>
        <v>0</v>
      </c>
      <c r="AR80" s="32">
        <f>ROUND($E80*(0.2713-0.2606)*AR$7,0)</f>
        <v>49755</v>
      </c>
      <c r="AS80" s="32"/>
      <c r="AU80" s="33">
        <f t="shared" si="78"/>
        <v>339585</v>
      </c>
    </row>
    <row r="81" spans="1:47" x14ac:dyDescent="0.2">
      <c r="A81" s="629">
        <v>26678</v>
      </c>
      <c r="B81" t="s">
        <v>650</v>
      </c>
      <c r="D81" s="745">
        <v>39172</v>
      </c>
      <c r="E81" s="37">
        <v>25000</v>
      </c>
      <c r="F81" s="748">
        <f t="shared" si="63"/>
        <v>5.3000000000000269E-3</v>
      </c>
      <c r="G81" s="1105" t="s">
        <v>647</v>
      </c>
      <c r="H81" s="1105"/>
      <c r="I81" s="455">
        <v>0</v>
      </c>
      <c r="J81" s="748">
        <f t="shared" si="64"/>
        <v>0</v>
      </c>
      <c r="K81" s="32">
        <f t="shared" si="65"/>
        <v>4108</v>
      </c>
      <c r="L81" s="455">
        <v>0</v>
      </c>
      <c r="M81" s="748">
        <f t="shared" si="66"/>
        <v>0</v>
      </c>
      <c r="N81" s="32">
        <f t="shared" si="67"/>
        <v>3710</v>
      </c>
      <c r="O81" s="455">
        <v>0</v>
      </c>
      <c r="P81" s="748">
        <f t="shared" si="68"/>
        <v>0</v>
      </c>
      <c r="Q81" s="32">
        <f>ROUND($E81*$F81*Q$7,0)</f>
        <v>4108</v>
      </c>
      <c r="R81" s="455">
        <v>0</v>
      </c>
      <c r="S81" s="748">
        <f t="shared" si="69"/>
        <v>0</v>
      </c>
      <c r="T81" s="32">
        <f>ROUND($E81*$F81*T$7,0)</f>
        <v>3975</v>
      </c>
      <c r="U81" s="455">
        <v>0</v>
      </c>
      <c r="V81" s="748">
        <f t="shared" si="70"/>
        <v>0</v>
      </c>
      <c r="W81" s="32">
        <f>ROUND($E81*$F81*W$7,0)</f>
        <v>4108</v>
      </c>
      <c r="X81" s="455">
        <v>0</v>
      </c>
      <c r="Y81" s="748">
        <f t="shared" si="71"/>
        <v>0</v>
      </c>
      <c r="Z81" s="32">
        <f>ROUND($E81*$F81*Z$7,0)</f>
        <v>3975</v>
      </c>
      <c r="AA81" s="455">
        <v>0</v>
      </c>
      <c r="AB81" s="748">
        <f t="shared" si="72"/>
        <v>0</v>
      </c>
      <c r="AC81" s="32">
        <f>ROUND($E81*$F81*AC$7,0)</f>
        <v>4108</v>
      </c>
      <c r="AD81" s="455">
        <v>0</v>
      </c>
      <c r="AE81" s="748">
        <f t="shared" si="73"/>
        <v>0</v>
      </c>
      <c r="AF81" s="32">
        <f>ROUND($E81*$F81*AF$7,0)</f>
        <v>4108</v>
      </c>
      <c r="AG81" s="455">
        <v>0</v>
      </c>
      <c r="AH81" s="748">
        <f t="shared" si="74"/>
        <v>0</v>
      </c>
      <c r="AI81" s="32">
        <f>ROUND($E81*$F81*AI$7,0)</f>
        <v>3975</v>
      </c>
      <c r="AJ81" s="455">
        <v>0</v>
      </c>
      <c r="AK81" s="748">
        <f t="shared" si="75"/>
        <v>0</v>
      </c>
      <c r="AL81" s="32">
        <f>ROUND($E81*$F81*AL$7,0)</f>
        <v>4108</v>
      </c>
      <c r="AM81" s="455">
        <v>0</v>
      </c>
      <c r="AN81" s="748">
        <f t="shared" si="76"/>
        <v>0</v>
      </c>
      <c r="AO81" s="32">
        <f>ROUND($E81*(0.2713-0.2606)*AO$7,0)</f>
        <v>8025</v>
      </c>
      <c r="AP81" s="455">
        <v>0</v>
      </c>
      <c r="AQ81" s="748">
        <f t="shared" si="77"/>
        <v>0</v>
      </c>
      <c r="AR81" s="32">
        <f>ROUND($E81*(0.2713-0.2606)*AR$7,0)</f>
        <v>8292</v>
      </c>
      <c r="AS81" s="32"/>
      <c r="AU81" s="33">
        <f t="shared" si="78"/>
        <v>56600</v>
      </c>
    </row>
    <row r="82" spans="1:47" x14ac:dyDescent="0.2">
      <c r="A82" s="629">
        <v>26372</v>
      </c>
      <c r="B82" t="s">
        <v>499</v>
      </c>
      <c r="D82" s="745">
        <v>39172</v>
      </c>
      <c r="E82" s="37">
        <v>25000</v>
      </c>
      <c r="F82" s="748">
        <f t="shared" si="63"/>
        <v>5.3000000000000269E-3</v>
      </c>
      <c r="G82" s="1105" t="s">
        <v>647</v>
      </c>
      <c r="H82" s="1105"/>
      <c r="I82" s="455">
        <v>0</v>
      </c>
      <c r="J82" s="748">
        <f t="shared" si="64"/>
        <v>0</v>
      </c>
      <c r="K82" s="32">
        <f t="shared" si="65"/>
        <v>4108</v>
      </c>
      <c r="L82" s="455">
        <v>0</v>
      </c>
      <c r="M82" s="748">
        <f t="shared" si="66"/>
        <v>0</v>
      </c>
      <c r="N82" s="32">
        <f t="shared" si="67"/>
        <v>3710</v>
      </c>
      <c r="O82" s="455">
        <v>0</v>
      </c>
      <c r="P82" s="748">
        <f t="shared" si="68"/>
        <v>0</v>
      </c>
      <c r="Q82" s="32">
        <f>ROUND($E82*$F82*Q$7,0)</f>
        <v>4108</v>
      </c>
      <c r="R82" s="455">
        <v>0</v>
      </c>
      <c r="S82" s="748">
        <f t="shared" si="69"/>
        <v>0</v>
      </c>
      <c r="T82" s="32">
        <f>ROUND($E82*$F82*T$7,0)</f>
        <v>3975</v>
      </c>
      <c r="U82" s="455">
        <v>0</v>
      </c>
      <c r="V82" s="748">
        <f t="shared" si="70"/>
        <v>0</v>
      </c>
      <c r="W82" s="32">
        <f>ROUND($E82*$F82*W$7,0)</f>
        <v>4108</v>
      </c>
      <c r="X82" s="455">
        <v>0</v>
      </c>
      <c r="Y82" s="748">
        <f t="shared" si="71"/>
        <v>0</v>
      </c>
      <c r="Z82" s="32">
        <f>ROUND($E82*$F82*Z$7,0)</f>
        <v>3975</v>
      </c>
      <c r="AA82" s="455">
        <v>0</v>
      </c>
      <c r="AB82" s="748">
        <f t="shared" si="72"/>
        <v>0</v>
      </c>
      <c r="AC82" s="32">
        <f>ROUND($E82*$F82*AC$7,0)</f>
        <v>4108</v>
      </c>
      <c r="AD82" s="455">
        <v>0</v>
      </c>
      <c r="AE82" s="748">
        <f t="shared" si="73"/>
        <v>0</v>
      </c>
      <c r="AF82" s="32">
        <f>ROUND($E82*$F82*AF$7,0)</f>
        <v>4108</v>
      </c>
      <c r="AG82" s="455">
        <v>0</v>
      </c>
      <c r="AH82" s="748">
        <f t="shared" si="74"/>
        <v>0</v>
      </c>
      <c r="AI82" s="32">
        <f>ROUND($E82*$F82*AI$7,0)</f>
        <v>3975</v>
      </c>
      <c r="AJ82" s="455">
        <v>0</v>
      </c>
      <c r="AK82" s="748">
        <f t="shared" si="75"/>
        <v>0</v>
      </c>
      <c r="AL82" s="32">
        <f>ROUND($E82*$F82*AL$7,0)</f>
        <v>4108</v>
      </c>
      <c r="AM82" s="455">
        <v>0</v>
      </c>
      <c r="AN82" s="748">
        <f t="shared" si="76"/>
        <v>0</v>
      </c>
      <c r="AO82" s="32">
        <f>ROUND($E82*(0.2713-0.2606)*AO$7,0)</f>
        <v>8025</v>
      </c>
      <c r="AP82" s="455">
        <v>0</v>
      </c>
      <c r="AQ82" s="748">
        <f t="shared" si="77"/>
        <v>0</v>
      </c>
      <c r="AR82" s="32">
        <f>ROUND($E82*(0.2713-0.2606)*AR$7,0)</f>
        <v>8292</v>
      </c>
      <c r="AS82" s="32"/>
      <c r="AU82" s="33">
        <f t="shared" si="78"/>
        <v>56600</v>
      </c>
    </row>
    <row r="83" spans="1:47" x14ac:dyDescent="0.2">
      <c r="A83" s="629">
        <v>25924</v>
      </c>
      <c r="B83" t="s">
        <v>651</v>
      </c>
      <c r="D83" s="745">
        <v>38837</v>
      </c>
      <c r="E83" s="37">
        <v>20000</v>
      </c>
      <c r="F83" s="748">
        <f t="shared" si="63"/>
        <v>5.3000000000000269E-3</v>
      </c>
      <c r="G83" s="1105" t="s">
        <v>647</v>
      </c>
      <c r="H83" s="1105"/>
      <c r="I83" s="455">
        <v>0</v>
      </c>
      <c r="J83" s="748">
        <f t="shared" si="64"/>
        <v>0</v>
      </c>
      <c r="K83" s="32">
        <f t="shared" si="65"/>
        <v>3286</v>
      </c>
      <c r="L83" s="455">
        <v>0</v>
      </c>
      <c r="M83" s="748">
        <f t="shared" si="66"/>
        <v>0</v>
      </c>
      <c r="N83" s="32">
        <f t="shared" si="67"/>
        <v>2968</v>
      </c>
      <c r="O83" s="455">
        <v>0</v>
      </c>
      <c r="P83" s="748">
        <f t="shared" si="68"/>
        <v>0</v>
      </c>
      <c r="Q83" s="32">
        <f>ROUND($E83*$F83*Q$7,0)</f>
        <v>3286</v>
      </c>
      <c r="R83" s="455">
        <v>0</v>
      </c>
      <c r="S83" s="748">
        <f t="shared" si="69"/>
        <v>0</v>
      </c>
      <c r="T83" s="32">
        <f>ROUND($E83*$F83*T$7,0)</f>
        <v>3180</v>
      </c>
      <c r="U83" s="455">
        <v>0</v>
      </c>
      <c r="V83" s="748">
        <f t="shared" si="70"/>
        <v>0</v>
      </c>
      <c r="W83" s="32">
        <f>ROUND($E83*$F83*W$7,0)</f>
        <v>3286</v>
      </c>
      <c r="X83" s="455">
        <v>0</v>
      </c>
      <c r="Y83" s="748">
        <f t="shared" si="71"/>
        <v>0</v>
      </c>
      <c r="Z83" s="32">
        <f>ROUND($E83*$F83*Z$7,0)</f>
        <v>3180</v>
      </c>
      <c r="AA83" s="455">
        <v>0</v>
      </c>
      <c r="AB83" s="748">
        <f t="shared" si="72"/>
        <v>0</v>
      </c>
      <c r="AC83" s="32">
        <f>ROUND($E83*$F83*AC$7,0)</f>
        <v>3286</v>
      </c>
      <c r="AD83" s="455">
        <v>0</v>
      </c>
      <c r="AE83" s="748">
        <f t="shared" si="73"/>
        <v>0</v>
      </c>
      <c r="AF83" s="32">
        <f>ROUND($E83*$F83*AF$7,0)</f>
        <v>3286</v>
      </c>
      <c r="AG83" s="455">
        <v>0</v>
      </c>
      <c r="AH83" s="748">
        <f t="shared" si="74"/>
        <v>0</v>
      </c>
      <c r="AI83" s="32">
        <f>ROUND($E83*$F83*AI$7,0)</f>
        <v>3180</v>
      </c>
      <c r="AJ83" s="455">
        <v>0</v>
      </c>
      <c r="AK83" s="748">
        <f t="shared" si="75"/>
        <v>0</v>
      </c>
      <c r="AL83" s="32">
        <f>ROUND($E83*$F83*AL$7,0)</f>
        <v>3286</v>
      </c>
      <c r="AM83" s="455">
        <v>0</v>
      </c>
      <c r="AN83" s="748">
        <f t="shared" si="76"/>
        <v>0</v>
      </c>
      <c r="AO83" s="32">
        <f>ROUND($E83*(0.2713-0.2606)*AO$7,0)</f>
        <v>6420</v>
      </c>
      <c r="AP83" s="455">
        <v>0</v>
      </c>
      <c r="AQ83" s="748">
        <f t="shared" si="77"/>
        <v>0</v>
      </c>
      <c r="AR83" s="32">
        <f>ROUND($E83*(0.2713-0.2606)*AR$7,0)</f>
        <v>6634</v>
      </c>
      <c r="AS83" s="32"/>
      <c r="AU83" s="33">
        <f t="shared" si="78"/>
        <v>45278</v>
      </c>
    </row>
    <row r="84" spans="1:47" x14ac:dyDescent="0.2">
      <c r="A84" s="629">
        <v>20822</v>
      </c>
      <c r="B84" t="s">
        <v>652</v>
      </c>
      <c r="D84" s="745">
        <v>39141</v>
      </c>
      <c r="E84" s="37">
        <v>25000</v>
      </c>
      <c r="F84" s="748">
        <f>0.1715-0.1681</f>
        <v>3.4000000000000141E-3</v>
      </c>
      <c r="G84" s="1105" t="s">
        <v>647</v>
      </c>
      <c r="H84" s="1105"/>
      <c r="I84" s="455">
        <v>0</v>
      </c>
      <c r="J84" s="748">
        <f t="shared" si="64"/>
        <v>0</v>
      </c>
      <c r="K84" s="32">
        <f>ROUND($E84*$F84*K$7,0)</f>
        <v>2635</v>
      </c>
      <c r="L84" s="455">
        <v>0</v>
      </c>
      <c r="M84" s="748">
        <f t="shared" si="66"/>
        <v>0</v>
      </c>
      <c r="N84" s="32">
        <f>ROUND($E84*$F84*N$7,0)</f>
        <v>2380</v>
      </c>
      <c r="O84" s="455">
        <v>0</v>
      </c>
      <c r="P84" s="748">
        <f t="shared" si="68"/>
        <v>0</v>
      </c>
      <c r="Q84" s="32">
        <f>ROUND($E84*$F84*Q$7,0)</f>
        <v>2635</v>
      </c>
      <c r="R84" s="455">
        <v>0</v>
      </c>
      <c r="S84" s="748">
        <f t="shared" si="69"/>
        <v>0</v>
      </c>
      <c r="T84" s="32">
        <f>ROUND($E84*$F84*T$7,0)</f>
        <v>2550</v>
      </c>
      <c r="U84" s="455">
        <v>0</v>
      </c>
      <c r="V84" s="748">
        <f t="shared" si="70"/>
        <v>0</v>
      </c>
      <c r="W84" s="32">
        <f>ROUND($E84*$F84*W$7,0)</f>
        <v>2635</v>
      </c>
      <c r="X84" s="455">
        <v>0</v>
      </c>
      <c r="Y84" s="748">
        <f t="shared" si="71"/>
        <v>0</v>
      </c>
      <c r="Z84" s="32">
        <f>ROUND($E84*$F84*Z$7,0)</f>
        <v>2550</v>
      </c>
      <c r="AA84" s="455">
        <v>0</v>
      </c>
      <c r="AB84" s="748">
        <f t="shared" si="72"/>
        <v>0</v>
      </c>
      <c r="AC84" s="32">
        <f>ROUND($E84*$F84*AC$7,0)</f>
        <v>2635</v>
      </c>
      <c r="AD84" s="455">
        <v>0</v>
      </c>
      <c r="AE84" s="748">
        <f t="shared" si="73"/>
        <v>0</v>
      </c>
      <c r="AF84" s="32">
        <f>ROUND($E84*$F84*AF$7,0)</f>
        <v>2635</v>
      </c>
      <c r="AG84" s="455">
        <v>0</v>
      </c>
      <c r="AH84" s="748">
        <f t="shared" si="74"/>
        <v>0</v>
      </c>
      <c r="AI84" s="32">
        <f>ROUND($E84*$F84*AI$7,0)</f>
        <v>2550</v>
      </c>
      <c r="AJ84" s="455">
        <v>0</v>
      </c>
      <c r="AK84" s="748">
        <f t="shared" si="75"/>
        <v>0</v>
      </c>
      <c r="AL84" s="32">
        <f>ROUND($E84*$F84*AL$7,0)</f>
        <v>2635</v>
      </c>
      <c r="AM84" s="455">
        <v>0</v>
      </c>
      <c r="AN84" s="748">
        <f t="shared" si="76"/>
        <v>0</v>
      </c>
      <c r="AO84" s="32">
        <f>ROUND($E84*(0.2713-0.2606)*AO$7,0)</f>
        <v>8025</v>
      </c>
      <c r="AP84" s="455">
        <v>0</v>
      </c>
      <c r="AQ84" s="748">
        <f t="shared" si="77"/>
        <v>0</v>
      </c>
      <c r="AR84" s="32">
        <f>ROUND($E84*(0.2713-0.2606)*AR$7,0)</f>
        <v>8292</v>
      </c>
      <c r="AS84" s="32"/>
      <c r="AU84" s="33">
        <f t="shared" si="78"/>
        <v>42157</v>
      </c>
    </row>
    <row r="85" spans="1:47" x14ac:dyDescent="0.2">
      <c r="D85" s="745"/>
      <c r="E85" s="753"/>
      <c r="I85" s="777">
        <v>0</v>
      </c>
      <c r="J85" s="748">
        <f t="shared" si="64"/>
        <v>0</v>
      </c>
      <c r="K85" s="39">
        <v>0</v>
      </c>
      <c r="L85" s="777">
        <v>0</v>
      </c>
      <c r="M85" s="748">
        <f t="shared" si="66"/>
        <v>0</v>
      </c>
      <c r="N85" s="39">
        <v>0</v>
      </c>
      <c r="O85" s="777">
        <v>0</v>
      </c>
      <c r="P85" s="748">
        <f t="shared" si="68"/>
        <v>0</v>
      </c>
      <c r="Q85" s="39">
        <v>0</v>
      </c>
      <c r="R85" s="777">
        <v>0</v>
      </c>
      <c r="S85" s="748">
        <f t="shared" si="69"/>
        <v>0</v>
      </c>
      <c r="T85" s="39">
        <v>0</v>
      </c>
      <c r="U85" s="777">
        <v>0</v>
      </c>
      <c r="V85" s="748">
        <f t="shared" si="70"/>
        <v>0</v>
      </c>
      <c r="W85" s="39">
        <v>0</v>
      </c>
      <c r="X85" s="777">
        <v>0</v>
      </c>
      <c r="Y85" s="748">
        <f t="shared" si="71"/>
        <v>0</v>
      </c>
      <c r="Z85" s="39">
        <v>0</v>
      </c>
      <c r="AA85" s="777">
        <v>0</v>
      </c>
      <c r="AB85" s="748">
        <f t="shared" si="72"/>
        <v>0</v>
      </c>
      <c r="AC85" s="39">
        <v>0</v>
      </c>
      <c r="AD85" s="777">
        <v>0</v>
      </c>
      <c r="AE85" s="748">
        <f t="shared" si="73"/>
        <v>0</v>
      </c>
      <c r="AF85" s="39">
        <v>0</v>
      </c>
      <c r="AG85" s="777">
        <v>0</v>
      </c>
      <c r="AH85" s="748">
        <f t="shared" si="74"/>
        <v>0</v>
      </c>
      <c r="AI85" s="39">
        <v>0</v>
      </c>
      <c r="AJ85" s="777">
        <v>0</v>
      </c>
      <c r="AK85" s="748">
        <f t="shared" si="75"/>
        <v>0</v>
      </c>
      <c r="AL85" s="39">
        <v>0</v>
      </c>
      <c r="AM85" s="777">
        <v>0</v>
      </c>
      <c r="AN85" s="748">
        <f t="shared" si="76"/>
        <v>0</v>
      </c>
      <c r="AO85" s="39">
        <v>0</v>
      </c>
      <c r="AP85" s="777">
        <v>0</v>
      </c>
      <c r="AQ85" s="748">
        <f t="shared" si="77"/>
        <v>0</v>
      </c>
      <c r="AR85" s="39">
        <v>0</v>
      </c>
      <c r="AS85" s="32"/>
      <c r="AU85" s="804">
        <f t="shared" si="78"/>
        <v>0</v>
      </c>
    </row>
    <row r="86" spans="1:47" s="42" customFormat="1" x14ac:dyDescent="0.2">
      <c r="A86" s="741" t="s">
        <v>653</v>
      </c>
      <c r="C86" s="3"/>
      <c r="D86" s="3"/>
      <c r="E86" s="431">
        <f>SUM(E78:E85)</f>
        <v>265000</v>
      </c>
      <c r="F86" s="754"/>
      <c r="G86" s="754"/>
      <c r="H86" s="754"/>
      <c r="I86" s="774">
        <f>SUM(I78:I85)</f>
        <v>0</v>
      </c>
      <c r="J86" s="754">
        <f t="shared" si="64"/>
        <v>0</v>
      </c>
      <c r="K86" s="31">
        <f>SUM(K78:K85)</f>
        <v>42068</v>
      </c>
      <c r="L86" s="774">
        <f>SUM(L78:L85)</f>
        <v>0</v>
      </c>
      <c r="M86" s="754">
        <f t="shared" si="66"/>
        <v>0</v>
      </c>
      <c r="N86" s="31">
        <f>SUM(N78:N85)</f>
        <v>37996</v>
      </c>
      <c r="O86" s="774">
        <f>SUM(O78:O85)</f>
        <v>0</v>
      </c>
      <c r="P86" s="754">
        <f t="shared" si="68"/>
        <v>0</v>
      </c>
      <c r="Q86" s="31">
        <f>SUM(Q78:Q85)</f>
        <v>38782</v>
      </c>
      <c r="R86" s="774">
        <f>SUM(R78:R85)</f>
        <v>0</v>
      </c>
      <c r="S86" s="754">
        <f t="shared" si="69"/>
        <v>0</v>
      </c>
      <c r="T86" s="31">
        <f>SUM(T78:T85)</f>
        <v>37530</v>
      </c>
      <c r="U86" s="774">
        <f>SUM(U78:U85)</f>
        <v>0</v>
      </c>
      <c r="V86" s="754">
        <f t="shared" si="70"/>
        <v>0</v>
      </c>
      <c r="W86" s="31">
        <f>SUM(W78:W85)</f>
        <v>38782</v>
      </c>
      <c r="X86" s="774">
        <f>SUM(X78:X85)</f>
        <v>0</v>
      </c>
      <c r="Y86" s="754">
        <f t="shared" si="71"/>
        <v>0</v>
      </c>
      <c r="Z86" s="31">
        <f>SUM(Z78:Z85)</f>
        <v>37530</v>
      </c>
      <c r="AA86" s="774">
        <f>SUM(AA78:AA85)</f>
        <v>0</v>
      </c>
      <c r="AB86" s="754">
        <f t="shared" si="72"/>
        <v>0</v>
      </c>
      <c r="AC86" s="31">
        <f>SUM(AC78:AC85)</f>
        <v>38782</v>
      </c>
      <c r="AD86" s="774">
        <f>SUM(AD78:AD85)</f>
        <v>0</v>
      </c>
      <c r="AE86" s="754">
        <f t="shared" si="73"/>
        <v>0</v>
      </c>
      <c r="AF86" s="31">
        <f>SUM(AF78:AF85)</f>
        <v>38782</v>
      </c>
      <c r="AG86" s="774">
        <f>SUM(AG78:AG85)</f>
        <v>0</v>
      </c>
      <c r="AH86" s="754">
        <f t="shared" si="74"/>
        <v>0</v>
      </c>
      <c r="AI86" s="31">
        <f>SUM(AI78:AI85)</f>
        <v>37530</v>
      </c>
      <c r="AJ86" s="774">
        <f>SUM(AJ78:AJ85)</f>
        <v>0</v>
      </c>
      <c r="AK86" s="754">
        <f t="shared" si="75"/>
        <v>0</v>
      </c>
      <c r="AL86" s="31">
        <f>SUM(AL78:AL85)</f>
        <v>38782</v>
      </c>
      <c r="AM86" s="774">
        <f>SUM(AM78:AM85)</f>
        <v>0</v>
      </c>
      <c r="AN86" s="754">
        <f t="shared" si="76"/>
        <v>0</v>
      </c>
      <c r="AO86" s="31">
        <f>SUM(AO78:AO85)</f>
        <v>78645</v>
      </c>
      <c r="AP86" s="774">
        <f>SUM(AP78:AP85)</f>
        <v>0</v>
      </c>
      <c r="AQ86" s="754">
        <f t="shared" si="77"/>
        <v>0</v>
      </c>
      <c r="AR86" s="31">
        <f>SUM(AR78:AR85)</f>
        <v>81265</v>
      </c>
      <c r="AS86" s="31"/>
      <c r="AT86" s="801">
        <f>SUM(I86:AS86)</f>
        <v>546474</v>
      </c>
      <c r="AU86" s="802">
        <f>SUM(AU78:AU85)</f>
        <v>546474</v>
      </c>
    </row>
    <row r="87" spans="1:47" x14ac:dyDescent="0.2"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802">
        <f>SUM(AT48:AT86)</f>
        <v>1392076</v>
      </c>
    </row>
    <row r="88" spans="1:47" x14ac:dyDescent="0.2"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</row>
    <row r="89" spans="1:47" x14ac:dyDescent="0.2">
      <c r="A89" s="743" t="s">
        <v>685</v>
      </c>
      <c r="I89" s="455"/>
      <c r="K89" s="32"/>
      <c r="L89" s="455"/>
      <c r="M89" s="748"/>
      <c r="N89" s="32"/>
      <c r="O89" s="455"/>
      <c r="P89" s="748"/>
      <c r="Q89" s="32"/>
      <c r="R89" s="455"/>
      <c r="S89" s="748"/>
      <c r="T89" s="32"/>
      <c r="U89" s="455"/>
      <c r="V89" s="748"/>
      <c r="W89" s="32"/>
      <c r="X89" s="455"/>
      <c r="Y89" s="748"/>
      <c r="Z89" s="32"/>
      <c r="AA89" s="455"/>
      <c r="AB89" s="748"/>
      <c r="AC89" s="32"/>
      <c r="AD89" s="455"/>
      <c r="AE89" s="748"/>
      <c r="AF89" s="32"/>
      <c r="AG89" s="455"/>
      <c r="AH89" s="748"/>
      <c r="AI89" s="32"/>
      <c r="AJ89" s="455"/>
      <c r="AK89" s="748"/>
      <c r="AL89" s="32"/>
      <c r="AM89" s="455"/>
      <c r="AN89" s="748"/>
      <c r="AO89" s="32"/>
      <c r="AP89" s="455"/>
      <c r="AQ89" s="748"/>
      <c r="AR89" s="32"/>
      <c r="AS89" s="32"/>
    </row>
    <row r="90" spans="1:47" x14ac:dyDescent="0.2">
      <c r="A90" s="629">
        <v>26960</v>
      </c>
      <c r="B90" t="s">
        <v>299</v>
      </c>
      <c r="C90" s="745">
        <v>37347</v>
      </c>
      <c r="D90" s="745">
        <v>37621</v>
      </c>
      <c r="E90" s="37">
        <v>0</v>
      </c>
      <c r="F90" s="748">
        <v>0</v>
      </c>
      <c r="G90" s="1105"/>
      <c r="H90" s="1105"/>
      <c r="I90" s="455">
        <v>0</v>
      </c>
      <c r="J90" s="748">
        <f>IF(I90&gt;0,K90/I90/K$7,0)</f>
        <v>0</v>
      </c>
      <c r="K90" s="32">
        <v>0</v>
      </c>
      <c r="L90" s="455">
        <v>0</v>
      </c>
      <c r="M90" s="748">
        <f>IF(L90&gt;0,N90/L90/N$7,0)</f>
        <v>0</v>
      </c>
      <c r="N90" s="32">
        <v>0</v>
      </c>
      <c r="O90" s="455">
        <v>0</v>
      </c>
      <c r="P90" s="748">
        <f>IF(O90&gt;0,Q90/O90/Q$7,0)</f>
        <v>0</v>
      </c>
      <c r="Q90" s="32">
        <v>0</v>
      </c>
      <c r="R90" s="455">
        <v>0</v>
      </c>
      <c r="S90" s="748">
        <v>0</v>
      </c>
      <c r="T90" s="32">
        <f>ROUND($E90*$F90*T$7,0)</f>
        <v>0</v>
      </c>
      <c r="U90" s="455">
        <v>0</v>
      </c>
      <c r="V90" s="748">
        <v>0</v>
      </c>
      <c r="W90" s="32">
        <f>ROUND($E90*$F90*W$7,0)</f>
        <v>0</v>
      </c>
      <c r="X90" s="455">
        <v>0</v>
      </c>
      <c r="Y90" s="748">
        <v>0</v>
      </c>
      <c r="Z90" s="32">
        <f>ROUND($E90*$F90*Z$7,0)</f>
        <v>0</v>
      </c>
      <c r="AA90" s="455">
        <v>0</v>
      </c>
      <c r="AB90" s="748">
        <v>0</v>
      </c>
      <c r="AC90" s="32">
        <f>ROUND($E90*$F90*AC$7,0)</f>
        <v>0</v>
      </c>
      <c r="AD90" s="455">
        <v>0</v>
      </c>
      <c r="AE90" s="748">
        <v>0</v>
      </c>
      <c r="AF90" s="32">
        <f>ROUND($E90*$F90*AF$7,0)</f>
        <v>0</v>
      </c>
      <c r="AG90" s="455">
        <v>0</v>
      </c>
      <c r="AH90" s="748">
        <v>0</v>
      </c>
      <c r="AI90" s="32">
        <f>ROUND($E90*$F90*AI$7,0)</f>
        <v>0</v>
      </c>
      <c r="AJ90" s="455">
        <v>0</v>
      </c>
      <c r="AK90" s="748">
        <v>0</v>
      </c>
      <c r="AL90" s="32">
        <f>ROUND($E90*$F90*AL$7,0)</f>
        <v>0</v>
      </c>
      <c r="AM90" s="455">
        <v>0</v>
      </c>
      <c r="AN90" s="748">
        <v>0</v>
      </c>
      <c r="AO90" s="32">
        <f>ROUND($E90*$F90*AO$7,0)</f>
        <v>0</v>
      </c>
      <c r="AP90" s="455">
        <v>0</v>
      </c>
      <c r="AQ90" s="748">
        <v>0</v>
      </c>
      <c r="AR90" s="32">
        <f>ROUND($E90*$F90*AR$7,0)</f>
        <v>0</v>
      </c>
      <c r="AS90" s="32"/>
      <c r="AU90" s="33">
        <f>AR90+AO90+AL90+AI90+AF90+AC90+Z90+W90+T90+Q90+N90+K90</f>
        <v>0</v>
      </c>
    </row>
    <row r="91" spans="1:47" x14ac:dyDescent="0.2">
      <c r="D91" s="745"/>
      <c r="G91" s="1105"/>
      <c r="H91" s="1105"/>
      <c r="I91" s="455"/>
      <c r="K91" s="32"/>
      <c r="L91" s="455"/>
      <c r="M91" s="748"/>
      <c r="N91" s="32"/>
      <c r="O91" s="455"/>
      <c r="P91" s="748"/>
      <c r="Q91" s="32"/>
      <c r="R91" s="455"/>
      <c r="S91" s="748"/>
      <c r="T91" s="32"/>
      <c r="U91" s="455"/>
      <c r="V91" s="748"/>
      <c r="W91" s="32"/>
      <c r="X91" s="455"/>
      <c r="Y91" s="748"/>
      <c r="Z91" s="32"/>
      <c r="AA91" s="455"/>
      <c r="AB91" s="748"/>
      <c r="AC91" s="32"/>
      <c r="AD91" s="455"/>
      <c r="AE91" s="748"/>
      <c r="AF91" s="32"/>
      <c r="AG91" s="455"/>
      <c r="AH91" s="748"/>
      <c r="AI91" s="32"/>
      <c r="AJ91" s="455"/>
      <c r="AK91" s="748"/>
      <c r="AL91" s="32"/>
      <c r="AM91" s="455"/>
      <c r="AN91" s="748"/>
      <c r="AO91" s="32"/>
      <c r="AP91" s="455"/>
      <c r="AQ91" s="748"/>
      <c r="AR91" s="32"/>
      <c r="AS91" s="32"/>
      <c r="AU91" s="33"/>
    </row>
    <row r="92" spans="1:47" x14ac:dyDescent="0.2">
      <c r="D92" s="745"/>
      <c r="G92" s="1105"/>
      <c r="H92" s="1105"/>
      <c r="I92" s="455"/>
      <c r="K92" s="32"/>
      <c r="L92" s="455"/>
      <c r="M92" s="748"/>
      <c r="N92" s="32"/>
      <c r="O92" s="455"/>
      <c r="P92" s="748"/>
      <c r="Q92" s="32"/>
      <c r="R92" s="455"/>
      <c r="S92" s="748"/>
      <c r="T92" s="32"/>
      <c r="U92" s="455"/>
      <c r="V92" s="748"/>
      <c r="W92" s="32"/>
      <c r="X92" s="455"/>
      <c r="Y92" s="748"/>
      <c r="Z92" s="32"/>
      <c r="AA92" s="455"/>
      <c r="AB92" s="748"/>
      <c r="AC92" s="32"/>
      <c r="AD92" s="455"/>
      <c r="AE92" s="748"/>
      <c r="AF92" s="32"/>
      <c r="AG92" s="455"/>
      <c r="AH92" s="748"/>
      <c r="AI92" s="32"/>
      <c r="AJ92" s="455"/>
      <c r="AK92" s="748"/>
      <c r="AL92" s="32"/>
      <c r="AM92" s="455"/>
      <c r="AN92" s="748"/>
      <c r="AO92" s="32"/>
      <c r="AP92" s="455"/>
      <c r="AQ92" s="748"/>
      <c r="AR92" s="32"/>
      <c r="AS92" s="32"/>
      <c r="AU92" s="33"/>
    </row>
    <row r="93" spans="1:47" x14ac:dyDescent="0.2">
      <c r="D93" s="745"/>
      <c r="G93" s="1105"/>
      <c r="H93" s="1105"/>
      <c r="I93" s="455"/>
      <c r="K93" s="32"/>
      <c r="L93" s="455"/>
      <c r="M93" s="748"/>
      <c r="N93" s="32"/>
      <c r="O93" s="455"/>
      <c r="P93" s="748"/>
      <c r="Q93" s="32"/>
      <c r="R93" s="455"/>
      <c r="S93" s="748"/>
      <c r="T93" s="32"/>
      <c r="U93" s="455"/>
      <c r="V93" s="748"/>
      <c r="W93" s="32"/>
      <c r="X93" s="455"/>
      <c r="Y93" s="748"/>
      <c r="Z93" s="32"/>
      <c r="AA93" s="455"/>
      <c r="AB93" s="748"/>
      <c r="AC93" s="32"/>
      <c r="AD93" s="455"/>
      <c r="AE93" s="748"/>
      <c r="AF93" s="32"/>
      <c r="AG93" s="455"/>
      <c r="AH93" s="748"/>
      <c r="AI93" s="32"/>
      <c r="AJ93" s="455"/>
      <c r="AK93" s="748"/>
      <c r="AL93" s="32"/>
      <c r="AM93" s="455"/>
      <c r="AN93" s="748"/>
      <c r="AO93" s="32"/>
      <c r="AP93" s="455"/>
      <c r="AQ93" s="748"/>
      <c r="AR93" s="32"/>
      <c r="AS93" s="32"/>
      <c r="AU93" s="33"/>
    </row>
    <row r="94" spans="1:47" x14ac:dyDescent="0.2">
      <c r="D94" s="745"/>
      <c r="E94" s="753"/>
      <c r="I94" s="777">
        <v>0</v>
      </c>
      <c r="J94" s="748">
        <f>IF(I94&gt;0,K94/I94/K$7,0)</f>
        <v>0</v>
      </c>
      <c r="K94" s="39">
        <v>0</v>
      </c>
      <c r="L94" s="777">
        <v>0</v>
      </c>
      <c r="M94" s="748">
        <f>IF(L94&gt;0,N94/L94/N$7,0)</f>
        <v>0</v>
      </c>
      <c r="N94" s="39">
        <v>0</v>
      </c>
      <c r="O94" s="777">
        <v>0</v>
      </c>
      <c r="P94" s="748">
        <f>IF(O94&gt;0,Q94/O94/Q$7,0)</f>
        <v>0</v>
      </c>
      <c r="Q94" s="39">
        <v>0</v>
      </c>
      <c r="R94" s="777">
        <v>0</v>
      </c>
      <c r="S94" s="748">
        <f>IF(R94&gt;0,T94/R94/T$7,0)</f>
        <v>0</v>
      </c>
      <c r="T94" s="39">
        <v>0</v>
      </c>
      <c r="U94" s="777">
        <v>0</v>
      </c>
      <c r="V94" s="748">
        <f>IF(U94&gt;0,W94/U94/W$7,0)</f>
        <v>0</v>
      </c>
      <c r="W94" s="39">
        <v>0</v>
      </c>
      <c r="X94" s="777">
        <v>0</v>
      </c>
      <c r="Y94" s="748">
        <f>IF(X94&gt;0,Z94/X94/Z$7,0)</f>
        <v>0</v>
      </c>
      <c r="Z94" s="39">
        <v>0</v>
      </c>
      <c r="AA94" s="777">
        <v>0</v>
      </c>
      <c r="AB94" s="748">
        <f>IF(AA94&gt;0,AC94/AA94/AC$7,0)</f>
        <v>0</v>
      </c>
      <c r="AC94" s="39">
        <v>0</v>
      </c>
      <c r="AD94" s="777">
        <v>0</v>
      </c>
      <c r="AE94" s="748">
        <f>IF(AD94&gt;0,AF94/AD94/AF$7,0)</f>
        <v>0</v>
      </c>
      <c r="AF94" s="39">
        <v>0</v>
      </c>
      <c r="AG94" s="777">
        <v>0</v>
      </c>
      <c r="AH94" s="748">
        <f>IF(AG94&gt;0,AI94/AG94/AI$7,0)</f>
        <v>0</v>
      </c>
      <c r="AI94" s="39">
        <v>0</v>
      </c>
      <c r="AJ94" s="777">
        <v>0</v>
      </c>
      <c r="AK94" s="748">
        <f>IF(AJ94&gt;0,AL94/AJ94/AL$7,0)</f>
        <v>0</v>
      </c>
      <c r="AL94" s="39">
        <v>0</v>
      </c>
      <c r="AM94" s="777">
        <v>0</v>
      </c>
      <c r="AN94" s="748">
        <f>IF(AM94&gt;0,AO94/AM94/AO$7,0)</f>
        <v>0</v>
      </c>
      <c r="AO94" s="39">
        <v>0</v>
      </c>
      <c r="AP94" s="777">
        <v>0</v>
      </c>
      <c r="AQ94" s="748">
        <f>IF(AP94&gt;0,AR94/AP94/AR$7,0)</f>
        <v>0</v>
      </c>
      <c r="AR94" s="39">
        <v>0</v>
      </c>
      <c r="AS94" s="32"/>
      <c r="AU94" s="804">
        <f>AR94+AO94+AL94+AI94+AF94+AC94+Z94+W94+T94+Q94+N94+K94</f>
        <v>0</v>
      </c>
    </row>
    <row r="95" spans="1:47" s="42" customFormat="1" x14ac:dyDescent="0.2">
      <c r="A95" s="741" t="s">
        <v>632</v>
      </c>
      <c r="C95" s="3"/>
      <c r="D95" s="3"/>
      <c r="E95" s="431">
        <f>SUM(E90:E94)</f>
        <v>0</v>
      </c>
      <c r="F95" s="754"/>
      <c r="G95" s="754"/>
      <c r="H95" s="754"/>
      <c r="I95" s="774">
        <f>SUM(I90:I94)</f>
        <v>0</v>
      </c>
      <c r="J95" s="754">
        <f>IF(I95&gt;0,K95/I95/K$7,0)</f>
        <v>0</v>
      </c>
      <c r="K95" s="31">
        <f>SUM(K90:K94)</f>
        <v>0</v>
      </c>
      <c r="L95" s="774">
        <f>SUM(L90:L94)</f>
        <v>0</v>
      </c>
      <c r="M95" s="754">
        <f>IF(L95&gt;0,N95/L95/N$7,0)</f>
        <v>0</v>
      </c>
      <c r="N95" s="31">
        <f>SUM(N90:N94)</f>
        <v>0</v>
      </c>
      <c r="O95" s="774">
        <f>SUM(O90:O94)</f>
        <v>0</v>
      </c>
      <c r="P95" s="754">
        <f>IF(O95&gt;0,Q95/O95/Q$7,0)</f>
        <v>0</v>
      </c>
      <c r="Q95" s="31">
        <f>SUM(Q90:Q94)</f>
        <v>0</v>
      </c>
      <c r="R95" s="774">
        <f>SUM(R90:R94)</f>
        <v>0</v>
      </c>
      <c r="S95" s="754">
        <f>IF(R95&gt;0,T95/R95/T$7,0)</f>
        <v>0</v>
      </c>
      <c r="T95" s="31">
        <f>SUM(T90:T94)</f>
        <v>0</v>
      </c>
      <c r="U95" s="774">
        <f>SUM(U90:U94)</f>
        <v>0</v>
      </c>
      <c r="V95" s="754">
        <f>IF(U95&gt;0,W95/U95/W$7,0)</f>
        <v>0</v>
      </c>
      <c r="W95" s="31">
        <f>SUM(W90:W94)</f>
        <v>0</v>
      </c>
      <c r="X95" s="774">
        <f>SUM(X90:X94)</f>
        <v>0</v>
      </c>
      <c r="Y95" s="754">
        <f>IF(X95&gt;0,Z95/X95/Z$7,0)</f>
        <v>0</v>
      </c>
      <c r="Z95" s="31">
        <f>SUM(Z90:Z94)</f>
        <v>0</v>
      </c>
      <c r="AA95" s="774">
        <f>SUM(AA90:AA94)</f>
        <v>0</v>
      </c>
      <c r="AB95" s="754">
        <f>IF(AA95&gt;0,AC95/AA95/AC$7,0)</f>
        <v>0</v>
      </c>
      <c r="AC95" s="31">
        <f>SUM(AC90:AC94)</f>
        <v>0</v>
      </c>
      <c r="AD95" s="774">
        <f>SUM(AD90:AD94)</f>
        <v>0</v>
      </c>
      <c r="AE95" s="754">
        <f>IF(AD95&gt;0,AF95/AD95/AF$7,0)</f>
        <v>0</v>
      </c>
      <c r="AF95" s="31">
        <f>SUM(AF90:AF94)</f>
        <v>0</v>
      </c>
      <c r="AG95" s="774">
        <f>SUM(AG90:AG94)</f>
        <v>0</v>
      </c>
      <c r="AH95" s="754">
        <f>IF(AG95&gt;0,AI95/AG95/AI$7,0)</f>
        <v>0</v>
      </c>
      <c r="AI95" s="31">
        <f>SUM(AI90:AI94)</f>
        <v>0</v>
      </c>
      <c r="AJ95" s="774">
        <f>SUM(AJ90:AJ94)</f>
        <v>0</v>
      </c>
      <c r="AK95" s="754">
        <f>IF(AJ95&gt;0,AL95/AJ95/AL$7,0)</f>
        <v>0</v>
      </c>
      <c r="AL95" s="31">
        <f>SUM(AL90:AL94)</f>
        <v>0</v>
      </c>
      <c r="AM95" s="774">
        <f>SUM(AM90:AM94)</f>
        <v>0</v>
      </c>
      <c r="AN95" s="754">
        <f>IF(AM95&gt;0,AO95/AM95/AO$7,0)</f>
        <v>0</v>
      </c>
      <c r="AO95" s="31">
        <f>SUM(AO90:AO94)</f>
        <v>0</v>
      </c>
      <c r="AP95" s="774">
        <f>SUM(AP90:AP94)</f>
        <v>0</v>
      </c>
      <c r="AQ95" s="754">
        <f>IF(AP95&gt;0,AR95/AP95/AR$7,0)</f>
        <v>0</v>
      </c>
      <c r="AR95" s="31">
        <f>SUM(AR90:AR94)</f>
        <v>0</v>
      </c>
      <c r="AS95" s="31"/>
      <c r="AT95" s="801"/>
      <c r="AU95" s="802">
        <f>SUM(AU90:AU94)</f>
        <v>0</v>
      </c>
    </row>
    <row r="96" spans="1:47" x14ac:dyDescent="0.2"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</row>
    <row r="97" spans="1:47" x14ac:dyDescent="0.2"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7" x14ac:dyDescent="0.2">
      <c r="A98" s="743" t="s">
        <v>714</v>
      </c>
      <c r="I98" s="455"/>
      <c r="K98" s="32"/>
      <c r="L98" s="455"/>
      <c r="M98" s="748"/>
      <c r="N98" s="32"/>
      <c r="O98" s="455"/>
      <c r="P98" s="748"/>
      <c r="Q98" s="32"/>
      <c r="R98" s="455"/>
      <c r="S98" s="748"/>
      <c r="T98" s="32"/>
      <c r="U98" s="455"/>
      <c r="V98" s="748"/>
      <c r="W98" s="32"/>
      <c r="X98" s="455"/>
      <c r="Y98" s="748"/>
      <c r="Z98" s="32"/>
      <c r="AA98" s="455"/>
      <c r="AB98" s="748"/>
      <c r="AC98" s="32"/>
      <c r="AD98" s="455"/>
      <c r="AE98" s="748"/>
      <c r="AF98" s="32"/>
      <c r="AG98" s="455"/>
      <c r="AH98" s="748"/>
      <c r="AI98" s="32"/>
      <c r="AJ98" s="455"/>
      <c r="AK98" s="748"/>
      <c r="AL98" s="32"/>
      <c r="AM98" s="455"/>
      <c r="AN98" s="748"/>
      <c r="AO98" s="32"/>
      <c r="AP98" s="455"/>
      <c r="AQ98" s="748"/>
      <c r="AR98" s="32"/>
      <c r="AS98" s="32"/>
    </row>
    <row r="99" spans="1:47" x14ac:dyDescent="0.2">
      <c r="A99" s="629">
        <v>27583</v>
      </c>
      <c r="B99" t="s">
        <v>715</v>
      </c>
      <c r="D99" s="745">
        <v>37408</v>
      </c>
      <c r="E99" s="37">
        <v>1300</v>
      </c>
      <c r="F99" s="748">
        <v>0.04</v>
      </c>
      <c r="G99" s="1105" t="s">
        <v>716</v>
      </c>
      <c r="H99" s="1105"/>
      <c r="I99" s="455">
        <v>0</v>
      </c>
      <c r="J99" s="748">
        <f t="shared" ref="J99:J104" si="79">IF(I99&gt;0,K99/I99/K$7,0)</f>
        <v>0</v>
      </c>
      <c r="K99" s="32">
        <v>0</v>
      </c>
      <c r="L99" s="455">
        <v>0</v>
      </c>
      <c r="M99" s="748">
        <f t="shared" ref="M99:M104" si="80">IF(L99&gt;0,N99/L99/N$7,0)</f>
        <v>0</v>
      </c>
      <c r="N99" s="32">
        <v>0</v>
      </c>
      <c r="O99" s="455">
        <v>0</v>
      </c>
      <c r="P99" s="748">
        <f t="shared" ref="P99:P104" si="81">IF(O99&gt;0,Q99/O99/Q$7,0)</f>
        <v>0</v>
      </c>
      <c r="Q99" s="32">
        <v>0</v>
      </c>
      <c r="R99" s="455">
        <v>0</v>
      </c>
      <c r="S99" s="748">
        <f t="shared" ref="S99:S104" si="82">IF(R99&gt;0,T99/R99/T$7,0)</f>
        <v>0</v>
      </c>
      <c r="T99" s="32">
        <v>0</v>
      </c>
      <c r="U99" s="455">
        <v>0</v>
      </c>
      <c r="V99" s="748">
        <f t="shared" ref="V99:V104" si="83">IF(U99&gt;0,W99/U99/W$7,0)</f>
        <v>0</v>
      </c>
      <c r="W99" s="32">
        <v>0</v>
      </c>
      <c r="X99" s="455">
        <f>$E$99</f>
        <v>1300</v>
      </c>
      <c r="Y99" s="748">
        <f>$F$99</f>
        <v>0.04</v>
      </c>
      <c r="Z99" s="32">
        <f>X99*Y99*Z7</f>
        <v>1560</v>
      </c>
      <c r="AA99" s="455">
        <f>$E$99</f>
        <v>1300</v>
      </c>
      <c r="AB99" s="748">
        <f>$F$99</f>
        <v>0.04</v>
      </c>
      <c r="AC99" s="32">
        <f>AA99*AB99*AC7</f>
        <v>1612</v>
      </c>
      <c r="AD99" s="455">
        <f>$E$99</f>
        <v>1300</v>
      </c>
      <c r="AE99" s="748">
        <f>$F$99</f>
        <v>0.04</v>
      </c>
      <c r="AF99" s="32">
        <f>AD99*AE99*AF7</f>
        <v>1612</v>
      </c>
      <c r="AG99" s="455">
        <f>$E$99</f>
        <v>1300</v>
      </c>
      <c r="AH99" s="748">
        <f>$F$99</f>
        <v>0.04</v>
      </c>
      <c r="AI99" s="32">
        <f>AG99*AH99*AI7</f>
        <v>1560</v>
      </c>
      <c r="AJ99" s="455">
        <f>$E$99</f>
        <v>1300</v>
      </c>
      <c r="AK99" s="748">
        <f>$F$99</f>
        <v>0.04</v>
      </c>
      <c r="AL99" s="32">
        <f>AJ99*AK99*AL7</f>
        <v>1612</v>
      </c>
      <c r="AM99" s="455">
        <f>$E$99</f>
        <v>1300</v>
      </c>
      <c r="AN99" s="748">
        <f>$F$99</f>
        <v>0.04</v>
      </c>
      <c r="AO99" s="32">
        <f>AM99*AN99*AO7</f>
        <v>1560</v>
      </c>
      <c r="AP99" s="455">
        <f>$E$99</f>
        <v>1300</v>
      </c>
      <c r="AQ99" s="748">
        <f>$F$99</f>
        <v>0.04</v>
      </c>
      <c r="AR99" s="32">
        <f>AP99*AQ99*AR7</f>
        <v>1612</v>
      </c>
      <c r="AS99" s="32"/>
      <c r="AU99" s="33">
        <f>AR99+AO99+AL99+AI99+AF99+AC99+Z99+W99+T99+Q99+N99+K99</f>
        <v>11128</v>
      </c>
    </row>
    <row r="100" spans="1:47" x14ac:dyDescent="0.2">
      <c r="D100" s="745"/>
      <c r="G100" s="1105"/>
      <c r="H100" s="1105"/>
      <c r="I100" s="455"/>
      <c r="K100" s="32"/>
      <c r="L100" s="455"/>
      <c r="M100" s="748"/>
      <c r="N100" s="32"/>
      <c r="O100" s="455"/>
      <c r="P100" s="748"/>
      <c r="Q100" s="32"/>
      <c r="R100" s="455"/>
      <c r="S100" s="748"/>
      <c r="T100" s="32"/>
      <c r="U100" s="455"/>
      <c r="V100" s="748"/>
      <c r="W100" s="32"/>
      <c r="X100" s="455"/>
      <c r="Y100" s="748"/>
      <c r="Z100" s="32"/>
      <c r="AA100" s="455"/>
      <c r="AB100" s="748"/>
      <c r="AC100" s="32"/>
      <c r="AD100" s="455"/>
      <c r="AE100" s="748"/>
      <c r="AF100" s="32"/>
      <c r="AG100" s="455"/>
      <c r="AH100" s="748"/>
      <c r="AI100" s="32"/>
      <c r="AJ100" s="455"/>
      <c r="AK100" s="748"/>
      <c r="AL100" s="32"/>
      <c r="AM100" s="455"/>
      <c r="AN100" s="748"/>
      <c r="AO100" s="32"/>
      <c r="AP100" s="455"/>
      <c r="AQ100" s="748"/>
      <c r="AR100" s="32"/>
      <c r="AS100" s="32"/>
      <c r="AU100" s="33"/>
    </row>
    <row r="101" spans="1:47" x14ac:dyDescent="0.2">
      <c r="D101" s="745"/>
      <c r="G101" s="1105"/>
      <c r="H101" s="1105"/>
      <c r="I101" s="455"/>
      <c r="K101" s="32"/>
      <c r="L101" s="455"/>
      <c r="M101" s="748"/>
      <c r="N101" s="32"/>
      <c r="O101" s="455"/>
      <c r="P101" s="748"/>
      <c r="Q101" s="32"/>
      <c r="R101" s="455"/>
      <c r="S101" s="748"/>
      <c r="T101" s="32"/>
      <c r="U101" s="455"/>
      <c r="V101" s="748"/>
      <c r="W101" s="32"/>
      <c r="X101" s="455"/>
      <c r="Y101" s="748"/>
      <c r="Z101" s="32"/>
      <c r="AA101" s="455"/>
      <c r="AB101" s="748"/>
      <c r="AC101" s="32"/>
      <c r="AD101" s="455"/>
      <c r="AE101" s="748"/>
      <c r="AF101" s="32"/>
      <c r="AG101" s="455"/>
      <c r="AH101" s="748"/>
      <c r="AI101" s="32"/>
      <c r="AJ101" s="455"/>
      <c r="AK101" s="748"/>
      <c r="AL101" s="32"/>
      <c r="AM101" s="455"/>
      <c r="AN101" s="748"/>
      <c r="AO101" s="32"/>
      <c r="AP101" s="455"/>
      <c r="AQ101" s="748"/>
      <c r="AR101" s="32"/>
      <c r="AS101" s="32"/>
      <c r="AU101" s="33"/>
    </row>
    <row r="102" spans="1:47" x14ac:dyDescent="0.2">
      <c r="D102" s="745"/>
      <c r="G102" s="1105"/>
      <c r="H102" s="1105"/>
      <c r="I102" s="455"/>
      <c r="K102" s="32"/>
      <c r="L102" s="455"/>
      <c r="M102" s="748"/>
      <c r="N102" s="32"/>
      <c r="O102" s="455"/>
      <c r="P102" s="748"/>
      <c r="Q102" s="32"/>
      <c r="R102" s="455"/>
      <c r="S102" s="748"/>
      <c r="T102" s="32"/>
      <c r="U102" s="455"/>
      <c r="V102" s="748"/>
      <c r="W102" s="32"/>
      <c r="X102" s="455"/>
      <c r="Y102" s="748"/>
      <c r="Z102" s="32"/>
      <c r="AA102" s="455"/>
      <c r="AB102" s="748"/>
      <c r="AC102" s="32"/>
      <c r="AD102" s="455"/>
      <c r="AE102" s="748"/>
      <c r="AF102" s="32"/>
      <c r="AG102" s="455"/>
      <c r="AH102" s="748"/>
      <c r="AI102" s="32"/>
      <c r="AJ102" s="455"/>
      <c r="AK102" s="748"/>
      <c r="AL102" s="32"/>
      <c r="AM102" s="455"/>
      <c r="AN102" s="748"/>
      <c r="AO102" s="32"/>
      <c r="AP102" s="455"/>
      <c r="AQ102" s="748"/>
      <c r="AR102" s="32"/>
      <c r="AS102" s="32"/>
      <c r="AU102" s="33"/>
    </row>
    <row r="103" spans="1:47" x14ac:dyDescent="0.2">
      <c r="D103" s="745"/>
      <c r="E103" s="753"/>
      <c r="I103" s="777">
        <v>0</v>
      </c>
      <c r="J103" s="748">
        <f t="shared" si="79"/>
        <v>0</v>
      </c>
      <c r="K103" s="39">
        <v>0</v>
      </c>
      <c r="L103" s="777">
        <v>0</v>
      </c>
      <c r="M103" s="748">
        <f t="shared" si="80"/>
        <v>0</v>
      </c>
      <c r="N103" s="39">
        <v>0</v>
      </c>
      <c r="O103" s="777">
        <v>0</v>
      </c>
      <c r="P103" s="748">
        <f t="shared" si="81"/>
        <v>0</v>
      </c>
      <c r="Q103" s="39">
        <v>0</v>
      </c>
      <c r="R103" s="777">
        <v>0</v>
      </c>
      <c r="S103" s="748">
        <f t="shared" si="82"/>
        <v>0</v>
      </c>
      <c r="T103" s="39">
        <v>0</v>
      </c>
      <c r="U103" s="777">
        <v>0</v>
      </c>
      <c r="V103" s="748">
        <f t="shared" si="83"/>
        <v>0</v>
      </c>
      <c r="W103" s="39">
        <v>0</v>
      </c>
      <c r="X103" s="777">
        <v>0</v>
      </c>
      <c r="Y103" s="748">
        <f>IF(X103&gt;0,Z103/X103/Z$7,0)</f>
        <v>0</v>
      </c>
      <c r="Z103" s="39">
        <v>0</v>
      </c>
      <c r="AA103" s="777">
        <v>0</v>
      </c>
      <c r="AB103" s="748">
        <f>IF(AA103&gt;0,AC103/AA103/AC$7,0)</f>
        <v>0</v>
      </c>
      <c r="AC103" s="39">
        <v>0</v>
      </c>
      <c r="AD103" s="777">
        <v>0</v>
      </c>
      <c r="AE103" s="748">
        <f>IF(AD103&gt;0,AF103/AD103/AF$7,0)</f>
        <v>0</v>
      </c>
      <c r="AF103" s="39">
        <v>0</v>
      </c>
      <c r="AG103" s="777">
        <v>0</v>
      </c>
      <c r="AH103" s="748">
        <f>IF(AG103&gt;0,AI103/AG103/AI$7,0)</f>
        <v>0</v>
      </c>
      <c r="AI103" s="39">
        <v>0</v>
      </c>
      <c r="AJ103" s="777">
        <v>0</v>
      </c>
      <c r="AK103" s="748">
        <f>IF(AJ103&gt;0,AL103/AJ103/AL$7,0)</f>
        <v>0</v>
      </c>
      <c r="AL103" s="39">
        <v>0</v>
      </c>
      <c r="AM103" s="777">
        <v>0</v>
      </c>
      <c r="AN103" s="748">
        <f>IF(AM103&gt;0,AO103/AM103/AO$7,0)</f>
        <v>0</v>
      </c>
      <c r="AO103" s="39">
        <v>0</v>
      </c>
      <c r="AP103" s="777">
        <v>0</v>
      </c>
      <c r="AQ103" s="748">
        <f>IF(AP103&gt;0,AR103/AP103/AR$7,0)</f>
        <v>0</v>
      </c>
      <c r="AR103" s="39">
        <v>0</v>
      </c>
      <c r="AS103" s="32"/>
      <c r="AU103" s="804">
        <f>AR103+AO103+AL103+AI103+AF103+AC103+Z103+W103+T103+Q103+N103+K103</f>
        <v>0</v>
      </c>
    </row>
    <row r="104" spans="1:47" s="42" customFormat="1" x14ac:dyDescent="0.2">
      <c r="A104" s="741" t="s">
        <v>717</v>
      </c>
      <c r="C104" s="3"/>
      <c r="D104" s="3"/>
      <c r="E104" s="431">
        <f>SUM(E99:E103)</f>
        <v>1300</v>
      </c>
      <c r="F104" s="754"/>
      <c r="G104" s="754"/>
      <c r="H104" s="754"/>
      <c r="I104" s="774">
        <f>SUM(I99:I103)</f>
        <v>0</v>
      </c>
      <c r="J104" s="754">
        <f t="shared" si="79"/>
        <v>0</v>
      </c>
      <c r="K104" s="31">
        <f>SUM(K99:K103)</f>
        <v>0</v>
      </c>
      <c r="L104" s="774">
        <f>SUM(L99:L103)</f>
        <v>0</v>
      </c>
      <c r="M104" s="754">
        <f t="shared" si="80"/>
        <v>0</v>
      </c>
      <c r="N104" s="31">
        <f>SUM(N99:N103)</f>
        <v>0</v>
      </c>
      <c r="O104" s="774">
        <f>SUM(O99:O103)</f>
        <v>0</v>
      </c>
      <c r="P104" s="754">
        <f t="shared" si="81"/>
        <v>0</v>
      </c>
      <c r="Q104" s="31">
        <f>SUM(Q99:Q103)</f>
        <v>0</v>
      </c>
      <c r="R104" s="774">
        <f>SUM(R99:R103)</f>
        <v>0</v>
      </c>
      <c r="S104" s="754">
        <f t="shared" si="82"/>
        <v>0</v>
      </c>
      <c r="T104" s="31">
        <f>SUM(T99:T103)</f>
        <v>0</v>
      </c>
      <c r="U104" s="774">
        <f>SUM(U99:U103)</f>
        <v>0</v>
      </c>
      <c r="V104" s="754">
        <f t="shared" si="83"/>
        <v>0</v>
      </c>
      <c r="W104" s="31">
        <f>SUM(W99:W103)</f>
        <v>0</v>
      </c>
      <c r="X104" s="774">
        <f>SUM(X99:X103)</f>
        <v>1300</v>
      </c>
      <c r="Y104" s="754">
        <f>IF(X104&gt;0,Z104/X104/Z$7,0)</f>
        <v>0.04</v>
      </c>
      <c r="Z104" s="31">
        <f>SUM(Z99:Z103)</f>
        <v>1560</v>
      </c>
      <c r="AA104" s="774">
        <f>SUM(AA99:AA103)</f>
        <v>1300</v>
      </c>
      <c r="AB104" s="754">
        <f>IF(AA104&gt;0,AC104/AA104/AC$7,0)</f>
        <v>0.04</v>
      </c>
      <c r="AC104" s="31">
        <f>SUM(AC99:AC103)</f>
        <v>1612</v>
      </c>
      <c r="AD104" s="774">
        <f>SUM(AD99:AD103)</f>
        <v>1300</v>
      </c>
      <c r="AE104" s="754">
        <f>IF(AD104&gt;0,AF104/AD104/AF$7,0)</f>
        <v>0.04</v>
      </c>
      <c r="AF104" s="31">
        <f>SUM(AF99:AF103)</f>
        <v>1612</v>
      </c>
      <c r="AG104" s="774">
        <f>SUM(AG99:AG103)</f>
        <v>1300</v>
      </c>
      <c r="AH104" s="754">
        <f>IF(AG104&gt;0,AI104/AG104/AI$7,0)</f>
        <v>0.04</v>
      </c>
      <c r="AI104" s="31">
        <f>SUM(AI99:AI103)</f>
        <v>1560</v>
      </c>
      <c r="AJ104" s="774">
        <f>SUM(AJ99:AJ103)</f>
        <v>1300</v>
      </c>
      <c r="AK104" s="754">
        <f>IF(AJ104&gt;0,AL104/AJ104/AL$7,0)</f>
        <v>0.04</v>
      </c>
      <c r="AL104" s="31">
        <f>SUM(AL99:AL103)</f>
        <v>1612</v>
      </c>
      <c r="AM104" s="774">
        <f>SUM(AM99:AM103)</f>
        <v>1300</v>
      </c>
      <c r="AN104" s="754">
        <f>IF(AM104&gt;0,AO104/AM104/AO$7,0)</f>
        <v>0.04</v>
      </c>
      <c r="AO104" s="31">
        <f>SUM(AO99:AO103)</f>
        <v>1560</v>
      </c>
      <c r="AP104" s="774">
        <f>SUM(AP99:AP103)</f>
        <v>1300</v>
      </c>
      <c r="AQ104" s="754">
        <f>IF(AP104&gt;0,AR104/AP104/AR$7,0)</f>
        <v>0.04</v>
      </c>
      <c r="AR104" s="31">
        <f>SUM(AR99:AR103)</f>
        <v>1612</v>
      </c>
      <c r="AS104" s="31"/>
      <c r="AT104" s="801"/>
      <c r="AU104" s="802">
        <f>SUM(AU99:AU103)</f>
        <v>11128</v>
      </c>
    </row>
  </sheetData>
  <mergeCells count="38">
    <mergeCell ref="G101:H101"/>
    <mergeCell ref="G102:H102"/>
    <mergeCell ref="G99:H99"/>
    <mergeCell ref="G100:H100"/>
    <mergeCell ref="AP8:AR8"/>
    <mergeCell ref="AM8:AO8"/>
    <mergeCell ref="AJ8:AL8"/>
    <mergeCell ref="AG8:AI8"/>
    <mergeCell ref="R8:T8"/>
    <mergeCell ref="AD8:AF8"/>
    <mergeCell ref="AA8:AC8"/>
    <mergeCell ref="X8:Z8"/>
    <mergeCell ref="U8:W8"/>
    <mergeCell ref="O8:Q8"/>
    <mergeCell ref="L8:N8"/>
    <mergeCell ref="E2:F2"/>
    <mergeCell ref="I8:K8"/>
    <mergeCell ref="G45:H45"/>
    <mergeCell ref="G46:H46"/>
    <mergeCell ref="G44:H44"/>
    <mergeCell ref="G78:H78"/>
    <mergeCell ref="G79:H79"/>
    <mergeCell ref="G80:H80"/>
    <mergeCell ref="G81:H81"/>
    <mergeCell ref="G65:H65"/>
    <mergeCell ref="G38:H38"/>
    <mergeCell ref="G39:H39"/>
    <mergeCell ref="G40:H40"/>
    <mergeCell ref="G41:H41"/>
    <mergeCell ref="G42:H42"/>
    <mergeCell ref="G43:H43"/>
    <mergeCell ref="G90:H90"/>
    <mergeCell ref="G91:H91"/>
    <mergeCell ref="G92:H92"/>
    <mergeCell ref="G93:H93"/>
    <mergeCell ref="G82:H82"/>
    <mergeCell ref="G83:H83"/>
    <mergeCell ref="G84:H84"/>
  </mergeCells>
  <phoneticPr fontId="10" type="noConversion"/>
  <pageMargins left="0.1" right="0.1" top="0.5" bottom="0.5" header="0.25" footer="0.25"/>
  <pageSetup paperSize="5" scale="41" fitToWidth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229"/>
  <sheetViews>
    <sheetView zoomScale="75" zoomScaleNormal="75" workbookViewId="0">
      <pane xSplit="2" ySplit="5" topLeftCell="C98" activePane="bottomRight" state="frozen"/>
      <selection pane="topRight" activeCell="C1" sqref="C1"/>
      <selection pane="bottomLeft" activeCell="A6" sqref="A6"/>
      <selection pane="bottomRight" activeCell="A112" sqref="A112"/>
    </sheetView>
  </sheetViews>
  <sheetFormatPr defaultRowHeight="12.75" x14ac:dyDescent="0.2"/>
  <cols>
    <col min="1" max="1" width="70.42578125" customWidth="1"/>
    <col min="3" max="3" width="13.28515625" style="440" bestFit="1" customWidth="1"/>
    <col min="4" max="4" width="11.7109375" customWidth="1"/>
    <col min="5" max="5" width="13.140625" style="674" bestFit="1" customWidth="1"/>
    <col min="6" max="7" width="11.7109375" customWidth="1"/>
    <col min="8" max="8" width="13.28515625" style="390" bestFit="1" customWidth="1"/>
    <col min="9" max="10" width="11.7109375" customWidth="1"/>
    <col min="11" max="11" width="14.42578125" style="390" bestFit="1" customWidth="1"/>
    <col min="12" max="13" width="11.7109375" customWidth="1"/>
    <col min="14" max="14" width="13.7109375" bestFit="1" customWidth="1"/>
    <col min="15" max="15" width="11.7109375" style="692" bestFit="1" customWidth="1"/>
    <col min="16" max="16" width="12.7109375" customWidth="1"/>
    <col min="17" max="17" width="18.28515625" style="390" customWidth="1"/>
    <col min="18" max="19" width="11.7109375" customWidth="1"/>
    <col min="20" max="20" width="19.140625" style="390" customWidth="1"/>
    <col min="21" max="22" width="11.7109375" customWidth="1"/>
    <col min="23" max="23" width="21.42578125" style="390" customWidth="1"/>
    <col min="24" max="25" width="11.7109375" bestFit="1" customWidth="1"/>
    <col min="26" max="26" width="18.140625" style="390" customWidth="1"/>
    <col min="27" max="28" width="11.7109375" bestFit="1" customWidth="1"/>
    <col min="29" max="29" width="13.7109375" style="390" bestFit="1" customWidth="1"/>
    <col min="30" max="31" width="11.7109375" bestFit="1" customWidth="1"/>
    <col min="32" max="32" width="13.7109375" style="390" bestFit="1" customWidth="1"/>
    <col min="33" max="34" width="11.7109375" bestFit="1" customWidth="1"/>
    <col min="35" max="35" width="14.28515625" style="390" customWidth="1"/>
    <col min="36" max="37" width="11.7109375" bestFit="1" customWidth="1"/>
    <col min="38" max="38" width="13.7109375" style="390" bestFit="1" customWidth="1"/>
    <col min="39" max="39" width="11.7109375" customWidth="1"/>
    <col min="40" max="40" width="7.7109375" customWidth="1"/>
    <col min="41" max="41" width="11.140625" style="390" customWidth="1"/>
    <col min="42" max="42" width="11.42578125" customWidth="1"/>
    <col min="43" max="43" width="7.7109375" customWidth="1"/>
    <col min="44" max="44" width="11.140625" style="390" customWidth="1"/>
    <col min="45" max="45" width="11.42578125" customWidth="1"/>
    <col min="46" max="46" width="7.7109375" customWidth="1"/>
    <col min="47" max="47" width="11.140625" style="390" customWidth="1"/>
    <col min="48" max="48" width="11.42578125" customWidth="1"/>
    <col min="49" max="49" width="7.7109375" customWidth="1"/>
    <col min="50" max="50" width="11.140625" style="390" customWidth="1"/>
    <col min="51" max="51" width="11.42578125" customWidth="1"/>
    <col min="52" max="52" width="7.7109375" customWidth="1"/>
    <col min="53" max="53" width="11.140625" style="390" customWidth="1"/>
    <col min="54" max="54" width="11.42578125" customWidth="1"/>
    <col min="55" max="55" width="7.7109375" customWidth="1"/>
    <col min="56" max="56" width="11.140625" style="390" customWidth="1"/>
    <col min="57" max="57" width="11.42578125" customWidth="1"/>
    <col min="58" max="58" width="7.7109375" customWidth="1"/>
    <col min="59" max="59" width="11.140625" style="390" customWidth="1"/>
    <col min="60" max="60" width="11.42578125" customWidth="1"/>
    <col min="61" max="61" width="7.7109375" customWidth="1"/>
    <col min="62" max="62" width="11.140625" style="390" customWidth="1"/>
    <col min="63" max="63" width="11.42578125" customWidth="1"/>
    <col min="64" max="64" width="7.7109375" customWidth="1"/>
    <col min="65" max="65" width="11.140625" style="390" customWidth="1"/>
    <col min="66" max="66" width="11.42578125" customWidth="1"/>
    <col min="67" max="67" width="7.7109375" customWidth="1"/>
    <col min="68" max="68" width="11.140625" style="390" customWidth="1"/>
    <col min="69" max="69" width="11.42578125" customWidth="1"/>
    <col min="70" max="70" width="7.7109375" customWidth="1"/>
    <col min="71" max="71" width="11.140625" style="390" customWidth="1"/>
    <col min="72" max="72" width="11.42578125" customWidth="1"/>
    <col min="73" max="73" width="7.7109375" customWidth="1"/>
    <col min="74" max="74" width="11.140625" style="390" customWidth="1"/>
  </cols>
  <sheetData>
    <row r="1" spans="1:74" ht="15" x14ac:dyDescent="0.25">
      <c r="A1" s="34" t="s">
        <v>0</v>
      </c>
      <c r="C1" s="440">
        <v>2002</v>
      </c>
      <c r="D1">
        <v>2002</v>
      </c>
      <c r="E1">
        <v>2002</v>
      </c>
      <c r="F1">
        <v>2002</v>
      </c>
      <c r="G1">
        <v>2002</v>
      </c>
      <c r="H1" s="390">
        <v>2002</v>
      </c>
      <c r="I1">
        <v>2002</v>
      </c>
      <c r="J1">
        <v>2002</v>
      </c>
      <c r="K1" s="390">
        <v>2002</v>
      </c>
      <c r="L1">
        <v>2002</v>
      </c>
      <c r="M1">
        <v>2002</v>
      </c>
      <c r="N1">
        <v>2002</v>
      </c>
      <c r="O1" s="692">
        <v>2002</v>
      </c>
      <c r="P1">
        <v>2002</v>
      </c>
      <c r="Q1" s="390">
        <v>2002</v>
      </c>
      <c r="R1">
        <v>2002</v>
      </c>
      <c r="S1">
        <v>2002</v>
      </c>
      <c r="T1" s="390">
        <v>2002</v>
      </c>
      <c r="U1">
        <v>2002</v>
      </c>
      <c r="V1">
        <v>2002</v>
      </c>
      <c r="W1" s="390">
        <v>2002</v>
      </c>
      <c r="X1">
        <v>2002</v>
      </c>
      <c r="Y1">
        <v>2002</v>
      </c>
      <c r="Z1" s="390">
        <v>2002</v>
      </c>
      <c r="AA1">
        <v>2002</v>
      </c>
      <c r="AB1">
        <v>2002</v>
      </c>
      <c r="AC1" s="390">
        <v>2002</v>
      </c>
      <c r="AD1">
        <v>2002</v>
      </c>
      <c r="AE1">
        <v>2002</v>
      </c>
      <c r="AF1" s="390">
        <v>2002</v>
      </c>
      <c r="AG1">
        <v>2002</v>
      </c>
      <c r="AH1">
        <v>2002</v>
      </c>
      <c r="AI1" s="390">
        <v>2002</v>
      </c>
      <c r="AJ1">
        <v>2002</v>
      </c>
      <c r="AK1">
        <v>2002</v>
      </c>
      <c r="AL1" s="390">
        <v>2002</v>
      </c>
      <c r="AM1">
        <v>2003</v>
      </c>
      <c r="AN1">
        <v>2003</v>
      </c>
      <c r="AO1" s="390">
        <v>2003</v>
      </c>
      <c r="AP1">
        <v>2003</v>
      </c>
      <c r="AQ1">
        <v>2003</v>
      </c>
      <c r="AR1" s="390">
        <v>2003</v>
      </c>
      <c r="AS1">
        <v>2003</v>
      </c>
      <c r="AT1">
        <v>2003</v>
      </c>
      <c r="AU1" s="390">
        <v>2003</v>
      </c>
      <c r="AV1">
        <v>2003</v>
      </c>
      <c r="AW1">
        <v>2003</v>
      </c>
      <c r="AX1" s="390">
        <v>2003</v>
      </c>
      <c r="AY1">
        <v>2003</v>
      </c>
      <c r="AZ1">
        <v>2003</v>
      </c>
      <c r="BA1" s="390">
        <v>2003</v>
      </c>
      <c r="BB1">
        <v>2003</v>
      </c>
      <c r="BC1">
        <v>2003</v>
      </c>
      <c r="BD1" s="390">
        <v>2003</v>
      </c>
      <c r="BE1">
        <v>2003</v>
      </c>
      <c r="BF1">
        <v>2003</v>
      </c>
      <c r="BG1" s="390">
        <v>2003</v>
      </c>
      <c r="BH1">
        <v>2003</v>
      </c>
      <c r="BI1">
        <v>2003</v>
      </c>
      <c r="BJ1" s="390">
        <v>2003</v>
      </c>
      <c r="BK1">
        <v>2003</v>
      </c>
      <c r="BL1">
        <v>2003</v>
      </c>
      <c r="BM1" s="390">
        <v>2003</v>
      </c>
      <c r="BN1">
        <v>2003</v>
      </c>
      <c r="BO1">
        <v>2003</v>
      </c>
      <c r="BP1" s="390">
        <v>2003</v>
      </c>
      <c r="BQ1">
        <v>2003</v>
      </c>
      <c r="BR1">
        <v>2003</v>
      </c>
      <c r="BS1" s="390">
        <v>2003</v>
      </c>
      <c r="BT1">
        <v>2003</v>
      </c>
      <c r="BU1">
        <v>2003</v>
      </c>
      <c r="BV1" s="390">
        <v>2003</v>
      </c>
    </row>
    <row r="2" spans="1:74" ht="15" x14ac:dyDescent="0.25">
      <c r="A2" s="34" t="s">
        <v>73</v>
      </c>
      <c r="C2" s="1112" t="s">
        <v>57</v>
      </c>
      <c r="D2" s="1113"/>
      <c r="E2" s="1114"/>
      <c r="F2" s="1112" t="s">
        <v>58</v>
      </c>
      <c r="G2" s="1113"/>
      <c r="H2" s="1114"/>
      <c r="I2" s="1109" t="s">
        <v>59</v>
      </c>
      <c r="J2" s="1106"/>
      <c r="K2" s="1111"/>
      <c r="L2" s="1109" t="s">
        <v>60</v>
      </c>
      <c r="M2" s="1110"/>
      <c r="N2" s="1111"/>
      <c r="O2" s="1109" t="s">
        <v>1</v>
      </c>
      <c r="P2" s="1110"/>
      <c r="Q2" s="1111"/>
      <c r="R2" s="1109" t="s">
        <v>61</v>
      </c>
      <c r="S2" s="1110"/>
      <c r="T2" s="1111"/>
      <c r="U2" s="1109" t="s">
        <v>62</v>
      </c>
      <c r="V2" s="1110"/>
      <c r="W2" s="1111"/>
      <c r="X2" s="1109" t="s">
        <v>63</v>
      </c>
      <c r="Y2" s="1110"/>
      <c r="Z2" s="1111"/>
      <c r="AA2" s="1109" t="s">
        <v>64</v>
      </c>
      <c r="AB2" s="1110"/>
      <c r="AC2" s="1111"/>
      <c r="AD2" s="1109" t="s">
        <v>65</v>
      </c>
      <c r="AE2" s="1110"/>
      <c r="AF2" s="1111"/>
      <c r="AG2" s="1109" t="s">
        <v>66</v>
      </c>
      <c r="AH2" s="1110"/>
      <c r="AI2" s="1111"/>
      <c r="AJ2" s="1109" t="s">
        <v>67</v>
      </c>
      <c r="AK2" s="1110"/>
      <c r="AL2" s="1110"/>
      <c r="AM2" s="1112" t="s">
        <v>57</v>
      </c>
      <c r="AN2" s="1113"/>
      <c r="AO2" s="1114"/>
      <c r="AP2" s="1112" t="s">
        <v>58</v>
      </c>
      <c r="AQ2" s="1113"/>
      <c r="AR2" s="1114"/>
      <c r="AS2" s="1109" t="s">
        <v>59</v>
      </c>
      <c r="AT2" s="1106"/>
      <c r="AU2" s="1111"/>
      <c r="AV2" s="1109" t="s">
        <v>60</v>
      </c>
      <c r="AW2" s="1110"/>
      <c r="AX2" s="1111"/>
      <c r="AY2" s="1109" t="s">
        <v>1</v>
      </c>
      <c r="AZ2" s="1110"/>
      <c r="BA2" s="1111"/>
      <c r="BB2" s="1109" t="s">
        <v>61</v>
      </c>
      <c r="BC2" s="1110"/>
      <c r="BD2" s="1111"/>
      <c r="BE2" s="1109" t="s">
        <v>62</v>
      </c>
      <c r="BF2" s="1110"/>
      <c r="BG2" s="1111"/>
      <c r="BH2" s="1109" t="s">
        <v>63</v>
      </c>
      <c r="BI2" s="1110"/>
      <c r="BJ2" s="1111"/>
      <c r="BK2" s="1109" t="s">
        <v>64</v>
      </c>
      <c r="BL2" s="1110"/>
      <c r="BM2" s="1111"/>
      <c r="BN2" s="1109" t="s">
        <v>65</v>
      </c>
      <c r="BO2" s="1110"/>
      <c r="BP2" s="1111"/>
      <c r="BQ2" s="1109" t="s">
        <v>66</v>
      </c>
      <c r="BR2" s="1110"/>
      <c r="BS2" s="1111"/>
      <c r="BT2" s="1109" t="s">
        <v>67</v>
      </c>
      <c r="BU2" s="1110"/>
      <c r="BV2" s="1110"/>
    </row>
    <row r="3" spans="1:74" ht="15" x14ac:dyDescent="0.25">
      <c r="A3" s="119" t="s">
        <v>226</v>
      </c>
      <c r="C3" s="441"/>
      <c r="D3" s="52"/>
      <c r="E3" s="675"/>
      <c r="F3" s="52"/>
      <c r="G3" s="52"/>
      <c r="H3" s="371"/>
      <c r="I3" s="52"/>
      <c r="J3" s="52"/>
      <c r="K3" s="371"/>
      <c r="L3" s="52"/>
      <c r="M3" s="52"/>
      <c r="N3" s="42"/>
      <c r="O3" s="165"/>
      <c r="P3" s="52"/>
      <c r="Q3" s="371"/>
      <c r="R3" s="52"/>
      <c r="S3" s="52"/>
      <c r="T3" s="394"/>
      <c r="U3" s="52"/>
      <c r="V3" s="52"/>
      <c r="W3" s="371"/>
      <c r="X3" s="52"/>
      <c r="Y3" s="52"/>
      <c r="Z3" s="371"/>
      <c r="AA3" s="52"/>
      <c r="AB3" s="52"/>
      <c r="AC3" s="371"/>
      <c r="AD3" s="52"/>
      <c r="AE3" s="52"/>
      <c r="AF3" s="371"/>
      <c r="AG3" s="52"/>
      <c r="AH3" s="52"/>
      <c r="AI3" s="371"/>
      <c r="AJ3" s="52"/>
      <c r="AK3" s="52"/>
      <c r="AL3" s="371"/>
      <c r="AM3" s="52"/>
      <c r="AN3" s="52"/>
      <c r="AO3" s="371"/>
      <c r="AP3" s="52"/>
      <c r="AQ3" s="52"/>
      <c r="AR3" s="371"/>
      <c r="AS3" s="52"/>
      <c r="AT3" s="52"/>
      <c r="AU3" s="371"/>
      <c r="AV3" s="52"/>
      <c r="AW3" s="52"/>
      <c r="AX3" s="394"/>
      <c r="AY3" s="52"/>
      <c r="AZ3" s="52"/>
      <c r="BA3" s="371"/>
      <c r="BB3" s="52"/>
      <c r="BC3" s="52"/>
      <c r="BD3" s="394"/>
      <c r="BE3" s="52"/>
      <c r="BF3" s="52"/>
      <c r="BG3" s="371"/>
      <c r="BH3" s="52"/>
      <c r="BI3" s="52"/>
      <c r="BJ3" s="371"/>
      <c r="BK3" s="52"/>
      <c r="BL3" s="52"/>
      <c r="BM3" s="371"/>
      <c r="BN3" s="52"/>
      <c r="BO3" s="52"/>
      <c r="BP3" s="371"/>
      <c r="BQ3" s="52"/>
      <c r="BR3" s="52"/>
      <c r="BS3" s="371"/>
      <c r="BT3" s="52"/>
      <c r="BU3" s="52"/>
      <c r="BV3" s="371"/>
    </row>
    <row r="4" spans="1:74" ht="15" x14ac:dyDescent="0.25">
      <c r="A4" s="782">
        <f ca="1">NOW()</f>
        <v>41885.92788761574</v>
      </c>
      <c r="C4" s="442" t="s">
        <v>71</v>
      </c>
      <c r="D4" s="54" t="s">
        <v>72</v>
      </c>
      <c r="E4" s="676" t="s">
        <v>10</v>
      </c>
      <c r="F4" s="54" t="s">
        <v>71</v>
      </c>
      <c r="G4" s="54" t="s">
        <v>72</v>
      </c>
      <c r="H4" s="391" t="s">
        <v>10</v>
      </c>
      <c r="I4" s="54" t="s">
        <v>71</v>
      </c>
      <c r="J4" s="54" t="s">
        <v>72</v>
      </c>
      <c r="K4" s="391" t="s">
        <v>10</v>
      </c>
      <c r="L4" s="54" t="s">
        <v>71</v>
      </c>
      <c r="M4" s="54" t="s">
        <v>72</v>
      </c>
      <c r="N4" s="53" t="s">
        <v>10</v>
      </c>
      <c r="O4" s="166" t="s">
        <v>71</v>
      </c>
      <c r="P4" s="54" t="s">
        <v>72</v>
      </c>
      <c r="Q4" s="391" t="s">
        <v>10</v>
      </c>
      <c r="R4" s="54" t="s">
        <v>71</v>
      </c>
      <c r="S4" s="54" t="s">
        <v>72</v>
      </c>
      <c r="T4" s="391" t="s">
        <v>10</v>
      </c>
      <c r="U4" s="54" t="s">
        <v>71</v>
      </c>
      <c r="V4" s="54" t="s">
        <v>72</v>
      </c>
      <c r="W4" s="391" t="s">
        <v>10</v>
      </c>
      <c r="X4" s="54" t="s">
        <v>71</v>
      </c>
      <c r="Y4" s="54" t="s">
        <v>72</v>
      </c>
      <c r="Z4" s="391" t="s">
        <v>10</v>
      </c>
      <c r="AA4" s="54" t="s">
        <v>71</v>
      </c>
      <c r="AB4" s="54" t="s">
        <v>72</v>
      </c>
      <c r="AC4" s="391" t="s">
        <v>10</v>
      </c>
      <c r="AD4" s="54" t="s">
        <v>71</v>
      </c>
      <c r="AE4" s="54" t="s">
        <v>72</v>
      </c>
      <c r="AF4" s="391" t="s">
        <v>10</v>
      </c>
      <c r="AG4" s="54" t="s">
        <v>71</v>
      </c>
      <c r="AH4" s="54" t="s">
        <v>72</v>
      </c>
      <c r="AI4" s="391" t="s">
        <v>10</v>
      </c>
      <c r="AJ4" s="54" t="s">
        <v>71</v>
      </c>
      <c r="AK4" s="54" t="s">
        <v>72</v>
      </c>
      <c r="AL4" s="391" t="s">
        <v>10</v>
      </c>
      <c r="AM4" s="54" t="s">
        <v>71</v>
      </c>
      <c r="AN4" s="54" t="s">
        <v>72</v>
      </c>
      <c r="AO4" s="391" t="s">
        <v>10</v>
      </c>
      <c r="AP4" s="54" t="s">
        <v>71</v>
      </c>
      <c r="AQ4" s="54" t="s">
        <v>72</v>
      </c>
      <c r="AR4" s="391" t="s">
        <v>10</v>
      </c>
      <c r="AS4" s="54" t="s">
        <v>71</v>
      </c>
      <c r="AT4" s="54" t="s">
        <v>72</v>
      </c>
      <c r="AU4" s="391" t="s">
        <v>10</v>
      </c>
      <c r="AV4" s="54" t="s">
        <v>71</v>
      </c>
      <c r="AW4" s="54" t="s">
        <v>72</v>
      </c>
      <c r="AX4" s="391" t="s">
        <v>10</v>
      </c>
      <c r="AY4" s="54" t="s">
        <v>71</v>
      </c>
      <c r="AZ4" s="54" t="s">
        <v>72</v>
      </c>
      <c r="BA4" s="391" t="s">
        <v>10</v>
      </c>
      <c r="BB4" s="54" t="s">
        <v>71</v>
      </c>
      <c r="BC4" s="54" t="s">
        <v>72</v>
      </c>
      <c r="BD4" s="391" t="s">
        <v>10</v>
      </c>
      <c r="BE4" s="54" t="s">
        <v>71</v>
      </c>
      <c r="BF4" s="54" t="s">
        <v>72</v>
      </c>
      <c r="BG4" s="391" t="s">
        <v>10</v>
      </c>
      <c r="BH4" s="54" t="s">
        <v>71</v>
      </c>
      <c r="BI4" s="54" t="s">
        <v>72</v>
      </c>
      <c r="BJ4" s="391" t="s">
        <v>10</v>
      </c>
      <c r="BK4" s="54" t="s">
        <v>71</v>
      </c>
      <c r="BL4" s="54" t="s">
        <v>72</v>
      </c>
      <c r="BM4" s="391" t="s">
        <v>10</v>
      </c>
      <c r="BN4" s="54" t="s">
        <v>71</v>
      </c>
      <c r="BO4" s="54" t="s">
        <v>72</v>
      </c>
      <c r="BP4" s="391" t="s">
        <v>10</v>
      </c>
      <c r="BQ4" s="54" t="s">
        <v>71</v>
      </c>
      <c r="BR4" s="54" t="s">
        <v>72</v>
      </c>
      <c r="BS4" s="391" t="s">
        <v>10</v>
      </c>
      <c r="BT4" s="54" t="s">
        <v>71</v>
      </c>
      <c r="BU4" s="54" t="s">
        <v>72</v>
      </c>
      <c r="BV4" s="391" t="s">
        <v>10</v>
      </c>
    </row>
    <row r="5" spans="1:74" ht="13.5" thickBot="1" x14ac:dyDescent="0.25"/>
    <row r="6" spans="1:74" ht="21" customHeight="1" thickBot="1" x14ac:dyDescent="0.3">
      <c r="A6" s="50"/>
      <c r="B6" s="49"/>
    </row>
    <row r="7" spans="1:74" s="43" customFormat="1" x14ac:dyDescent="0.2">
      <c r="C7" s="443"/>
      <c r="E7" s="677"/>
      <c r="H7" s="392"/>
      <c r="K7" s="392"/>
      <c r="O7" s="434"/>
      <c r="Q7" s="392"/>
      <c r="T7" s="392"/>
      <c r="W7" s="392"/>
      <c r="Z7" s="392"/>
      <c r="AC7" s="392"/>
      <c r="AF7" s="392"/>
      <c r="AI7" s="392"/>
      <c r="AL7" s="392"/>
      <c r="AO7" s="392"/>
      <c r="AR7" s="392"/>
      <c r="AU7" s="392"/>
      <c r="AX7" s="392"/>
      <c r="BA7" s="392"/>
      <c r="BD7" s="392"/>
      <c r="BG7" s="392"/>
      <c r="BJ7" s="392"/>
      <c r="BM7" s="392"/>
      <c r="BP7" s="392"/>
      <c r="BS7" s="392"/>
      <c r="BV7" s="392"/>
    </row>
    <row r="8" spans="1:74" x14ac:dyDescent="0.2">
      <c r="A8" t="s">
        <v>56</v>
      </c>
      <c r="E8" s="390">
        <v>31</v>
      </c>
      <c r="H8" s="390">
        <v>28</v>
      </c>
      <c r="K8" s="390">
        <v>31</v>
      </c>
      <c r="N8">
        <v>30</v>
      </c>
      <c r="Q8" s="390">
        <v>31</v>
      </c>
      <c r="T8" s="390">
        <v>30</v>
      </c>
      <c r="W8" s="390">
        <v>31</v>
      </c>
      <c r="Z8" s="390">
        <v>31</v>
      </c>
      <c r="AC8" s="390">
        <v>30</v>
      </c>
      <c r="AF8" s="390">
        <v>31</v>
      </c>
      <c r="AI8" s="390">
        <v>30</v>
      </c>
      <c r="AL8" s="390">
        <v>31</v>
      </c>
      <c r="AO8" s="390">
        <v>31</v>
      </c>
      <c r="AR8" s="390">
        <v>28</v>
      </c>
      <c r="AU8" s="390">
        <v>31</v>
      </c>
      <c r="AX8" s="390">
        <v>30</v>
      </c>
      <c r="BA8" s="390">
        <v>31</v>
      </c>
      <c r="BD8" s="390">
        <v>30</v>
      </c>
      <c r="BG8" s="390">
        <v>31</v>
      </c>
      <c r="BJ8" s="390">
        <v>31</v>
      </c>
      <c r="BM8" s="390">
        <v>30</v>
      </c>
      <c r="BP8" s="390">
        <v>31</v>
      </c>
      <c r="BS8" s="390">
        <v>30</v>
      </c>
      <c r="BV8" s="390">
        <v>31</v>
      </c>
    </row>
    <row r="9" spans="1:74" x14ac:dyDescent="0.2">
      <c r="C9" s="444"/>
      <c r="D9" s="41"/>
      <c r="E9" s="678"/>
      <c r="F9" s="41"/>
      <c r="G9" s="41"/>
      <c r="H9" s="393"/>
      <c r="I9" s="41"/>
      <c r="J9" s="41"/>
      <c r="K9" s="393"/>
      <c r="L9" s="41"/>
      <c r="M9" s="41"/>
      <c r="N9" s="41"/>
      <c r="O9" s="115"/>
      <c r="P9" s="41"/>
    </row>
    <row r="10" spans="1:74" x14ac:dyDescent="0.2">
      <c r="A10" t="s">
        <v>435</v>
      </c>
      <c r="C10" s="661"/>
      <c r="D10" s="51"/>
      <c r="E10" s="678"/>
      <c r="F10" s="51"/>
      <c r="G10" s="51"/>
      <c r="H10" s="59"/>
      <c r="I10" s="51"/>
      <c r="J10" s="51"/>
      <c r="K10" s="59"/>
      <c r="L10" s="51"/>
      <c r="M10" s="51"/>
      <c r="N10" s="51"/>
      <c r="O10" s="115"/>
      <c r="P10" s="41"/>
    </row>
    <row r="11" spans="1:74" x14ac:dyDescent="0.2">
      <c r="A11" t="s">
        <v>432</v>
      </c>
      <c r="C11" s="661"/>
      <c r="D11" s="51"/>
      <c r="E11" s="678"/>
      <c r="F11" s="51"/>
      <c r="G11" s="51"/>
      <c r="H11" s="59"/>
      <c r="I11" s="51"/>
      <c r="J11" s="51"/>
      <c r="K11" s="59"/>
      <c r="L11" s="51"/>
      <c r="M11" s="51"/>
      <c r="N11" s="51"/>
      <c r="O11" s="115"/>
      <c r="P11" s="41"/>
    </row>
    <row r="12" spans="1:74" x14ac:dyDescent="0.2">
      <c r="A12" t="s">
        <v>433</v>
      </c>
      <c r="C12" s="661"/>
      <c r="D12" s="51"/>
      <c r="E12" s="678"/>
      <c r="F12" s="51"/>
      <c r="G12" s="51"/>
      <c r="H12" s="59"/>
      <c r="I12" s="51"/>
      <c r="J12" s="51"/>
      <c r="K12" s="59"/>
      <c r="L12" s="51"/>
      <c r="M12" s="51"/>
      <c r="N12" s="51"/>
      <c r="O12" s="115"/>
      <c r="P12" s="41"/>
    </row>
    <row r="13" spans="1:74" x14ac:dyDescent="0.2">
      <c r="A13" t="s">
        <v>430</v>
      </c>
      <c r="C13" s="661"/>
      <c r="D13" s="51"/>
      <c r="E13" s="678"/>
      <c r="I13" s="51"/>
      <c r="J13" s="51"/>
      <c r="K13" s="60"/>
      <c r="L13" s="51"/>
      <c r="M13" s="51"/>
      <c r="N13" s="51"/>
      <c r="O13" s="115"/>
      <c r="P13" s="41"/>
      <c r="Q13" s="59"/>
    </row>
    <row r="14" spans="1:74" x14ac:dyDescent="0.2">
      <c r="A14" t="s">
        <v>431</v>
      </c>
      <c r="C14" s="661"/>
      <c r="D14" s="51"/>
      <c r="E14" s="678"/>
      <c r="I14" s="51"/>
      <c r="J14" s="51"/>
      <c r="K14" s="60"/>
      <c r="L14" s="51"/>
      <c r="M14" s="51"/>
      <c r="N14" s="51"/>
      <c r="O14" s="115"/>
      <c r="P14" s="41"/>
      <c r="Q14" s="59"/>
    </row>
    <row r="15" spans="1:74" x14ac:dyDescent="0.2">
      <c r="C15" s="661"/>
      <c r="D15" s="51"/>
      <c r="E15" s="678"/>
      <c r="I15" s="51"/>
      <c r="J15" s="51"/>
      <c r="K15" s="60"/>
      <c r="L15" s="51"/>
      <c r="M15" s="51"/>
      <c r="N15" s="51"/>
      <c r="O15" s="115"/>
      <c r="P15" s="41"/>
      <c r="Q15" s="59"/>
    </row>
    <row r="16" spans="1:74" s="61" customFormat="1" x14ac:dyDescent="0.2">
      <c r="C16" s="662"/>
      <c r="D16" s="375"/>
      <c r="E16" s="679"/>
      <c r="H16" s="404"/>
      <c r="I16" s="375"/>
      <c r="J16" s="375"/>
      <c r="K16" s="376"/>
      <c r="L16" s="375"/>
      <c r="M16" s="375"/>
      <c r="N16" s="375"/>
      <c r="O16" s="448"/>
      <c r="P16" s="377"/>
      <c r="Q16" s="376"/>
      <c r="T16" s="404"/>
      <c r="W16" s="404"/>
      <c r="Z16" s="404"/>
      <c r="AC16" s="404"/>
      <c r="AF16" s="404"/>
      <c r="AI16" s="404"/>
      <c r="AL16" s="404"/>
      <c r="AO16" s="404"/>
      <c r="AR16" s="404"/>
      <c r="AU16" s="404"/>
      <c r="AX16" s="404"/>
      <c r="BA16" s="404"/>
      <c r="BD16" s="404"/>
      <c r="BG16" s="404"/>
      <c r="BJ16" s="404"/>
      <c r="BM16" s="404"/>
      <c r="BP16" s="404"/>
      <c r="BS16" s="404"/>
      <c r="BV16" s="404"/>
    </row>
    <row r="17" spans="1:74" s="380" customFormat="1" x14ac:dyDescent="0.2">
      <c r="A17" s="406" t="s">
        <v>446</v>
      </c>
      <c r="C17" s="663"/>
      <c r="D17" s="408"/>
      <c r="E17" s="680"/>
      <c r="H17" s="410"/>
      <c r="I17" s="408"/>
      <c r="J17" s="408"/>
      <c r="K17" s="409"/>
      <c r="L17" s="408"/>
      <c r="M17" s="408"/>
      <c r="N17" s="408"/>
      <c r="O17" s="696"/>
      <c r="Q17" s="409"/>
      <c r="T17" s="410"/>
      <c r="W17" s="410"/>
      <c r="Z17" s="410"/>
      <c r="AC17" s="410"/>
      <c r="AF17" s="410"/>
      <c r="AI17" s="410"/>
      <c r="AL17" s="410"/>
      <c r="AO17" s="410"/>
      <c r="AR17" s="410"/>
      <c r="AU17" s="410"/>
      <c r="AX17" s="410"/>
      <c r="BA17" s="410"/>
      <c r="BD17" s="410"/>
      <c r="BG17" s="410"/>
      <c r="BJ17" s="410"/>
      <c r="BM17" s="410"/>
      <c r="BP17" s="410"/>
      <c r="BS17" s="410"/>
      <c r="BV17" s="410"/>
    </row>
    <row r="18" spans="1:74" x14ac:dyDescent="0.2">
      <c r="A18" t="s">
        <v>209</v>
      </c>
      <c r="C18" s="661"/>
      <c r="D18" s="51"/>
      <c r="E18" s="678"/>
      <c r="I18" s="51"/>
      <c r="J18" s="51"/>
      <c r="K18" s="59"/>
      <c r="L18" s="51"/>
      <c r="M18" s="51"/>
      <c r="N18" s="51"/>
      <c r="O18" s="115"/>
      <c r="P18" s="41"/>
      <c r="Q18" s="59"/>
    </row>
    <row r="19" spans="1:74" x14ac:dyDescent="0.2">
      <c r="A19" t="s">
        <v>210</v>
      </c>
      <c r="C19" s="793">
        <f>'Negociate Rate K'!J27</f>
        <v>0</v>
      </c>
      <c r="D19" s="58">
        <f>'Negociate Rate K'!K27</f>
        <v>0</v>
      </c>
      <c r="E19" s="794">
        <f>'Negociate Rate K'!L27</f>
        <v>751976.61</v>
      </c>
      <c r="F19" s="58">
        <f>'Negociate Rate K'!M27</f>
        <v>0</v>
      </c>
      <c r="G19" s="58">
        <f>'Negociate Rate K'!N27</f>
        <v>0</v>
      </c>
      <c r="H19" s="794">
        <f>'Negociate Rate K'!O27</f>
        <v>679007.56</v>
      </c>
      <c r="I19" s="58">
        <f>'Negociate Rate K'!P27</f>
        <v>0</v>
      </c>
      <c r="J19" s="58">
        <f>'Negociate Rate K'!Q27</f>
        <v>0</v>
      </c>
      <c r="K19" s="794">
        <f>'Negociate Rate K'!R27</f>
        <v>750230.69</v>
      </c>
      <c r="L19" s="58">
        <f>'Negociate Rate K'!S27</f>
        <v>0</v>
      </c>
      <c r="M19" s="58">
        <f>'Negociate Rate K'!T27</f>
        <v>0</v>
      </c>
      <c r="N19" s="58">
        <f>'Negociate Rate K'!U27</f>
        <v>728564.1</v>
      </c>
      <c r="O19" s="795">
        <f>'Negociate Rate K'!V27</f>
        <v>0</v>
      </c>
      <c r="P19" s="58">
        <f>'Negociate Rate K'!W27</f>
        <v>0</v>
      </c>
      <c r="Q19" s="794">
        <f>'Negociate Rate K'!X27</f>
        <v>751758.37</v>
      </c>
      <c r="R19" s="58">
        <f>'Negociate Rate K'!Y27</f>
        <v>0</v>
      </c>
      <c r="S19" s="58">
        <f>'Negociate Rate K'!Z27</f>
        <v>0</v>
      </c>
      <c r="T19" s="794">
        <f>'Negociate Rate K'!AA27</f>
        <v>726452.1</v>
      </c>
      <c r="U19" s="58">
        <f>'Negociate Rate K'!AB27</f>
        <v>0</v>
      </c>
      <c r="V19" s="58">
        <f>'Negociate Rate K'!AC27</f>
        <v>0</v>
      </c>
      <c r="W19" s="794">
        <f>'Negociate Rate K'!AD27</f>
        <v>750885.41</v>
      </c>
      <c r="X19" s="58">
        <f>'Negociate Rate K'!AE27</f>
        <v>0</v>
      </c>
      <c r="Y19" s="58">
        <f>'Negociate Rate K'!AF27</f>
        <v>0</v>
      </c>
      <c r="Z19" s="794">
        <f>'Negociate Rate K'!AG27</f>
        <v>750230.69</v>
      </c>
      <c r="AA19" s="58">
        <f>'Negociate Rate K'!AH27</f>
        <v>0</v>
      </c>
      <c r="AB19" s="58">
        <f>'Negociate Rate K'!AI27</f>
        <v>0</v>
      </c>
      <c r="AC19" s="794">
        <f>'Negociate Rate K'!AJ27</f>
        <v>727508.1</v>
      </c>
      <c r="AD19" s="58">
        <f>'Negociate Rate K'!AK27</f>
        <v>0</v>
      </c>
      <c r="AE19" s="58">
        <f>'Negociate Rate K'!AL27</f>
        <v>0</v>
      </c>
      <c r="AF19" s="794">
        <f>'Negociate Rate K'!AM27</f>
        <v>750230.69</v>
      </c>
      <c r="AG19" s="58">
        <f>'Negociate Rate K'!AN27</f>
        <v>0</v>
      </c>
      <c r="AH19" s="58">
        <f>'Negociate Rate K'!AO27</f>
        <v>0</v>
      </c>
      <c r="AI19" s="794">
        <f>'Negociate Rate K'!AP27</f>
        <v>1137347.6400000001</v>
      </c>
      <c r="AJ19" s="58">
        <f>'Negociate Rate K'!AQ27</f>
        <v>0</v>
      </c>
      <c r="AK19" s="58">
        <f>'Negociate Rate K'!AR27</f>
        <v>0</v>
      </c>
      <c r="AL19" s="794">
        <f>'Negociate Rate K'!AS27</f>
        <v>1174870.3640000001</v>
      </c>
    </row>
    <row r="20" spans="1:74" x14ac:dyDescent="0.2">
      <c r="A20" t="s">
        <v>229</v>
      </c>
      <c r="C20" s="661"/>
      <c r="D20" s="51"/>
      <c r="E20" s="678"/>
      <c r="I20" s="51"/>
      <c r="J20" s="51"/>
      <c r="K20" s="59"/>
      <c r="L20" s="51"/>
      <c r="M20" s="51"/>
      <c r="N20" s="51"/>
      <c r="O20" s="115"/>
      <c r="P20" s="41"/>
      <c r="Q20" s="59"/>
    </row>
    <row r="21" spans="1:74" x14ac:dyDescent="0.2">
      <c r="A21" t="s">
        <v>215</v>
      </c>
      <c r="C21" s="661"/>
      <c r="D21" s="51"/>
      <c r="E21" s="678"/>
      <c r="I21" s="51"/>
      <c r="J21" s="51"/>
      <c r="K21" s="59"/>
      <c r="L21" s="51"/>
      <c r="M21" s="51"/>
      <c r="N21" s="51"/>
      <c r="O21" s="115"/>
      <c r="P21" s="41"/>
      <c r="Q21" s="59"/>
    </row>
    <row r="22" spans="1:74" x14ac:dyDescent="0.2">
      <c r="A22" t="s">
        <v>211</v>
      </c>
      <c r="C22" s="661"/>
      <c r="D22" s="51"/>
      <c r="E22" s="678"/>
      <c r="H22" s="59"/>
      <c r="I22" s="51"/>
      <c r="J22" s="51"/>
      <c r="K22" s="59"/>
      <c r="L22" s="51"/>
      <c r="M22" s="51"/>
      <c r="N22" s="51"/>
      <c r="O22" s="115"/>
      <c r="P22" s="41"/>
    </row>
    <row r="23" spans="1:74" x14ac:dyDescent="0.2">
      <c r="A23" t="s">
        <v>212</v>
      </c>
      <c r="C23" s="661"/>
      <c r="D23" s="51"/>
      <c r="E23" s="678"/>
      <c r="F23" s="51"/>
      <c r="H23" s="59"/>
      <c r="I23" s="51"/>
      <c r="J23" s="51"/>
      <c r="K23" s="59"/>
      <c r="L23" s="51"/>
      <c r="M23" s="51"/>
      <c r="N23" s="51"/>
      <c r="O23" s="115"/>
      <c r="P23" s="41"/>
    </row>
    <row r="24" spans="1:74" s="61" customFormat="1" x14ac:dyDescent="0.2">
      <c r="C24" s="662"/>
      <c r="D24" s="375"/>
      <c r="E24" s="679"/>
      <c r="F24" s="375"/>
      <c r="G24" s="375"/>
      <c r="H24" s="376"/>
      <c r="I24" s="375"/>
      <c r="J24" s="375"/>
      <c r="K24" s="376"/>
      <c r="L24" s="375"/>
      <c r="M24" s="375"/>
      <c r="N24" s="375"/>
      <c r="O24" s="448"/>
      <c r="P24" s="407"/>
      <c r="Q24" s="404"/>
      <c r="T24" s="404"/>
      <c r="W24" s="404"/>
      <c r="Z24" s="404"/>
      <c r="AC24" s="404"/>
      <c r="AF24" s="404"/>
      <c r="AI24" s="404"/>
      <c r="AL24" s="404"/>
      <c r="AO24" s="404"/>
      <c r="AR24" s="404"/>
      <c r="AU24" s="404"/>
      <c r="AX24" s="404"/>
      <c r="BA24" s="404"/>
      <c r="BD24" s="404"/>
      <c r="BG24" s="404"/>
      <c r="BJ24" s="404"/>
      <c r="BM24" s="404"/>
      <c r="BP24" s="404"/>
      <c r="BS24" s="404"/>
      <c r="BV24" s="404"/>
    </row>
    <row r="25" spans="1:74" s="389" customFormat="1" x14ac:dyDescent="0.2">
      <c r="A25" s="423" t="s">
        <v>448</v>
      </c>
      <c r="C25" s="664"/>
      <c r="D25" s="384"/>
      <c r="E25" s="681"/>
      <c r="F25" s="384"/>
      <c r="G25" s="384"/>
      <c r="H25" s="385"/>
      <c r="I25" s="384"/>
      <c r="J25" s="384"/>
      <c r="K25" s="385"/>
      <c r="L25" s="384"/>
      <c r="M25" s="384"/>
      <c r="N25" s="384"/>
      <c r="O25" s="697"/>
      <c r="P25" s="424"/>
      <c r="Q25" s="405"/>
      <c r="T25" s="405"/>
      <c r="W25" s="405"/>
      <c r="Z25" s="405"/>
      <c r="AC25" s="405"/>
      <c r="AF25" s="405"/>
      <c r="AI25" s="405"/>
      <c r="AL25" s="405"/>
      <c r="AO25" s="405"/>
      <c r="AR25" s="405"/>
      <c r="AU25" s="405"/>
      <c r="AX25" s="405"/>
      <c r="BA25" s="405"/>
      <c r="BD25" s="405"/>
      <c r="BG25" s="405"/>
      <c r="BJ25" s="405"/>
      <c r="BM25" s="405"/>
      <c r="BP25" s="405"/>
      <c r="BS25" s="405"/>
      <c r="BV25" s="405"/>
    </row>
    <row r="26" spans="1:74" s="382" customFormat="1" x14ac:dyDescent="0.2">
      <c r="A26" s="381" t="s">
        <v>328</v>
      </c>
      <c r="C26" s="665" t="s">
        <v>22</v>
      </c>
      <c r="D26" s="425" t="s">
        <v>22</v>
      </c>
      <c r="E26" s="682" t="s">
        <v>22</v>
      </c>
      <c r="F26" s="425" t="s">
        <v>22</v>
      </c>
      <c r="G26" s="425" t="s">
        <v>22</v>
      </c>
      <c r="H26" s="426" t="s">
        <v>22</v>
      </c>
      <c r="I26" s="425" t="s">
        <v>22</v>
      </c>
      <c r="J26" s="425" t="s">
        <v>22</v>
      </c>
      <c r="K26" s="426" t="s">
        <v>22</v>
      </c>
      <c r="L26" s="425" t="s">
        <v>22</v>
      </c>
      <c r="M26" s="425" t="s">
        <v>22</v>
      </c>
      <c r="N26" s="425" t="s">
        <v>22</v>
      </c>
      <c r="O26" s="698" t="s">
        <v>22</v>
      </c>
      <c r="P26" s="425" t="s">
        <v>22</v>
      </c>
      <c r="Q26" s="426" t="s">
        <v>22</v>
      </c>
      <c r="R26" s="425" t="s">
        <v>22</v>
      </c>
      <c r="S26" s="425" t="s">
        <v>22</v>
      </c>
      <c r="T26" s="426" t="s">
        <v>22</v>
      </c>
      <c r="U26" s="425" t="s">
        <v>22</v>
      </c>
      <c r="V26" s="425" t="s">
        <v>22</v>
      </c>
      <c r="W26" s="426" t="s">
        <v>22</v>
      </c>
      <c r="X26" s="425" t="s">
        <v>22</v>
      </c>
      <c r="Y26" s="425" t="s">
        <v>22</v>
      </c>
      <c r="Z26" s="426" t="s">
        <v>22</v>
      </c>
      <c r="AA26" s="425" t="s">
        <v>22</v>
      </c>
      <c r="AB26" s="425" t="s">
        <v>22</v>
      </c>
      <c r="AC26" s="427"/>
      <c r="AF26" s="427"/>
      <c r="AI26" s="427"/>
      <c r="AL26" s="427"/>
      <c r="AO26" s="427"/>
      <c r="AR26" s="427"/>
      <c r="AU26" s="427"/>
      <c r="AX26" s="427"/>
      <c r="BA26" s="427"/>
      <c r="BD26" s="427"/>
      <c r="BG26" s="427"/>
      <c r="BJ26" s="427"/>
      <c r="BM26" s="427"/>
      <c r="BP26" s="427"/>
      <c r="BS26" s="427"/>
      <c r="BV26" s="427"/>
    </row>
    <row r="27" spans="1:74" x14ac:dyDescent="0.2">
      <c r="A27" s="42" t="s">
        <v>130</v>
      </c>
      <c r="B27" s="29"/>
      <c r="C27" s="666"/>
      <c r="D27" s="62"/>
      <c r="E27" s="678"/>
      <c r="F27" s="62"/>
      <c r="G27" s="62"/>
      <c r="H27" s="59"/>
      <c r="I27" s="62"/>
      <c r="J27" s="62"/>
      <c r="K27" s="59"/>
      <c r="L27" s="62"/>
      <c r="M27" s="62"/>
      <c r="N27" s="62"/>
      <c r="O27" s="115"/>
      <c r="P27" s="42"/>
      <c r="Q27" s="400"/>
      <c r="R27" s="164"/>
      <c r="S27" s="115"/>
      <c r="T27" s="400"/>
      <c r="U27" s="164"/>
      <c r="V27" s="115"/>
      <c r="W27" s="393"/>
      <c r="X27" s="164"/>
      <c r="Y27" s="164"/>
      <c r="Z27" s="393"/>
      <c r="AA27" s="164"/>
      <c r="AB27" s="164"/>
    </row>
    <row r="28" spans="1:74" x14ac:dyDescent="0.2">
      <c r="A28" t="s">
        <v>131</v>
      </c>
      <c r="B28" t="s">
        <v>52</v>
      </c>
      <c r="C28" s="440">
        <v>532214</v>
      </c>
      <c r="D28">
        <v>3.7699999999999997E-2</v>
      </c>
      <c r="E28" s="674">
        <v>621991.93599999999</v>
      </c>
      <c r="F28">
        <v>532214</v>
      </c>
      <c r="G28">
        <v>3.7699999999999997E-2</v>
      </c>
      <c r="H28" s="390">
        <v>561799.16799999995</v>
      </c>
      <c r="I28">
        <v>522214</v>
      </c>
      <c r="J28">
        <v>3.7499999999999999E-2</v>
      </c>
      <c r="K28" s="390">
        <v>606491.93599999999</v>
      </c>
      <c r="L28">
        <v>522214</v>
      </c>
      <c r="M28">
        <v>3.7499999999999999E-2</v>
      </c>
      <c r="N28">
        <v>586927.68000000005</v>
      </c>
      <c r="O28" s="692">
        <v>523827</v>
      </c>
      <c r="P28">
        <v>3.7499999999999999E-2</v>
      </c>
      <c r="Q28" s="390">
        <v>608992.08600000001</v>
      </c>
      <c r="R28">
        <v>508047</v>
      </c>
      <c r="S28">
        <v>3.6499999999999998E-2</v>
      </c>
      <c r="T28" s="390">
        <v>556677.18000000005</v>
      </c>
      <c r="U28">
        <v>512617</v>
      </c>
      <c r="V28">
        <v>3.6600000000000001E-2</v>
      </c>
      <c r="W28" s="390">
        <v>582316.58600000001</v>
      </c>
      <c r="X28" s="358">
        <v>489391</v>
      </c>
      <c r="Y28" s="361">
        <v>0</v>
      </c>
      <c r="Z28" s="402">
        <v>561816.28599999996</v>
      </c>
      <c r="AA28" s="358">
        <v>483047</v>
      </c>
      <c r="AB28" s="361">
        <v>3.6900000000000002E-2</v>
      </c>
      <c r="AC28" s="402">
        <v>534177.18000000005</v>
      </c>
      <c r="AD28" s="358">
        <v>479714</v>
      </c>
      <c r="AE28" s="361">
        <v>3.6799999999999999E-2</v>
      </c>
      <c r="AF28" s="402">
        <v>546816.93599999999</v>
      </c>
      <c r="AG28" s="358">
        <v>479714</v>
      </c>
      <c r="AH28" s="361">
        <v>3.6799999999999999E-2</v>
      </c>
      <c r="AI28" s="402">
        <v>529177.68000000005</v>
      </c>
      <c r="AJ28" s="358">
        <v>444000</v>
      </c>
      <c r="AK28" s="361">
        <v>3.1399999999999997E-2</v>
      </c>
      <c r="AL28" s="402">
        <v>431675</v>
      </c>
      <c r="BH28" s="358"/>
      <c r="BI28" s="361"/>
      <c r="BJ28" s="402"/>
      <c r="BK28" s="358"/>
      <c r="BL28" s="361"/>
      <c r="BM28" s="402"/>
      <c r="BN28" s="358"/>
      <c r="BO28" s="361"/>
      <c r="BP28" s="402"/>
      <c r="BQ28" s="358"/>
      <c r="BR28" s="361"/>
      <c r="BS28" s="402"/>
      <c r="BT28" s="358"/>
      <c r="BU28" s="361"/>
      <c r="BV28" s="402"/>
    </row>
    <row r="29" spans="1:74" x14ac:dyDescent="0.2">
      <c r="A29" t="s">
        <v>132</v>
      </c>
      <c r="B29" t="s">
        <v>52</v>
      </c>
      <c r="X29" s="358"/>
      <c r="Y29" s="361"/>
      <c r="Z29" s="402"/>
      <c r="AA29" s="358"/>
      <c r="AB29" s="361"/>
      <c r="AC29" s="402"/>
      <c r="AD29" s="358"/>
      <c r="AE29" s="361"/>
      <c r="AF29" s="402"/>
      <c r="AG29" s="358"/>
      <c r="AH29" s="361"/>
      <c r="AI29" s="402"/>
      <c r="AJ29" s="358"/>
      <c r="AK29" s="361"/>
      <c r="AL29" s="402"/>
      <c r="BH29" s="358"/>
      <c r="BI29" s="361"/>
      <c r="BJ29" s="402"/>
      <c r="BK29" s="358"/>
      <c r="BL29" s="361"/>
      <c r="BM29" s="402"/>
      <c r="BN29" s="358"/>
      <c r="BO29" s="361"/>
      <c r="BP29" s="402"/>
      <c r="BQ29" s="358"/>
      <c r="BR29" s="361"/>
      <c r="BS29" s="402"/>
      <c r="BT29" s="358"/>
      <c r="BU29" s="361"/>
      <c r="BV29" s="402"/>
    </row>
    <row r="30" spans="1:74" x14ac:dyDescent="0.2">
      <c r="A30" t="s">
        <v>133</v>
      </c>
      <c r="B30" t="s">
        <v>52</v>
      </c>
      <c r="C30" s="440">
        <v>80000</v>
      </c>
      <c r="D30">
        <v>0.14499999999999999</v>
      </c>
      <c r="E30" s="674">
        <v>359600</v>
      </c>
      <c r="F30">
        <v>80000</v>
      </c>
      <c r="G30">
        <v>0.14499999999999999</v>
      </c>
      <c r="H30" s="390">
        <v>324800</v>
      </c>
      <c r="I30">
        <v>80000</v>
      </c>
      <c r="J30">
        <v>0.14499999999999999</v>
      </c>
      <c r="K30" s="390">
        <v>359600</v>
      </c>
      <c r="L30">
        <v>80000</v>
      </c>
      <c r="M30">
        <v>0.14499999999999999</v>
      </c>
      <c r="N30">
        <v>348000</v>
      </c>
      <c r="O30" s="692">
        <v>80000</v>
      </c>
      <c r="P30">
        <v>0.14499999999999999</v>
      </c>
      <c r="Q30" s="390">
        <v>359600</v>
      </c>
      <c r="R30">
        <v>80000</v>
      </c>
      <c r="S30">
        <v>0.14499999999999999</v>
      </c>
      <c r="T30" s="390">
        <v>348000</v>
      </c>
      <c r="U30">
        <v>80000</v>
      </c>
      <c r="V30">
        <v>0.14499999999999999</v>
      </c>
      <c r="W30" s="390">
        <v>359600</v>
      </c>
      <c r="X30" s="358">
        <v>80000</v>
      </c>
      <c r="Y30" s="361">
        <v>0</v>
      </c>
      <c r="Z30" s="402">
        <v>359600</v>
      </c>
      <c r="AA30" s="358">
        <v>80000</v>
      </c>
      <c r="AB30" s="361">
        <v>0.14499999999999999</v>
      </c>
      <c r="AC30" s="402">
        <v>348000</v>
      </c>
      <c r="AD30" s="358">
        <v>80000</v>
      </c>
      <c r="AE30" s="361">
        <v>0.14499999999999999</v>
      </c>
      <c r="AF30" s="402">
        <v>359600</v>
      </c>
      <c r="AG30" s="358">
        <v>80000</v>
      </c>
      <c r="AH30" s="361">
        <v>0.14499999999999999</v>
      </c>
      <c r="AI30" s="402">
        <v>348000</v>
      </c>
      <c r="AJ30" s="358">
        <v>80000</v>
      </c>
      <c r="AK30" s="361">
        <v>0.15</v>
      </c>
      <c r="AL30" s="402">
        <v>372000</v>
      </c>
      <c r="BH30" s="358"/>
      <c r="BI30" s="361"/>
      <c r="BJ30" s="402"/>
      <c r="BK30" s="358"/>
      <c r="BL30" s="361"/>
      <c r="BM30" s="402"/>
      <c r="BN30" s="358"/>
      <c r="BO30" s="361"/>
      <c r="BP30" s="402"/>
      <c r="BQ30" s="358"/>
      <c r="BR30" s="361"/>
      <c r="BS30" s="402"/>
      <c r="BT30" s="358"/>
      <c r="BU30" s="361"/>
      <c r="BV30" s="402"/>
    </row>
    <row r="31" spans="1:74" x14ac:dyDescent="0.2">
      <c r="A31" t="s">
        <v>134</v>
      </c>
      <c r="B31" t="s">
        <v>52</v>
      </c>
      <c r="C31" s="440">
        <v>0</v>
      </c>
      <c r="D31">
        <v>0</v>
      </c>
      <c r="E31" s="674">
        <v>0</v>
      </c>
      <c r="F31">
        <v>0</v>
      </c>
      <c r="G31">
        <v>0</v>
      </c>
      <c r="H31" s="390">
        <v>0</v>
      </c>
      <c r="I31">
        <v>0</v>
      </c>
      <c r="J31">
        <v>0</v>
      </c>
      <c r="K31" s="390">
        <v>0</v>
      </c>
      <c r="L31">
        <v>0</v>
      </c>
      <c r="M31">
        <v>0</v>
      </c>
      <c r="N31">
        <v>0</v>
      </c>
      <c r="O31" s="692">
        <v>0</v>
      </c>
      <c r="P31">
        <v>0</v>
      </c>
      <c r="Q31" s="390">
        <v>0</v>
      </c>
      <c r="R31">
        <v>0</v>
      </c>
      <c r="S31">
        <v>0</v>
      </c>
      <c r="T31" s="390">
        <v>0</v>
      </c>
      <c r="U31">
        <v>0</v>
      </c>
      <c r="V31">
        <v>0</v>
      </c>
      <c r="W31" s="390">
        <v>0</v>
      </c>
      <c r="X31" s="358">
        <v>0</v>
      </c>
      <c r="Y31" s="361">
        <v>0</v>
      </c>
      <c r="Z31" s="402">
        <v>0</v>
      </c>
      <c r="AA31" s="358">
        <v>0</v>
      </c>
      <c r="AB31" s="361">
        <v>0</v>
      </c>
      <c r="AC31" s="402">
        <v>0</v>
      </c>
      <c r="AD31" s="358">
        <v>0</v>
      </c>
      <c r="AE31" s="361">
        <v>0</v>
      </c>
      <c r="AF31" s="402">
        <v>0</v>
      </c>
      <c r="AG31" s="358">
        <v>0</v>
      </c>
      <c r="AH31" s="361">
        <v>0</v>
      </c>
      <c r="AI31" s="402">
        <v>0</v>
      </c>
      <c r="AJ31" s="358">
        <v>0</v>
      </c>
      <c r="AK31" s="361">
        <v>0</v>
      </c>
      <c r="AL31" s="402">
        <v>0</v>
      </c>
      <c r="BH31" s="358"/>
      <c r="BI31" s="361"/>
      <c r="BJ31" s="402"/>
      <c r="BK31" s="358"/>
      <c r="BL31" s="361"/>
      <c r="BM31" s="402"/>
      <c r="BN31" s="358"/>
      <c r="BO31" s="361"/>
      <c r="BP31" s="402"/>
      <c r="BQ31" s="358"/>
      <c r="BR31" s="361"/>
      <c r="BS31" s="402"/>
      <c r="BT31" s="358"/>
      <c r="BU31" s="361"/>
      <c r="BV31" s="402"/>
    </row>
    <row r="32" spans="1:74" x14ac:dyDescent="0.2">
      <c r="A32" t="s">
        <v>135</v>
      </c>
      <c r="B32" t="s">
        <v>52</v>
      </c>
      <c r="C32" s="440">
        <v>80000</v>
      </c>
      <c r="D32">
        <v>2.5000000000000001E-2</v>
      </c>
      <c r="E32" s="674">
        <v>62000</v>
      </c>
      <c r="F32">
        <v>80000</v>
      </c>
      <c r="G32">
        <v>2.5000000000000001E-2</v>
      </c>
      <c r="H32" s="390">
        <v>56000</v>
      </c>
      <c r="I32">
        <v>80000</v>
      </c>
      <c r="J32">
        <v>2.5000000000000001E-2</v>
      </c>
      <c r="K32" s="390">
        <v>62000</v>
      </c>
      <c r="L32">
        <v>80000</v>
      </c>
      <c r="M32">
        <v>2.5000000000000001E-2</v>
      </c>
      <c r="N32">
        <v>60000</v>
      </c>
      <c r="O32" s="692">
        <v>80000</v>
      </c>
      <c r="P32">
        <v>2.5000000000000001E-2</v>
      </c>
      <c r="Q32" s="390">
        <v>62000</v>
      </c>
      <c r="R32">
        <v>80000</v>
      </c>
      <c r="S32">
        <v>2.5000000000000001E-2</v>
      </c>
      <c r="T32" s="390">
        <v>60000</v>
      </c>
      <c r="U32">
        <v>80000</v>
      </c>
      <c r="V32">
        <v>2.5000000000000001E-2</v>
      </c>
      <c r="W32" s="390">
        <v>62000</v>
      </c>
      <c r="X32" s="358">
        <v>80000</v>
      </c>
      <c r="Y32" s="361">
        <v>0</v>
      </c>
      <c r="Z32" s="402">
        <v>62000</v>
      </c>
      <c r="AA32" s="358">
        <v>80000</v>
      </c>
      <c r="AB32" s="361">
        <v>2.5000000000000001E-2</v>
      </c>
      <c r="AC32" s="402">
        <v>60000</v>
      </c>
      <c r="AD32" s="358">
        <v>80000</v>
      </c>
      <c r="AE32" s="361">
        <v>2.5000000000000001E-2</v>
      </c>
      <c r="AF32" s="402">
        <v>62000</v>
      </c>
      <c r="AG32" s="358">
        <v>80000</v>
      </c>
      <c r="AH32" s="361">
        <v>2.5000000000000001E-2</v>
      </c>
      <c r="AI32" s="402">
        <v>60000</v>
      </c>
      <c r="AJ32" s="358">
        <v>80000</v>
      </c>
      <c r="AK32" s="361">
        <v>2.5000000000000001E-2</v>
      </c>
      <c r="AL32" s="402">
        <v>62000</v>
      </c>
      <c r="BH32" s="358"/>
      <c r="BI32" s="361"/>
      <c r="BJ32" s="402"/>
      <c r="BK32" s="358"/>
      <c r="BL32" s="361"/>
      <c r="BM32" s="402"/>
      <c r="BN32" s="358"/>
      <c r="BO32" s="361"/>
      <c r="BP32" s="402"/>
      <c r="BQ32" s="358"/>
      <c r="BR32" s="361"/>
      <c r="BS32" s="402"/>
      <c r="BT32" s="358"/>
      <c r="BU32" s="361"/>
      <c r="BV32" s="402"/>
    </row>
    <row r="33" spans="1:74" x14ac:dyDescent="0.2">
      <c r="A33" s="42" t="s">
        <v>147</v>
      </c>
      <c r="C33" s="667">
        <v>692214</v>
      </c>
      <c r="E33" s="683">
        <v>1043591.936</v>
      </c>
      <c r="F33" s="42">
        <v>692214</v>
      </c>
      <c r="H33" s="394">
        <v>942599.16799999995</v>
      </c>
      <c r="I33" s="42">
        <v>682214</v>
      </c>
      <c r="K33" s="394">
        <v>1028091.936</v>
      </c>
      <c r="L33" s="42">
        <v>682214</v>
      </c>
      <c r="N33" s="42">
        <v>994927.68</v>
      </c>
      <c r="O33" s="693">
        <v>683827</v>
      </c>
      <c r="Q33" s="394">
        <v>1030592.086</v>
      </c>
      <c r="R33" s="42">
        <v>668047</v>
      </c>
      <c r="T33" s="394">
        <v>964677.18</v>
      </c>
      <c r="U33" s="42">
        <v>672617</v>
      </c>
      <c r="W33" s="394">
        <v>1003916.586</v>
      </c>
      <c r="X33" s="360">
        <v>649391</v>
      </c>
      <c r="Y33" s="361"/>
      <c r="Z33" s="403">
        <v>983416.28599999996</v>
      </c>
      <c r="AA33" s="360">
        <v>643047</v>
      </c>
      <c r="AB33" s="361"/>
      <c r="AC33" s="403">
        <v>942177.18</v>
      </c>
      <c r="AD33" s="360">
        <v>639714</v>
      </c>
      <c r="AE33" s="361"/>
      <c r="AF33" s="403">
        <v>968416.93599999999</v>
      </c>
      <c r="AG33" s="360">
        <v>639714</v>
      </c>
      <c r="AH33" s="361"/>
      <c r="AI33" s="403">
        <v>937177.68</v>
      </c>
      <c r="AJ33" s="360">
        <v>604000</v>
      </c>
      <c r="AK33" s="361"/>
      <c r="AL33" s="403">
        <v>865675</v>
      </c>
      <c r="BH33" s="360"/>
      <c r="BI33" s="361"/>
      <c r="BJ33" s="403"/>
      <c r="BK33" s="360"/>
      <c r="BL33" s="361"/>
      <c r="BM33" s="403"/>
      <c r="BN33" s="360"/>
      <c r="BO33" s="361"/>
      <c r="BP33" s="403"/>
      <c r="BQ33" s="360"/>
      <c r="BR33" s="361"/>
      <c r="BS33" s="403"/>
      <c r="BT33" s="360"/>
      <c r="BU33" s="361"/>
      <c r="BV33" s="403"/>
    </row>
    <row r="34" spans="1:74" x14ac:dyDescent="0.2">
      <c r="A34" t="s">
        <v>216</v>
      </c>
      <c r="B34" t="s">
        <v>52</v>
      </c>
      <c r="C34" s="440">
        <v>311000</v>
      </c>
      <c r="D34">
        <v>5.1999999999999998E-2</v>
      </c>
      <c r="E34" s="674">
        <v>501502.5</v>
      </c>
      <c r="F34">
        <v>311000</v>
      </c>
      <c r="G34">
        <v>5.1999999999999998E-2</v>
      </c>
      <c r="H34" s="390">
        <v>452970</v>
      </c>
      <c r="I34">
        <v>311000</v>
      </c>
      <c r="J34">
        <v>5.1999999999999998E-2</v>
      </c>
      <c r="K34" s="390">
        <v>501502.5</v>
      </c>
      <c r="L34">
        <v>311000</v>
      </c>
      <c r="M34">
        <v>5.1999999999999998E-2</v>
      </c>
      <c r="N34">
        <v>485325</v>
      </c>
      <c r="O34" s="692">
        <v>311000</v>
      </c>
      <c r="P34">
        <v>5.1999999999999998E-2</v>
      </c>
      <c r="Q34" s="390">
        <v>501502.5</v>
      </c>
      <c r="R34">
        <v>311000</v>
      </c>
      <c r="S34">
        <v>5.1999999999999998E-2</v>
      </c>
      <c r="T34" s="390">
        <v>485325</v>
      </c>
      <c r="U34">
        <v>311000</v>
      </c>
      <c r="V34">
        <v>5.1999999999999998E-2</v>
      </c>
      <c r="W34" s="390">
        <v>501502.5</v>
      </c>
      <c r="X34" s="358">
        <v>311000</v>
      </c>
      <c r="Y34" s="361">
        <v>0</v>
      </c>
      <c r="Z34" s="402">
        <v>501502.5</v>
      </c>
      <c r="AA34" s="358">
        <v>311000</v>
      </c>
      <c r="AB34" s="361">
        <v>5.1999999999999998E-2</v>
      </c>
      <c r="AC34" s="402">
        <v>485325</v>
      </c>
      <c r="AD34" s="358">
        <v>311000</v>
      </c>
      <c r="AE34" s="361">
        <v>5.1999999999999998E-2</v>
      </c>
      <c r="AF34" s="402">
        <v>501502.5</v>
      </c>
      <c r="AG34" s="358">
        <v>311000</v>
      </c>
      <c r="AH34" s="361">
        <v>5.1999999999999998E-2</v>
      </c>
      <c r="AI34" s="402">
        <v>485325</v>
      </c>
      <c r="AJ34" s="358">
        <v>311000</v>
      </c>
      <c r="AK34" s="361">
        <v>5.1999999999999998E-2</v>
      </c>
      <c r="AL34" s="402">
        <v>501502.5</v>
      </c>
      <c r="BH34" s="358"/>
      <c r="BI34" s="361"/>
      <c r="BJ34" s="402"/>
      <c r="BK34" s="358"/>
      <c r="BL34" s="361"/>
      <c r="BM34" s="402"/>
      <c r="BN34" s="358"/>
      <c r="BO34" s="361"/>
      <c r="BP34" s="402"/>
      <c r="BQ34" s="358"/>
      <c r="BR34" s="361"/>
      <c r="BS34" s="402"/>
      <c r="BT34" s="358"/>
      <c r="BU34" s="361"/>
      <c r="BV34" s="402"/>
    </row>
    <row r="35" spans="1:74" x14ac:dyDescent="0.2">
      <c r="A35" s="42" t="s">
        <v>146</v>
      </c>
      <c r="C35" s="667">
        <v>311000</v>
      </c>
      <c r="E35" s="683">
        <v>501502.5</v>
      </c>
      <c r="F35" s="42">
        <v>311000</v>
      </c>
      <c r="H35" s="394">
        <v>452970</v>
      </c>
      <c r="I35" s="42">
        <v>311000</v>
      </c>
      <c r="K35" s="394">
        <v>501502.5</v>
      </c>
      <c r="L35" s="42">
        <v>311000</v>
      </c>
      <c r="N35" s="42">
        <v>485325</v>
      </c>
      <c r="O35" s="693">
        <v>311000</v>
      </c>
      <c r="Q35" s="394">
        <v>501502.5</v>
      </c>
      <c r="R35" s="42">
        <v>311000</v>
      </c>
      <c r="T35" s="394">
        <v>485325</v>
      </c>
      <c r="U35" s="42">
        <v>311000</v>
      </c>
      <c r="W35" s="394">
        <v>501502.5</v>
      </c>
      <c r="X35" s="360">
        <v>311000</v>
      </c>
      <c r="Y35" s="361"/>
      <c r="Z35" s="403">
        <v>501502.5</v>
      </c>
      <c r="AA35" s="360">
        <v>311000</v>
      </c>
      <c r="AB35" s="361"/>
      <c r="AC35" s="403">
        <v>485325</v>
      </c>
      <c r="AD35" s="360">
        <v>311000</v>
      </c>
      <c r="AE35" s="361"/>
      <c r="AF35" s="403">
        <v>501502.5</v>
      </c>
      <c r="AG35" s="360">
        <v>311000</v>
      </c>
      <c r="AH35" s="361"/>
      <c r="AI35" s="403">
        <v>485325</v>
      </c>
      <c r="AJ35" s="360">
        <v>311000</v>
      </c>
      <c r="AK35" s="361"/>
      <c r="AL35" s="403">
        <v>501502.5</v>
      </c>
      <c r="BH35" s="360"/>
      <c r="BI35" s="361"/>
      <c r="BJ35" s="403"/>
      <c r="BK35" s="360"/>
      <c r="BL35" s="361"/>
      <c r="BM35" s="403"/>
      <c r="BN35" s="360"/>
      <c r="BO35" s="361"/>
      <c r="BP35" s="403"/>
      <c r="BQ35" s="360"/>
      <c r="BR35" s="361"/>
      <c r="BS35" s="403"/>
      <c r="BT35" s="360"/>
      <c r="BU35" s="361"/>
      <c r="BV35" s="403"/>
    </row>
    <row r="36" spans="1:74" x14ac:dyDescent="0.2">
      <c r="A36" t="s">
        <v>83</v>
      </c>
      <c r="B36" t="s">
        <v>52</v>
      </c>
      <c r="C36" s="440">
        <v>229000</v>
      </c>
      <c r="D36">
        <v>4.4999999999999998E-2</v>
      </c>
      <c r="E36" s="674">
        <v>319300</v>
      </c>
      <c r="F36">
        <v>229000</v>
      </c>
      <c r="G36">
        <v>4.4999999999999998E-2</v>
      </c>
      <c r="H36" s="390">
        <v>288400</v>
      </c>
      <c r="I36">
        <v>229000</v>
      </c>
      <c r="J36">
        <v>4.4999999999999998E-2</v>
      </c>
      <c r="K36" s="390">
        <v>319300</v>
      </c>
      <c r="L36">
        <v>229000</v>
      </c>
      <c r="M36">
        <v>4.4999999999999998E-2</v>
      </c>
      <c r="N36">
        <v>309000</v>
      </c>
      <c r="O36" s="692">
        <v>229000</v>
      </c>
      <c r="P36">
        <v>4.4999999999999998E-2</v>
      </c>
      <c r="Q36" s="390">
        <v>319300</v>
      </c>
      <c r="R36">
        <v>229000</v>
      </c>
      <c r="S36">
        <v>4.4999999999999998E-2</v>
      </c>
      <c r="T36" s="390">
        <v>309000</v>
      </c>
      <c r="U36">
        <v>229000</v>
      </c>
      <c r="V36">
        <v>4.4999999999999998E-2</v>
      </c>
      <c r="W36" s="390">
        <v>319300</v>
      </c>
      <c r="X36" s="358">
        <v>229000</v>
      </c>
      <c r="Y36" s="361">
        <v>0</v>
      </c>
      <c r="Z36" s="402">
        <v>319300</v>
      </c>
      <c r="AA36" s="358">
        <v>229000</v>
      </c>
      <c r="AB36" s="361">
        <v>4.4999999999999998E-2</v>
      </c>
      <c r="AC36" s="402">
        <v>309000</v>
      </c>
      <c r="AD36" s="358">
        <v>229000</v>
      </c>
      <c r="AE36" s="361">
        <v>4.4999999999999998E-2</v>
      </c>
      <c r="AF36" s="402">
        <v>319300</v>
      </c>
      <c r="AG36" s="358">
        <v>229000</v>
      </c>
      <c r="AH36" s="361">
        <v>4.4999999999999998E-2</v>
      </c>
      <c r="AI36" s="402">
        <v>309000</v>
      </c>
      <c r="AJ36" s="358">
        <v>229000</v>
      </c>
      <c r="AK36" s="361">
        <v>4.4999999999999998E-2</v>
      </c>
      <c r="AL36" s="402">
        <v>319300</v>
      </c>
      <c r="BH36" s="358"/>
      <c r="BI36" s="361"/>
      <c r="BJ36" s="402"/>
      <c r="BK36" s="358"/>
      <c r="BL36" s="361"/>
      <c r="BM36" s="402"/>
      <c r="BN36" s="358"/>
      <c r="BO36" s="361"/>
      <c r="BP36" s="402"/>
      <c r="BQ36" s="358"/>
      <c r="BR36" s="361"/>
      <c r="BS36" s="402"/>
      <c r="BT36" s="358"/>
      <c r="BU36" s="361"/>
      <c r="BV36" s="402"/>
    </row>
    <row r="37" spans="1:74" x14ac:dyDescent="0.2">
      <c r="A37" s="42" t="s">
        <v>145</v>
      </c>
      <c r="C37" s="667">
        <v>229000</v>
      </c>
      <c r="E37" s="683">
        <v>319300</v>
      </c>
      <c r="F37" s="42">
        <v>229000</v>
      </c>
      <c r="H37" s="394">
        <v>288400</v>
      </c>
      <c r="I37" s="42">
        <v>229000</v>
      </c>
      <c r="K37" s="394">
        <v>319300</v>
      </c>
      <c r="L37" s="42">
        <v>229000</v>
      </c>
      <c r="N37" s="42">
        <v>309000</v>
      </c>
      <c r="O37" s="693">
        <v>229000</v>
      </c>
      <c r="Q37" s="394">
        <v>319300</v>
      </c>
      <c r="R37" s="42">
        <v>229000</v>
      </c>
      <c r="T37" s="394">
        <v>309000</v>
      </c>
      <c r="U37" s="42">
        <v>229000</v>
      </c>
      <c r="W37" s="394">
        <v>319300</v>
      </c>
      <c r="X37" s="360">
        <v>229000</v>
      </c>
      <c r="Y37" s="361"/>
      <c r="Z37" s="403">
        <v>319300</v>
      </c>
      <c r="AA37" s="360">
        <v>229000</v>
      </c>
      <c r="AB37" s="361"/>
      <c r="AC37" s="403">
        <v>309000</v>
      </c>
      <c r="AD37" s="360">
        <v>229000</v>
      </c>
      <c r="AE37" s="361"/>
      <c r="AF37" s="403">
        <v>319300</v>
      </c>
      <c r="AG37" s="360">
        <v>229000</v>
      </c>
      <c r="AH37" s="361"/>
      <c r="AI37" s="403">
        <v>309000</v>
      </c>
      <c r="AJ37" s="360">
        <v>229000</v>
      </c>
      <c r="AK37" s="361"/>
      <c r="AL37" s="403">
        <v>319300</v>
      </c>
      <c r="BH37" s="360"/>
      <c r="BI37" s="361"/>
      <c r="BJ37" s="403"/>
      <c r="BK37" s="360"/>
      <c r="BL37" s="361"/>
      <c r="BM37" s="403"/>
      <c r="BN37" s="360"/>
      <c r="BO37" s="361"/>
      <c r="BP37" s="403"/>
      <c r="BQ37" s="360"/>
      <c r="BR37" s="361"/>
      <c r="BS37" s="403"/>
      <c r="BT37" s="360"/>
      <c r="BU37" s="361"/>
      <c r="BV37" s="403"/>
    </row>
    <row r="38" spans="1:74" x14ac:dyDescent="0.2">
      <c r="A38" t="s">
        <v>136</v>
      </c>
      <c r="B38" t="s">
        <v>52</v>
      </c>
      <c r="BH38" s="358"/>
      <c r="BI38" s="361"/>
      <c r="BJ38" s="402"/>
      <c r="BK38" s="358"/>
      <c r="BL38" s="361"/>
      <c r="BM38" s="402"/>
      <c r="BN38" s="358"/>
      <c r="BO38" s="361"/>
      <c r="BP38" s="402"/>
      <c r="BQ38" s="358"/>
      <c r="BR38" s="361"/>
      <c r="BS38" s="402"/>
      <c r="BT38" s="358"/>
      <c r="BU38" s="361"/>
      <c r="BV38" s="402"/>
    </row>
    <row r="39" spans="1:74" x14ac:dyDescent="0.2">
      <c r="A39" t="s">
        <v>137</v>
      </c>
      <c r="B39" t="s">
        <v>52</v>
      </c>
      <c r="C39" s="440">
        <v>497500</v>
      </c>
      <c r="D39">
        <v>0.105</v>
      </c>
      <c r="E39" s="674">
        <v>1566833</v>
      </c>
      <c r="F39">
        <v>497500</v>
      </c>
      <c r="G39">
        <v>0.105</v>
      </c>
      <c r="H39" s="390">
        <v>1415204</v>
      </c>
      <c r="I39">
        <v>477500</v>
      </c>
      <c r="J39">
        <v>0.105</v>
      </c>
      <c r="K39" s="390">
        <v>1501609</v>
      </c>
      <c r="L39">
        <v>477500</v>
      </c>
      <c r="M39">
        <v>0.105</v>
      </c>
      <c r="N39" s="402">
        <v>1453170</v>
      </c>
      <c r="O39" s="692">
        <v>477500</v>
      </c>
      <c r="P39">
        <v>0.105</v>
      </c>
      <c r="Q39" s="390">
        <v>1501609</v>
      </c>
      <c r="R39">
        <v>477500</v>
      </c>
      <c r="S39">
        <v>0.105</v>
      </c>
      <c r="T39" s="402">
        <v>1453170</v>
      </c>
      <c r="U39">
        <v>477500</v>
      </c>
      <c r="V39">
        <v>0.105</v>
      </c>
      <c r="W39" s="390">
        <v>1501609</v>
      </c>
      <c r="X39" s="358">
        <v>477500</v>
      </c>
      <c r="Y39" s="361">
        <v>0</v>
      </c>
      <c r="Z39" s="390">
        <v>1501609</v>
      </c>
      <c r="AA39" s="358">
        <v>477500</v>
      </c>
      <c r="AB39" s="361">
        <v>0.105</v>
      </c>
      <c r="AC39" s="402">
        <v>1453170</v>
      </c>
      <c r="AD39" s="358">
        <v>477500</v>
      </c>
      <c r="AE39" s="361">
        <v>0.105</v>
      </c>
      <c r="AF39" s="390">
        <v>1501609</v>
      </c>
      <c r="AG39" s="358">
        <v>456000</v>
      </c>
      <c r="AH39" s="361">
        <v>0.1051</v>
      </c>
      <c r="AI39" s="402">
        <v>1453170</v>
      </c>
      <c r="AJ39" s="358">
        <v>456000</v>
      </c>
      <c r="AK39" s="361">
        <v>0.1051</v>
      </c>
      <c r="AL39" s="390">
        <v>1501609</v>
      </c>
      <c r="BH39" s="358"/>
      <c r="BI39" s="361"/>
      <c r="BJ39" s="402"/>
      <c r="BK39" s="358"/>
      <c r="BL39" s="361"/>
      <c r="BM39" s="402"/>
      <c r="BN39" s="358"/>
      <c r="BO39" s="361"/>
      <c r="BP39" s="402"/>
      <c r="BQ39" s="358"/>
      <c r="BR39" s="361"/>
      <c r="BS39" s="402"/>
      <c r="BT39" s="358"/>
      <c r="BU39" s="361"/>
      <c r="BV39" s="402"/>
    </row>
    <row r="40" spans="1:74" x14ac:dyDescent="0.2">
      <c r="A40" s="42" t="s">
        <v>144</v>
      </c>
      <c r="C40" s="667">
        <v>497500</v>
      </c>
      <c r="E40" s="394">
        <v>1566833</v>
      </c>
      <c r="F40" s="42">
        <v>497500</v>
      </c>
      <c r="H40" s="394">
        <v>1415204</v>
      </c>
      <c r="I40" s="42">
        <v>477500</v>
      </c>
      <c r="K40" s="394">
        <v>1501609</v>
      </c>
      <c r="L40" s="42">
        <v>477500</v>
      </c>
      <c r="N40" s="42">
        <v>1453170</v>
      </c>
      <c r="O40" s="693">
        <v>477500</v>
      </c>
      <c r="Q40" s="394">
        <v>1501609</v>
      </c>
      <c r="R40" s="42">
        <v>477500</v>
      </c>
      <c r="T40" s="42">
        <v>1453170</v>
      </c>
      <c r="U40" s="42">
        <v>477500</v>
      </c>
      <c r="W40" s="394">
        <v>1501609</v>
      </c>
      <c r="X40" s="360">
        <v>477500</v>
      </c>
      <c r="Y40" s="361"/>
      <c r="Z40" s="394">
        <v>1501609</v>
      </c>
      <c r="AA40" s="360">
        <v>477500</v>
      </c>
      <c r="AB40" s="361"/>
      <c r="AC40" s="42">
        <v>1453170</v>
      </c>
      <c r="AD40" s="360">
        <v>477500</v>
      </c>
      <c r="AE40" s="361"/>
      <c r="AF40" s="394">
        <v>1501609</v>
      </c>
      <c r="AG40" s="360">
        <v>456000</v>
      </c>
      <c r="AH40" s="361"/>
      <c r="AI40" s="42">
        <v>1453170</v>
      </c>
      <c r="AJ40" s="360">
        <v>456000</v>
      </c>
      <c r="AK40" s="361"/>
      <c r="AL40" s="394">
        <v>1501609</v>
      </c>
      <c r="BH40" s="360"/>
      <c r="BI40" s="361"/>
      <c r="BJ40" s="403"/>
      <c r="BK40" s="360"/>
      <c r="BL40" s="361"/>
      <c r="BM40" s="403"/>
      <c r="BN40" s="360"/>
      <c r="BO40" s="361"/>
      <c r="BP40" s="403"/>
      <c r="BQ40" s="360"/>
      <c r="BR40" s="361"/>
      <c r="BS40" s="403"/>
      <c r="BT40" s="360"/>
      <c r="BU40" s="361"/>
      <c r="BV40" s="403"/>
    </row>
    <row r="41" spans="1:74" x14ac:dyDescent="0.2">
      <c r="A41" t="s">
        <v>138</v>
      </c>
      <c r="B41" t="s">
        <v>52</v>
      </c>
      <c r="C41" s="440">
        <v>550500</v>
      </c>
      <c r="D41">
        <v>0.2586</v>
      </c>
      <c r="E41" s="674">
        <v>4412412.9000000004</v>
      </c>
      <c r="F41">
        <v>530500</v>
      </c>
      <c r="G41">
        <v>0.25519999999999998</v>
      </c>
      <c r="H41" s="390">
        <v>3790917.2</v>
      </c>
      <c r="I41">
        <v>530500</v>
      </c>
      <c r="J41">
        <v>0.25519999999999998</v>
      </c>
      <c r="K41" s="390">
        <v>4197086.9000000004</v>
      </c>
      <c r="L41">
        <v>522500</v>
      </c>
      <c r="M41">
        <v>0.25900000000000001</v>
      </c>
      <c r="N41">
        <v>3997245</v>
      </c>
      <c r="O41" s="692">
        <v>522500</v>
      </c>
      <c r="P41">
        <v>0.25900000000000001</v>
      </c>
      <c r="Q41" s="390">
        <v>4130486.5</v>
      </c>
      <c r="R41">
        <v>522500</v>
      </c>
      <c r="S41">
        <v>0.25900000000000001</v>
      </c>
      <c r="T41" s="390">
        <v>3997245</v>
      </c>
      <c r="U41">
        <v>522500</v>
      </c>
      <c r="V41">
        <v>0.25900000000000001</v>
      </c>
      <c r="W41" s="390">
        <v>4130486.5</v>
      </c>
      <c r="X41" s="358">
        <v>522500</v>
      </c>
      <c r="Y41" s="361">
        <v>0</v>
      </c>
      <c r="Z41" s="402">
        <v>4130486.5</v>
      </c>
      <c r="AA41" s="358">
        <v>522500</v>
      </c>
      <c r="AB41" s="361">
        <v>0.25900000000000001</v>
      </c>
      <c r="AC41" s="402">
        <v>3997245</v>
      </c>
      <c r="AD41" s="358">
        <v>522500</v>
      </c>
      <c r="AE41" s="361">
        <v>0.25900000000000001</v>
      </c>
      <c r="AF41" s="402">
        <v>4130486.5</v>
      </c>
      <c r="AG41" s="358">
        <v>440000</v>
      </c>
      <c r="AH41" s="361">
        <v>0.27200000000000002</v>
      </c>
      <c r="AI41" s="402">
        <v>3590220</v>
      </c>
      <c r="AJ41" s="358">
        <v>440000</v>
      </c>
      <c r="AK41" s="361">
        <v>0.27200000000000002</v>
      </c>
      <c r="AL41" s="402">
        <v>3709894</v>
      </c>
      <c r="BH41" s="358"/>
      <c r="BI41" s="361"/>
      <c r="BJ41" s="402"/>
      <c r="BK41" s="358"/>
      <c r="BL41" s="361"/>
      <c r="BM41" s="402"/>
      <c r="BN41" s="358"/>
      <c r="BO41" s="361"/>
      <c r="BP41" s="402"/>
      <c r="BQ41" s="358"/>
      <c r="BR41" s="361"/>
      <c r="BS41" s="402"/>
      <c r="BT41" s="358"/>
      <c r="BU41" s="361"/>
      <c r="BV41" s="402"/>
    </row>
    <row r="42" spans="1:74" x14ac:dyDescent="0.2">
      <c r="A42" t="s">
        <v>139</v>
      </c>
      <c r="B42" t="s">
        <v>52</v>
      </c>
      <c r="C42" s="440">
        <v>60000</v>
      </c>
      <c r="D42">
        <v>0.18</v>
      </c>
      <c r="E42" s="674">
        <v>334800</v>
      </c>
      <c r="F42">
        <v>60000</v>
      </c>
      <c r="G42">
        <v>0.18</v>
      </c>
      <c r="H42" s="390">
        <v>302400</v>
      </c>
      <c r="I42">
        <v>60000</v>
      </c>
      <c r="J42">
        <v>0.18</v>
      </c>
      <c r="K42" s="390">
        <v>334800</v>
      </c>
      <c r="L42">
        <v>60000</v>
      </c>
      <c r="M42">
        <v>0.18</v>
      </c>
      <c r="N42">
        <v>324000</v>
      </c>
      <c r="O42" s="692">
        <v>60000</v>
      </c>
      <c r="P42">
        <v>0.18</v>
      </c>
      <c r="Q42" s="390">
        <v>334800</v>
      </c>
      <c r="R42">
        <v>60000</v>
      </c>
      <c r="S42">
        <v>0.18</v>
      </c>
      <c r="T42" s="390">
        <v>324000</v>
      </c>
      <c r="U42">
        <v>60000</v>
      </c>
      <c r="V42">
        <v>0.18</v>
      </c>
      <c r="W42" s="390">
        <v>334800</v>
      </c>
      <c r="X42" s="358">
        <v>60000</v>
      </c>
      <c r="Y42" s="361">
        <v>0</v>
      </c>
      <c r="Z42" s="402">
        <v>334800</v>
      </c>
      <c r="AA42" s="358">
        <v>60000</v>
      </c>
      <c r="AB42" s="361">
        <v>0.18</v>
      </c>
      <c r="AC42" s="402">
        <v>324000</v>
      </c>
      <c r="AD42" s="358">
        <v>60000</v>
      </c>
      <c r="AE42" s="361">
        <v>0.18</v>
      </c>
      <c r="AF42" s="402">
        <v>334800</v>
      </c>
      <c r="AG42" s="358">
        <v>60000</v>
      </c>
      <c r="AH42" s="361">
        <v>0.18</v>
      </c>
      <c r="AI42" s="402">
        <v>324000</v>
      </c>
      <c r="AJ42" s="358">
        <v>60000</v>
      </c>
      <c r="AK42" s="361">
        <v>0.18</v>
      </c>
      <c r="AL42" s="402">
        <v>334800</v>
      </c>
      <c r="BH42" s="358"/>
      <c r="BI42" s="361"/>
      <c r="BJ42" s="402"/>
      <c r="BK42" s="358"/>
      <c r="BL42" s="361"/>
      <c r="BM42" s="402"/>
      <c r="BN42" s="358"/>
      <c r="BO42" s="361"/>
      <c r="BP42" s="402"/>
      <c r="BQ42" s="358"/>
      <c r="BR42" s="361"/>
      <c r="BS42" s="402"/>
      <c r="BT42" s="358"/>
      <c r="BU42" s="361"/>
      <c r="BV42" s="402"/>
    </row>
    <row r="43" spans="1:74" x14ac:dyDescent="0.2">
      <c r="A43" t="s">
        <v>140</v>
      </c>
      <c r="B43" t="s">
        <v>52</v>
      </c>
      <c r="C43" s="440">
        <v>211100</v>
      </c>
      <c r="D43">
        <v>0.21049999999999999</v>
      </c>
      <c r="E43" s="674">
        <v>1377609</v>
      </c>
      <c r="F43">
        <v>211100</v>
      </c>
      <c r="G43">
        <v>0.21049999999999999</v>
      </c>
      <c r="H43" s="390">
        <v>1244292</v>
      </c>
      <c r="I43">
        <v>231100</v>
      </c>
      <c r="J43">
        <v>0.22409999999999999</v>
      </c>
      <c r="K43" s="390">
        <v>1605707</v>
      </c>
      <c r="L43">
        <v>231100</v>
      </c>
      <c r="M43">
        <v>0.2397</v>
      </c>
      <c r="N43">
        <v>1662150</v>
      </c>
      <c r="O43" s="692">
        <v>231100</v>
      </c>
      <c r="P43">
        <v>0.2397</v>
      </c>
      <c r="Q43" s="390">
        <v>1717555</v>
      </c>
      <c r="R43">
        <v>231100</v>
      </c>
      <c r="S43">
        <v>0.2397</v>
      </c>
      <c r="T43" s="390">
        <v>1662150</v>
      </c>
      <c r="U43">
        <v>231100</v>
      </c>
      <c r="V43">
        <v>0.2397</v>
      </c>
      <c r="W43" s="390">
        <v>1717555</v>
      </c>
      <c r="X43" s="358">
        <v>231100</v>
      </c>
      <c r="Y43" s="361">
        <v>0</v>
      </c>
      <c r="Z43" s="402">
        <v>1717555</v>
      </c>
      <c r="AA43" s="358">
        <v>231100</v>
      </c>
      <c r="AB43" s="361">
        <v>0.2397</v>
      </c>
      <c r="AC43" s="402">
        <v>1662150</v>
      </c>
      <c r="AD43" s="358">
        <v>231100</v>
      </c>
      <c r="AE43" s="361">
        <v>0.2397</v>
      </c>
      <c r="AF43" s="402">
        <v>1717555</v>
      </c>
      <c r="AG43" s="358">
        <v>252600</v>
      </c>
      <c r="AH43" s="361">
        <v>0.25069999999999998</v>
      </c>
      <c r="AI43" s="402">
        <v>1899445.5</v>
      </c>
      <c r="AJ43" s="358">
        <v>252600</v>
      </c>
      <c r="AK43" s="361">
        <v>0.25069999999999998</v>
      </c>
      <c r="AL43" s="402">
        <v>1962760.35</v>
      </c>
      <c r="BH43" s="358"/>
      <c r="BI43" s="361"/>
      <c r="BJ43" s="402"/>
      <c r="BK43" s="358"/>
      <c r="BL43" s="361"/>
      <c r="BM43" s="402"/>
      <c r="BN43" s="358"/>
      <c r="BO43" s="361"/>
      <c r="BP43" s="402"/>
      <c r="BQ43" s="358"/>
      <c r="BR43" s="361"/>
      <c r="BS43" s="402"/>
      <c r="BT43" s="358"/>
      <c r="BU43" s="361"/>
      <c r="BV43" s="402"/>
    </row>
    <row r="44" spans="1:74" x14ac:dyDescent="0.2">
      <c r="A44" t="s">
        <v>141</v>
      </c>
      <c r="B44" t="s">
        <v>52</v>
      </c>
      <c r="C44" s="440">
        <v>265000</v>
      </c>
      <c r="D44">
        <v>0.25919999999999999</v>
      </c>
      <c r="E44" s="674">
        <v>2128956</v>
      </c>
      <c r="F44">
        <v>265000</v>
      </c>
      <c r="G44">
        <v>0.25919999999999999</v>
      </c>
      <c r="H44" s="390">
        <v>1922928</v>
      </c>
      <c r="I44">
        <v>245000</v>
      </c>
      <c r="J44">
        <v>0.25840000000000002</v>
      </c>
      <c r="K44" s="390">
        <v>1962672</v>
      </c>
      <c r="L44">
        <v>245000</v>
      </c>
      <c r="M44">
        <v>0.25840000000000002</v>
      </c>
      <c r="N44">
        <v>1899360</v>
      </c>
      <c r="O44" s="692">
        <v>245000</v>
      </c>
      <c r="P44">
        <v>0.25840000000000002</v>
      </c>
      <c r="Q44" s="390">
        <v>1962672</v>
      </c>
      <c r="R44">
        <v>245000</v>
      </c>
      <c r="S44">
        <v>0.25840000000000002</v>
      </c>
      <c r="T44" s="390">
        <v>1899360</v>
      </c>
      <c r="U44">
        <v>245000</v>
      </c>
      <c r="V44">
        <v>0.25840000000000002</v>
      </c>
      <c r="W44" s="390">
        <v>1962672</v>
      </c>
      <c r="X44" s="358">
        <v>245000</v>
      </c>
      <c r="Y44" s="361">
        <v>0</v>
      </c>
      <c r="Z44" s="402">
        <v>1962672</v>
      </c>
      <c r="AA44" s="358">
        <v>245000</v>
      </c>
      <c r="AB44" s="361">
        <v>0.25840000000000002</v>
      </c>
      <c r="AC44" s="402">
        <v>1899360</v>
      </c>
      <c r="AD44" s="358">
        <v>245000</v>
      </c>
      <c r="AE44" s="361">
        <v>0.25840000000000002</v>
      </c>
      <c r="AF44" s="402">
        <v>1962672</v>
      </c>
      <c r="AG44" s="358">
        <v>245000</v>
      </c>
      <c r="AH44" s="361">
        <v>0.25840000000000002</v>
      </c>
      <c r="AI44" s="402">
        <v>1899360</v>
      </c>
      <c r="AJ44" s="358">
        <v>245000</v>
      </c>
      <c r="AK44" s="361">
        <v>0.25840000000000002</v>
      </c>
      <c r="AL44" s="402">
        <v>1962672</v>
      </c>
      <c r="BH44" s="358"/>
      <c r="BI44" s="361"/>
      <c r="BJ44" s="402"/>
      <c r="BK44" s="358"/>
      <c r="BL44" s="361"/>
      <c r="BM44" s="402"/>
      <c r="BN44" s="358"/>
      <c r="BO44" s="361"/>
      <c r="BP44" s="402"/>
      <c r="BQ44" s="358"/>
      <c r="BR44" s="361"/>
      <c r="BS44" s="402"/>
      <c r="BT44" s="358"/>
      <c r="BU44" s="361"/>
      <c r="BV44" s="402"/>
    </row>
    <row r="45" spans="1:74" x14ac:dyDescent="0.2">
      <c r="A45" t="s">
        <v>228</v>
      </c>
      <c r="B45" t="s">
        <v>52</v>
      </c>
      <c r="C45" s="440">
        <v>1300</v>
      </c>
      <c r="D45">
        <v>0.22889999999999999</v>
      </c>
      <c r="E45" s="674">
        <v>9224.67</v>
      </c>
      <c r="F45">
        <v>1300</v>
      </c>
      <c r="G45">
        <v>0.22889999999999999</v>
      </c>
      <c r="H45" s="390">
        <v>8331.9599999999991</v>
      </c>
      <c r="I45">
        <v>1300</v>
      </c>
      <c r="J45">
        <v>0.22889999999999999</v>
      </c>
      <c r="K45" s="390">
        <v>9224.67</v>
      </c>
      <c r="L45">
        <v>1300</v>
      </c>
      <c r="M45">
        <v>0.22889999999999999</v>
      </c>
      <c r="N45">
        <v>8927.1</v>
      </c>
      <c r="O45" s="692">
        <v>1300</v>
      </c>
      <c r="P45">
        <v>0.22889999999999999</v>
      </c>
      <c r="Q45" s="390">
        <v>9224.67</v>
      </c>
      <c r="R45">
        <v>0</v>
      </c>
      <c r="S45">
        <v>0</v>
      </c>
      <c r="T45" s="390">
        <v>0</v>
      </c>
      <c r="U45">
        <v>0</v>
      </c>
      <c r="V45">
        <v>0</v>
      </c>
      <c r="W45" s="390">
        <v>0</v>
      </c>
      <c r="X45" s="358">
        <v>0</v>
      </c>
      <c r="Y45" s="361">
        <v>0</v>
      </c>
      <c r="Z45" s="402">
        <v>0</v>
      </c>
      <c r="AA45" s="358">
        <v>0</v>
      </c>
      <c r="AB45" s="361">
        <v>0</v>
      </c>
      <c r="AC45" s="402">
        <v>0</v>
      </c>
      <c r="AD45" s="358">
        <v>0</v>
      </c>
      <c r="AE45" s="361">
        <v>0</v>
      </c>
      <c r="AF45" s="402">
        <v>0</v>
      </c>
      <c r="AG45" s="358">
        <v>0</v>
      </c>
      <c r="AH45" s="361">
        <v>0</v>
      </c>
      <c r="AI45" s="402">
        <v>0</v>
      </c>
      <c r="AJ45" s="358">
        <v>0</v>
      </c>
      <c r="AK45" s="361">
        <v>0</v>
      </c>
      <c r="AL45" s="402">
        <v>0</v>
      </c>
      <c r="BH45" s="358"/>
      <c r="BI45" s="361"/>
      <c r="BJ45" s="402"/>
      <c r="BK45" s="358"/>
      <c r="BL45" s="361"/>
      <c r="BM45" s="402"/>
      <c r="BN45" s="358"/>
      <c r="BO45" s="361"/>
      <c r="BP45" s="402"/>
      <c r="BQ45" s="358"/>
      <c r="BR45" s="361"/>
      <c r="BS45" s="402"/>
      <c r="BT45" s="358"/>
      <c r="BU45" s="361"/>
      <c r="BV45" s="402"/>
    </row>
    <row r="46" spans="1:74" x14ac:dyDescent="0.2">
      <c r="A46" s="42" t="s">
        <v>143</v>
      </c>
      <c r="C46" s="667">
        <v>1087900</v>
      </c>
      <c r="E46" s="683">
        <v>8263002.5700000003</v>
      </c>
      <c r="F46" s="42">
        <v>1067900</v>
      </c>
      <c r="H46" s="394">
        <v>7268869.1600000001</v>
      </c>
      <c r="I46" s="42">
        <v>1067900</v>
      </c>
      <c r="K46" s="394">
        <v>8109490.5700000003</v>
      </c>
      <c r="L46" s="42">
        <v>1059900</v>
      </c>
      <c r="N46" s="42">
        <f>SUM(N41:N45)</f>
        <v>7891682.0999999996</v>
      </c>
      <c r="O46" s="693">
        <v>1059900</v>
      </c>
      <c r="Q46" s="394">
        <f>SUM(Q41:Q45)</f>
        <v>8154738.1699999999</v>
      </c>
      <c r="R46" s="42">
        <v>1058600</v>
      </c>
      <c r="T46" s="394">
        <f>SUM(T41:T44)</f>
        <v>7882755</v>
      </c>
      <c r="U46" s="42">
        <v>1058600</v>
      </c>
      <c r="W46" s="394">
        <f>SUM(W41:W45)</f>
        <v>8145513.5</v>
      </c>
      <c r="X46" s="360">
        <v>1058600</v>
      </c>
      <c r="Y46" s="361"/>
      <c r="Z46" s="403">
        <f>SUM(Z41:Z45)</f>
        <v>8145513.5</v>
      </c>
      <c r="AA46" s="360">
        <v>1058600</v>
      </c>
      <c r="AB46" s="361"/>
      <c r="AC46" s="403">
        <f>SUM(AC41:AC45)</f>
        <v>7882755</v>
      </c>
      <c r="AD46" s="360">
        <v>1058600</v>
      </c>
      <c r="AE46" s="361"/>
      <c r="AF46" s="403">
        <f>SUM(AF41:AF45)</f>
        <v>8145513.5</v>
      </c>
      <c r="AG46" s="360">
        <v>997600</v>
      </c>
      <c r="AH46" s="361"/>
      <c r="AI46" s="403">
        <v>7713025.5</v>
      </c>
      <c r="AJ46" s="360">
        <v>997600</v>
      </c>
      <c r="AK46" s="361"/>
      <c r="AL46" s="403">
        <v>7970126.3499999996</v>
      </c>
      <c r="BH46" s="360"/>
      <c r="BI46" s="361"/>
      <c r="BJ46" s="403"/>
      <c r="BK46" s="360"/>
      <c r="BL46" s="361"/>
      <c r="BM46" s="403"/>
      <c r="BN46" s="360"/>
      <c r="BO46" s="361"/>
      <c r="BP46" s="403"/>
      <c r="BQ46" s="360"/>
      <c r="BR46" s="361"/>
      <c r="BS46" s="403"/>
      <c r="BT46" s="360"/>
      <c r="BU46" s="361"/>
      <c r="BV46" s="403"/>
    </row>
    <row r="47" spans="1:74" x14ac:dyDescent="0.2">
      <c r="C47" s="666"/>
      <c r="D47" s="51"/>
      <c r="E47" s="678"/>
      <c r="F47" s="51"/>
      <c r="G47" s="51"/>
      <c r="H47" s="59"/>
      <c r="I47" s="51"/>
      <c r="J47" s="51"/>
      <c r="K47" s="59"/>
      <c r="L47" s="51"/>
      <c r="M47" s="51"/>
      <c r="N47" s="62"/>
      <c r="O47" s="115"/>
      <c r="P47" s="397"/>
      <c r="Q47" s="60">
        <v>0</v>
      </c>
      <c r="R47" s="40">
        <f>'Demand - Summ'!F329</f>
        <v>0</v>
      </c>
      <c r="S47" s="40">
        <f>'Demand - Summ'!I329</f>
        <v>0</v>
      </c>
      <c r="T47" s="60">
        <f>'Demand - Summ'!L329</f>
        <v>0</v>
      </c>
      <c r="U47" s="40">
        <f>'Demand - Summ'!O329</f>
        <v>0</v>
      </c>
      <c r="V47" s="40">
        <f>'Demand - Summ'!R329</f>
        <v>0</v>
      </c>
      <c r="W47" s="60">
        <f>'Demand - Summ'!U329</f>
        <v>0</v>
      </c>
      <c r="X47" s="40">
        <f>'Demand - Summ'!X329</f>
        <v>0</v>
      </c>
      <c r="Y47" s="40">
        <f>'Demand - Summ'!AA329</f>
        <v>0</v>
      </c>
      <c r="Z47" s="60">
        <f>'Demand - Summ'!AD329</f>
        <v>0</v>
      </c>
      <c r="AA47" s="40">
        <f>'Demand - Summ'!AG329</f>
        <v>0</v>
      </c>
      <c r="AB47" s="372">
        <f>'Demand - Summ'!AJ329</f>
        <v>0</v>
      </c>
    </row>
    <row r="48" spans="1:74" x14ac:dyDescent="0.2">
      <c r="C48" s="666"/>
      <c r="D48" s="51"/>
      <c r="E48" s="678"/>
      <c r="F48" s="51"/>
      <c r="G48" s="51"/>
      <c r="H48" s="59"/>
      <c r="I48" s="51"/>
      <c r="J48" s="51"/>
      <c r="K48" s="59"/>
      <c r="L48" s="51"/>
      <c r="M48" s="51"/>
      <c r="N48" s="62"/>
      <c r="O48" s="115"/>
      <c r="P48" s="397"/>
      <c r="Q48" s="60"/>
      <c r="R48" s="40"/>
      <c r="S48" s="40"/>
      <c r="T48" s="60"/>
      <c r="U48" s="40"/>
      <c r="V48" s="40"/>
      <c r="W48" s="60"/>
      <c r="X48" s="40"/>
      <c r="Y48" s="40"/>
      <c r="Z48" s="60"/>
      <c r="AA48" s="40"/>
      <c r="AB48" s="372"/>
    </row>
    <row r="49" spans="1:74" s="61" customFormat="1" x14ac:dyDescent="0.2">
      <c r="C49" s="668"/>
      <c r="D49" s="375"/>
      <c r="E49" s="679"/>
      <c r="F49" s="375"/>
      <c r="G49" s="375"/>
      <c r="H49" s="376"/>
      <c r="I49" s="375"/>
      <c r="J49" s="375"/>
      <c r="K49" s="376"/>
      <c r="L49" s="375"/>
      <c r="M49" s="375"/>
      <c r="N49" s="374"/>
      <c r="O49" s="448"/>
      <c r="P49" s="398"/>
      <c r="Q49" s="379"/>
      <c r="R49" s="378"/>
      <c r="S49" s="378"/>
      <c r="T49" s="379"/>
      <c r="U49" s="378"/>
      <c r="V49" s="378"/>
      <c r="W49" s="379"/>
      <c r="X49" s="378"/>
      <c r="Y49" s="378"/>
      <c r="Z49" s="379"/>
      <c r="AA49" s="378"/>
      <c r="AB49" s="395"/>
      <c r="AC49" s="404"/>
      <c r="AF49" s="404"/>
      <c r="AI49" s="404"/>
      <c r="AL49" s="404"/>
      <c r="AO49" s="404"/>
      <c r="AR49" s="404"/>
      <c r="AU49" s="404"/>
      <c r="AX49" s="404"/>
      <c r="BA49" s="404"/>
      <c r="BD49" s="404"/>
      <c r="BG49" s="404"/>
      <c r="BJ49" s="404"/>
      <c r="BM49" s="404"/>
      <c r="BP49" s="404"/>
      <c r="BS49" s="404"/>
      <c r="BV49" s="404"/>
    </row>
    <row r="50" spans="1:74" s="389" customFormat="1" x14ac:dyDescent="0.2">
      <c r="A50" s="423" t="s">
        <v>754</v>
      </c>
      <c r="B50" s="418" t="s">
        <v>445</v>
      </c>
      <c r="C50" s="669"/>
      <c r="D50" s="384"/>
      <c r="E50" s="681"/>
      <c r="F50" s="384"/>
      <c r="G50" s="384"/>
      <c r="H50" s="385"/>
      <c r="I50" s="384"/>
      <c r="J50" s="384"/>
      <c r="K50" s="385"/>
      <c r="L50" s="384"/>
      <c r="M50" s="384"/>
      <c r="N50" s="383"/>
      <c r="O50" s="697"/>
      <c r="P50" s="399"/>
      <c r="Q50" s="388"/>
      <c r="R50" s="387"/>
      <c r="S50" s="387"/>
      <c r="T50" s="388"/>
      <c r="U50" s="387"/>
      <c r="V50" s="387"/>
      <c r="W50" s="388"/>
      <c r="X50" s="387"/>
      <c r="Y50" s="387"/>
      <c r="Z50" s="388"/>
      <c r="AA50" s="387"/>
      <c r="AB50" s="396"/>
      <c r="AC50" s="405"/>
      <c r="AF50" s="405"/>
      <c r="AI50" s="405"/>
      <c r="AL50" s="405"/>
      <c r="AO50" s="405"/>
      <c r="AR50" s="405"/>
      <c r="AU50" s="405"/>
      <c r="AX50" s="405"/>
      <c r="BA50" s="405"/>
      <c r="BD50" s="405"/>
      <c r="BG50" s="405"/>
      <c r="BJ50" s="405"/>
      <c r="BM50" s="405"/>
      <c r="BP50" s="405"/>
      <c r="BS50" s="405"/>
      <c r="BV50" s="405"/>
    </row>
    <row r="51" spans="1:74" s="389" customFormat="1" x14ac:dyDescent="0.2">
      <c r="A51" s="418" t="s">
        <v>449</v>
      </c>
      <c r="B51" s="418" t="s">
        <v>677</v>
      </c>
      <c r="C51" s="669"/>
      <c r="D51" s="384"/>
      <c r="E51" s="681"/>
      <c r="F51" s="384"/>
      <c r="G51" s="384"/>
      <c r="H51" s="385"/>
      <c r="I51" s="384"/>
      <c r="J51" s="384"/>
      <c r="K51" s="385"/>
      <c r="L51" s="384"/>
      <c r="M51" s="384"/>
      <c r="N51" s="383"/>
      <c r="O51" s="697"/>
      <c r="P51" s="399"/>
      <c r="Q51" s="388"/>
      <c r="R51" s="387"/>
      <c r="S51" s="387"/>
      <c r="T51" s="388"/>
      <c r="U51" s="387"/>
      <c r="V51" s="387"/>
      <c r="W51" s="388"/>
      <c r="X51" s="387"/>
      <c r="Y51" s="387"/>
      <c r="Z51" s="388"/>
      <c r="AA51" s="387"/>
      <c r="AB51" s="396"/>
      <c r="AC51" s="405"/>
      <c r="AF51" s="405"/>
      <c r="AI51" s="405"/>
      <c r="AL51" s="405"/>
      <c r="AO51" s="405"/>
      <c r="AR51" s="405"/>
      <c r="AU51" s="405"/>
      <c r="AX51" s="405"/>
      <c r="BA51" s="405"/>
      <c r="BD51" s="405"/>
      <c r="BG51" s="405"/>
      <c r="BJ51" s="405"/>
      <c r="BM51" s="405"/>
      <c r="BP51" s="405"/>
      <c r="BS51" s="405"/>
      <c r="BV51" s="405"/>
    </row>
    <row r="52" spans="1:74" s="61" customFormat="1" x14ac:dyDescent="0.2">
      <c r="A52" s="373" t="s">
        <v>130</v>
      </c>
      <c r="B52" s="439"/>
      <c r="C52" s="668"/>
      <c r="D52" s="374"/>
      <c r="E52" s="679"/>
      <c r="F52" s="374"/>
      <c r="G52" s="374"/>
      <c r="H52" s="376"/>
      <c r="I52" s="374"/>
      <c r="J52" s="374"/>
      <c r="K52" s="376"/>
      <c r="L52" s="374"/>
      <c r="M52" s="374"/>
      <c r="N52" s="374"/>
      <c r="O52" s="448"/>
      <c r="P52" s="373"/>
      <c r="Q52" s="449"/>
      <c r="R52" s="412"/>
      <c r="S52" s="448"/>
      <c r="T52" s="449"/>
      <c r="U52" s="412"/>
      <c r="V52" s="448"/>
      <c r="W52" s="411"/>
      <c r="X52" s="412"/>
      <c r="Y52" s="412"/>
      <c r="Z52" s="411"/>
      <c r="AA52" s="412"/>
      <c r="AB52" s="412"/>
      <c r="AC52" s="404"/>
      <c r="AF52" s="404"/>
      <c r="AI52" s="404"/>
      <c r="AL52" s="404"/>
      <c r="AO52" s="404"/>
      <c r="AR52" s="404"/>
      <c r="AU52" s="404"/>
      <c r="AX52" s="404"/>
      <c r="BA52" s="404"/>
      <c r="BD52" s="404"/>
      <c r="BG52" s="404"/>
      <c r="BJ52" s="404"/>
      <c r="BM52" s="404"/>
      <c r="BP52" s="404"/>
      <c r="BS52" s="404"/>
      <c r="BV52" s="404"/>
    </row>
    <row r="53" spans="1:74" s="61" customFormat="1" x14ac:dyDescent="0.2">
      <c r="A53" s="61" t="s">
        <v>131</v>
      </c>
      <c r="B53" s="61" t="s">
        <v>52</v>
      </c>
      <c r="C53" s="672">
        <f>'Red Rock &amp; New Ks'!I21+Stretch!I18</f>
        <v>103000</v>
      </c>
      <c r="D53" s="61">
        <f>'Red Rock &amp; New Ks'!J21</f>
        <v>7.3300970873786411E-2</v>
      </c>
      <c r="E53" s="687">
        <f>'Red Rock &amp; New Ks'!K21+Stretch!K18</f>
        <v>234050</v>
      </c>
      <c r="F53" s="672">
        <f>'Red Rock &amp; New Ks'!L21+Stretch!L18</f>
        <v>103000</v>
      </c>
      <c r="G53" s="61">
        <f>'Red Rock &amp; New Ks'!M21</f>
        <v>7.3300970873786411E-2</v>
      </c>
      <c r="H53" s="687">
        <f>'Red Rock &amp; New Ks'!N21+Stretch!N18</f>
        <v>211400</v>
      </c>
      <c r="I53" s="672">
        <f>'Red Rock &amp; New Ks'!O21+Stretch!O18</f>
        <v>68000</v>
      </c>
      <c r="J53" s="61">
        <f>'Red Rock &amp; New Ks'!P21</f>
        <v>6.1029411764705881E-2</v>
      </c>
      <c r="K53" s="687">
        <f>'Red Rock &amp; New Ks'!Q21+Stretch!Q18</f>
        <v>128650</v>
      </c>
      <c r="L53" s="672">
        <f>'Red Rock &amp; New Ks'!R21+Stretch!R18</f>
        <v>68000</v>
      </c>
      <c r="M53" s="61">
        <f>'Red Rock &amp; New Ks'!S21</f>
        <v>6.1029411764705881E-2</v>
      </c>
      <c r="N53" s="687">
        <f>'Red Rock &amp; New Ks'!T21+Stretch!T18</f>
        <v>124500</v>
      </c>
      <c r="O53" s="672">
        <f>'Red Rock &amp; New Ks'!U21+Stretch!U18</f>
        <v>53000</v>
      </c>
      <c r="P53" s="61">
        <f>'Red Rock &amp; New Ks'!V21</f>
        <v>5.5660377358490561E-2</v>
      </c>
      <c r="Q53" s="687">
        <f>'Red Rock &amp; New Ks'!W21+Stretch!W18</f>
        <v>91450</v>
      </c>
      <c r="R53" s="672">
        <f>'Red Rock &amp; New Ks'!X21+Stretch!X18</f>
        <v>73000</v>
      </c>
      <c r="S53" s="61">
        <f>'Red Rock &amp; New Ks'!Y21</f>
        <v>1.9471689497716896E-2</v>
      </c>
      <c r="T53" s="687">
        <f>'Red Rock &amp; New Ks'!Z21+Stretch!Z18</f>
        <v>42643</v>
      </c>
      <c r="U53" s="672">
        <f>'Red Rock &amp; New Ks'!AA21+Stretch!AA18</f>
        <v>73000</v>
      </c>
      <c r="V53" s="61">
        <f>'Red Rock &amp; New Ks'!AB21</f>
        <v>1.9471939902783918E-2</v>
      </c>
      <c r="W53" s="687">
        <f>'Red Rock &amp; New Ks'!AC21+Stretch!AC18</f>
        <v>44065</v>
      </c>
      <c r="X53" s="672">
        <f>'Red Rock &amp; New Ks'!AD21+Stretch!AD18</f>
        <v>93000</v>
      </c>
      <c r="Y53" s="61">
        <f>'Red Rock &amp; New Ks'!AE21</f>
        <v>1.9596253902185223E-2</v>
      </c>
      <c r="Z53" s="687">
        <f>'Red Rock &amp; New Ks'!AF21+Stretch!AF18</f>
        <v>56527</v>
      </c>
      <c r="AA53" s="672">
        <f>'Red Rock &amp; New Ks'!AG21+Stretch!AG18</f>
        <v>93000</v>
      </c>
      <c r="AB53" s="61">
        <f>'Red Rock &amp; New Ks'!AH21</f>
        <v>1.959605734767025E-2</v>
      </c>
      <c r="AC53" s="687">
        <f>'Red Rock &amp; New Ks'!AI21+Stretch!AI18</f>
        <v>54703</v>
      </c>
      <c r="AD53" s="672">
        <f>'Red Rock &amp; New Ks'!AJ21+Stretch!AJ18</f>
        <v>72286</v>
      </c>
      <c r="AE53" s="61">
        <f>'Red Rock &amp; New Ks'!AK21</f>
        <v>1.7109010534320214E-2</v>
      </c>
      <c r="AF53" s="687">
        <f>'Red Rock &amp; New Ks'!AL21+Stretch!AL18</f>
        <v>38370</v>
      </c>
      <c r="AG53" s="672">
        <f>'Red Rock &amp; New Ks'!AM21+Stretch!AM18</f>
        <v>117286</v>
      </c>
      <c r="AH53" s="61">
        <f>'Red Rock &amp; New Ks'!AN21</f>
        <v>4.1238795195789213E-2</v>
      </c>
      <c r="AI53" s="687">
        <f>'Red Rock &amp; New Ks'!AO21+Stretch!AO18</f>
        <v>145132</v>
      </c>
      <c r="AJ53" s="672">
        <f>'Red Rock &amp; New Ks'!AP21+Stretch!AP18</f>
        <v>153000</v>
      </c>
      <c r="AK53" s="61">
        <f>'Red Rock &amp; New Ks'!AQ21</f>
        <v>5.5888888888888891E-2</v>
      </c>
      <c r="AL53" s="687">
        <f>'Red Rock &amp; New Ks'!AR21+Stretch!AR18</f>
        <v>265112</v>
      </c>
      <c r="AO53" s="404"/>
      <c r="AR53" s="404"/>
      <c r="AU53" s="404"/>
      <c r="AX53" s="404"/>
      <c r="BA53" s="404"/>
      <c r="BD53" s="404"/>
      <c r="BG53" s="404"/>
      <c r="BH53" s="842"/>
      <c r="BI53" s="843"/>
      <c r="BJ53" s="844"/>
      <c r="BK53" s="842"/>
      <c r="BL53" s="843"/>
      <c r="BM53" s="844"/>
      <c r="BN53" s="842"/>
      <c r="BO53" s="843"/>
      <c r="BP53" s="844"/>
      <c r="BQ53" s="842"/>
      <c r="BR53" s="843"/>
      <c r="BS53" s="844"/>
      <c r="BT53" s="842"/>
      <c r="BU53" s="843"/>
      <c r="BV53" s="844"/>
    </row>
    <row r="54" spans="1:74" s="61" customFormat="1" x14ac:dyDescent="0.2">
      <c r="A54" s="61" t="s">
        <v>132</v>
      </c>
      <c r="B54" s="61" t="s">
        <v>52</v>
      </c>
      <c r="C54" s="672">
        <v>0</v>
      </c>
      <c r="D54" s="61">
        <v>0</v>
      </c>
      <c r="E54" s="687">
        <v>0</v>
      </c>
      <c r="F54" s="672">
        <v>0</v>
      </c>
      <c r="G54" s="61">
        <v>0</v>
      </c>
      <c r="H54" s="687">
        <v>0</v>
      </c>
      <c r="I54" s="672">
        <v>0</v>
      </c>
      <c r="J54" s="61">
        <v>0</v>
      </c>
      <c r="K54" s="687">
        <v>0</v>
      </c>
      <c r="L54" s="672">
        <v>0</v>
      </c>
      <c r="M54" s="61">
        <v>0</v>
      </c>
      <c r="N54" s="687">
        <v>0</v>
      </c>
      <c r="O54" s="672">
        <v>0</v>
      </c>
      <c r="P54" s="61">
        <v>0</v>
      </c>
      <c r="Q54" s="687">
        <v>0</v>
      </c>
      <c r="R54" s="672">
        <v>0</v>
      </c>
      <c r="S54" s="61">
        <v>0</v>
      </c>
      <c r="T54" s="687">
        <v>0</v>
      </c>
      <c r="U54" s="672">
        <v>0</v>
      </c>
      <c r="V54" s="61">
        <v>0</v>
      </c>
      <c r="W54" s="687">
        <v>0</v>
      </c>
      <c r="X54" s="672">
        <v>0</v>
      </c>
      <c r="Y54" s="61">
        <v>0</v>
      </c>
      <c r="Z54" s="687">
        <v>0</v>
      </c>
      <c r="AA54" s="672">
        <v>0</v>
      </c>
      <c r="AB54" s="61">
        <v>0</v>
      </c>
      <c r="AC54" s="687">
        <v>0</v>
      </c>
      <c r="AD54" s="672">
        <v>0</v>
      </c>
      <c r="AE54" s="61">
        <v>0</v>
      </c>
      <c r="AF54" s="687">
        <v>0</v>
      </c>
      <c r="AG54" s="672">
        <v>0</v>
      </c>
      <c r="AH54" s="61">
        <v>0</v>
      </c>
      <c r="AI54" s="687">
        <v>0</v>
      </c>
      <c r="AJ54" s="672">
        <v>0</v>
      </c>
      <c r="AK54" s="61">
        <v>0</v>
      </c>
      <c r="AL54" s="687">
        <v>0</v>
      </c>
      <c r="AO54" s="404"/>
      <c r="AR54" s="404"/>
      <c r="AU54" s="404"/>
      <c r="AX54" s="404"/>
      <c r="BA54" s="404"/>
      <c r="BD54" s="404"/>
      <c r="BG54" s="404"/>
      <c r="BH54" s="842"/>
      <c r="BI54" s="843"/>
      <c r="BJ54" s="844"/>
      <c r="BK54" s="842"/>
      <c r="BL54" s="843"/>
      <c r="BM54" s="844"/>
      <c r="BN54" s="842"/>
      <c r="BO54" s="843"/>
      <c r="BP54" s="844"/>
      <c r="BQ54" s="842"/>
      <c r="BR54" s="843"/>
      <c r="BS54" s="844"/>
      <c r="BT54" s="842"/>
      <c r="BU54" s="843"/>
      <c r="BV54" s="844"/>
    </row>
    <row r="55" spans="1:74" s="61" customFormat="1" x14ac:dyDescent="0.2">
      <c r="A55" s="61" t="s">
        <v>133</v>
      </c>
      <c r="B55" s="61" t="s">
        <v>52</v>
      </c>
      <c r="C55" s="672">
        <v>0</v>
      </c>
      <c r="D55" s="61">
        <v>0</v>
      </c>
      <c r="E55" s="687">
        <v>0</v>
      </c>
      <c r="F55" s="672">
        <v>0</v>
      </c>
      <c r="G55" s="61">
        <v>0</v>
      </c>
      <c r="H55" s="687">
        <v>0</v>
      </c>
      <c r="I55" s="672">
        <v>0</v>
      </c>
      <c r="J55" s="61">
        <v>0</v>
      </c>
      <c r="K55" s="687">
        <v>0</v>
      </c>
      <c r="L55" s="672">
        <v>0</v>
      </c>
      <c r="M55" s="61">
        <v>0</v>
      </c>
      <c r="N55" s="687">
        <v>0</v>
      </c>
      <c r="O55" s="672">
        <v>0</v>
      </c>
      <c r="P55" s="61">
        <v>0</v>
      </c>
      <c r="Q55" s="687">
        <v>0</v>
      </c>
      <c r="R55" s="672">
        <v>0</v>
      </c>
      <c r="S55" s="61">
        <v>0</v>
      </c>
      <c r="T55" s="687">
        <v>0</v>
      </c>
      <c r="U55" s="672">
        <v>0</v>
      </c>
      <c r="V55" s="61">
        <v>0</v>
      </c>
      <c r="W55" s="687">
        <v>0</v>
      </c>
      <c r="X55" s="672">
        <v>0</v>
      </c>
      <c r="Y55" s="61">
        <v>0</v>
      </c>
      <c r="Z55" s="687">
        <v>0</v>
      </c>
      <c r="AA55" s="672">
        <v>0</v>
      </c>
      <c r="AB55" s="61">
        <v>0</v>
      </c>
      <c r="AC55" s="687">
        <v>0</v>
      </c>
      <c r="AD55" s="672">
        <v>0</v>
      </c>
      <c r="AE55" s="61">
        <v>0</v>
      </c>
      <c r="AF55" s="687">
        <v>0</v>
      </c>
      <c r="AG55" s="672">
        <v>0</v>
      </c>
      <c r="AH55" s="61">
        <v>0</v>
      </c>
      <c r="AI55" s="687">
        <v>0</v>
      </c>
      <c r="AJ55" s="672">
        <v>0</v>
      </c>
      <c r="AK55" s="61">
        <v>0</v>
      </c>
      <c r="AL55" s="687">
        <v>0</v>
      </c>
      <c r="AO55" s="404"/>
      <c r="AR55" s="404"/>
      <c r="AU55" s="404"/>
      <c r="AX55" s="404"/>
      <c r="BA55" s="404"/>
      <c r="BD55" s="404"/>
      <c r="BG55" s="404"/>
      <c r="BH55" s="842"/>
      <c r="BI55" s="843"/>
      <c r="BJ55" s="844"/>
      <c r="BK55" s="842"/>
      <c r="BL55" s="843"/>
      <c r="BM55" s="844"/>
      <c r="BN55" s="842"/>
      <c r="BO55" s="843"/>
      <c r="BP55" s="844"/>
      <c r="BQ55" s="842"/>
      <c r="BR55" s="843"/>
      <c r="BS55" s="844"/>
      <c r="BT55" s="842"/>
      <c r="BU55" s="843"/>
      <c r="BV55" s="844"/>
    </row>
    <row r="56" spans="1:74" s="61" customFormat="1" x14ac:dyDescent="0.2">
      <c r="A56" s="61" t="s">
        <v>134</v>
      </c>
      <c r="B56" s="61" t="s">
        <v>52</v>
      </c>
      <c r="C56" s="672">
        <v>0</v>
      </c>
      <c r="D56" s="61">
        <v>0</v>
      </c>
      <c r="E56" s="687">
        <v>0</v>
      </c>
      <c r="F56" s="672">
        <v>0</v>
      </c>
      <c r="G56" s="61">
        <v>0</v>
      </c>
      <c r="H56" s="687">
        <v>0</v>
      </c>
      <c r="I56" s="672">
        <v>0</v>
      </c>
      <c r="J56" s="61">
        <v>0</v>
      </c>
      <c r="K56" s="687">
        <v>0</v>
      </c>
      <c r="L56" s="672">
        <v>0</v>
      </c>
      <c r="M56" s="61">
        <v>0</v>
      </c>
      <c r="N56" s="687">
        <v>0</v>
      </c>
      <c r="O56" s="672">
        <v>0</v>
      </c>
      <c r="P56" s="61">
        <v>0</v>
      </c>
      <c r="Q56" s="687">
        <v>0</v>
      </c>
      <c r="R56" s="672">
        <v>0</v>
      </c>
      <c r="S56" s="61">
        <v>0</v>
      </c>
      <c r="T56" s="687">
        <v>0</v>
      </c>
      <c r="U56" s="672">
        <v>0</v>
      </c>
      <c r="V56" s="61">
        <v>0</v>
      </c>
      <c r="W56" s="687">
        <v>0</v>
      </c>
      <c r="X56" s="672">
        <v>0</v>
      </c>
      <c r="Y56" s="61">
        <v>0</v>
      </c>
      <c r="Z56" s="687">
        <v>0</v>
      </c>
      <c r="AA56" s="672">
        <v>0</v>
      </c>
      <c r="AB56" s="61">
        <v>0</v>
      </c>
      <c r="AC56" s="687">
        <v>0</v>
      </c>
      <c r="AD56" s="672">
        <v>0</v>
      </c>
      <c r="AE56" s="61">
        <v>0</v>
      </c>
      <c r="AF56" s="687">
        <v>0</v>
      </c>
      <c r="AG56" s="672">
        <v>0</v>
      </c>
      <c r="AH56" s="61">
        <v>0</v>
      </c>
      <c r="AI56" s="687">
        <v>0</v>
      </c>
      <c r="AJ56" s="672">
        <v>0</v>
      </c>
      <c r="AK56" s="61">
        <v>0</v>
      </c>
      <c r="AL56" s="687">
        <v>0</v>
      </c>
      <c r="AO56" s="404"/>
      <c r="AR56" s="404"/>
      <c r="AU56" s="404"/>
      <c r="AX56" s="404"/>
      <c r="BA56" s="404"/>
      <c r="BD56" s="404"/>
      <c r="BG56" s="404"/>
      <c r="BH56" s="842"/>
      <c r="BI56" s="843"/>
      <c r="BJ56" s="844"/>
      <c r="BK56" s="842"/>
      <c r="BL56" s="843"/>
      <c r="BM56" s="844"/>
      <c r="BN56" s="842"/>
      <c r="BO56" s="843"/>
      <c r="BP56" s="844"/>
      <c r="BQ56" s="842"/>
      <c r="BR56" s="843"/>
      <c r="BS56" s="844"/>
      <c r="BT56" s="842"/>
      <c r="BU56" s="843"/>
      <c r="BV56" s="844"/>
    </row>
    <row r="57" spans="1:74" s="61" customFormat="1" x14ac:dyDescent="0.2">
      <c r="A57" s="61" t="s">
        <v>135</v>
      </c>
      <c r="B57" s="61" t="s">
        <v>52</v>
      </c>
      <c r="C57" s="672">
        <v>0</v>
      </c>
      <c r="D57" s="61">
        <v>0</v>
      </c>
      <c r="E57" s="687">
        <v>0</v>
      </c>
      <c r="F57" s="672">
        <v>0</v>
      </c>
      <c r="G57" s="61">
        <v>0</v>
      </c>
      <c r="H57" s="687">
        <v>0</v>
      </c>
      <c r="I57" s="672">
        <v>0</v>
      </c>
      <c r="J57" s="61">
        <v>0</v>
      </c>
      <c r="K57" s="687">
        <v>0</v>
      </c>
      <c r="L57" s="672">
        <v>0</v>
      </c>
      <c r="M57" s="61">
        <v>0</v>
      </c>
      <c r="N57" s="687">
        <v>0</v>
      </c>
      <c r="O57" s="672">
        <v>0</v>
      </c>
      <c r="P57" s="61">
        <v>0</v>
      </c>
      <c r="Q57" s="687">
        <v>0</v>
      </c>
      <c r="R57" s="672">
        <v>0</v>
      </c>
      <c r="S57" s="61">
        <v>0</v>
      </c>
      <c r="T57" s="687">
        <v>0</v>
      </c>
      <c r="U57" s="672">
        <v>0</v>
      </c>
      <c r="V57" s="61">
        <v>0</v>
      </c>
      <c r="W57" s="687">
        <v>0</v>
      </c>
      <c r="X57" s="672">
        <v>0</v>
      </c>
      <c r="Y57" s="61">
        <v>0</v>
      </c>
      <c r="Z57" s="687">
        <v>0</v>
      </c>
      <c r="AA57" s="672">
        <v>0</v>
      </c>
      <c r="AB57" s="61">
        <v>0</v>
      </c>
      <c r="AC57" s="687">
        <v>0</v>
      </c>
      <c r="AD57" s="672">
        <v>0</v>
      </c>
      <c r="AE57" s="61">
        <v>0</v>
      </c>
      <c r="AF57" s="687">
        <v>0</v>
      </c>
      <c r="AG57" s="672">
        <v>0</v>
      </c>
      <c r="AH57" s="61">
        <v>0</v>
      </c>
      <c r="AI57" s="687">
        <v>0</v>
      </c>
      <c r="AJ57" s="672">
        <v>0</v>
      </c>
      <c r="AK57" s="61">
        <v>0</v>
      </c>
      <c r="AL57" s="687">
        <v>0</v>
      </c>
      <c r="AO57" s="404"/>
      <c r="AR57" s="404"/>
      <c r="AU57" s="404"/>
      <c r="AX57" s="404"/>
      <c r="BA57" s="404"/>
      <c r="BD57" s="404"/>
      <c r="BG57" s="404"/>
      <c r="BH57" s="842"/>
      <c r="BI57" s="843"/>
      <c r="BJ57" s="844"/>
      <c r="BK57" s="842"/>
      <c r="BL57" s="843"/>
      <c r="BM57" s="844"/>
      <c r="BN57" s="842"/>
      <c r="BO57" s="843"/>
      <c r="BP57" s="844"/>
      <c r="BQ57" s="842"/>
      <c r="BR57" s="843"/>
      <c r="BS57" s="844"/>
      <c r="BT57" s="842"/>
      <c r="BU57" s="843"/>
      <c r="BV57" s="844"/>
    </row>
    <row r="58" spans="1:74" s="61" customFormat="1" x14ac:dyDescent="0.2">
      <c r="A58" s="373" t="s">
        <v>147</v>
      </c>
      <c r="C58" s="673">
        <f>SUM(C53:C57)</f>
        <v>103000</v>
      </c>
      <c r="E58" s="686">
        <f>SUM(E53:E57)</f>
        <v>234050</v>
      </c>
      <c r="F58" s="673">
        <f>SUM(F53:F57)</f>
        <v>103000</v>
      </c>
      <c r="H58" s="686">
        <f>SUM(H53:H57)</f>
        <v>211400</v>
      </c>
      <c r="I58" s="673">
        <f>SUM(I53:I57)</f>
        <v>68000</v>
      </c>
      <c r="K58" s="686">
        <f>SUM(K53:K57)</f>
        <v>128650</v>
      </c>
      <c r="L58" s="673">
        <f>SUM(L53:L57)</f>
        <v>68000</v>
      </c>
      <c r="N58" s="686">
        <f>SUM(N53:N57)</f>
        <v>124500</v>
      </c>
      <c r="O58" s="673">
        <f>SUM(O53:O57)</f>
        <v>53000</v>
      </c>
      <c r="Q58" s="686">
        <f>SUM(Q53:Q57)</f>
        <v>91450</v>
      </c>
      <c r="R58" s="673">
        <f>SUM(R53:R57)</f>
        <v>73000</v>
      </c>
      <c r="T58" s="686">
        <f>SUM(T53:T57)</f>
        <v>42643</v>
      </c>
      <c r="U58" s="673">
        <f>SUM(U53:U57)</f>
        <v>73000</v>
      </c>
      <c r="W58" s="686">
        <f>SUM(W53:W57)</f>
        <v>44065</v>
      </c>
      <c r="X58" s="673">
        <f>SUM(X53:X57)</f>
        <v>93000</v>
      </c>
      <c r="Z58" s="686">
        <f>SUM(Z53:Z57)</f>
        <v>56527</v>
      </c>
      <c r="AA58" s="673">
        <f>SUM(AA53:AA57)</f>
        <v>93000</v>
      </c>
      <c r="AC58" s="686">
        <f>SUM(AC53:AC57)</f>
        <v>54703</v>
      </c>
      <c r="AD58" s="673">
        <f>SUM(AD53:AD57)</f>
        <v>72286</v>
      </c>
      <c r="AF58" s="686">
        <f>SUM(AF53:AF57)</f>
        <v>38370</v>
      </c>
      <c r="AG58" s="673">
        <f>SUM(AG53:AG57)</f>
        <v>117286</v>
      </c>
      <c r="AI58" s="686">
        <f>SUM(AI53:AI57)</f>
        <v>145132</v>
      </c>
      <c r="AJ58" s="673">
        <f>SUM(AJ53:AJ57)</f>
        <v>153000</v>
      </c>
      <c r="AL58" s="686">
        <f>SUM(AL53:AL57)</f>
        <v>265112</v>
      </c>
      <c r="AO58" s="404"/>
      <c r="AR58" s="404"/>
      <c r="AU58" s="404"/>
      <c r="AX58" s="404"/>
      <c r="BA58" s="404"/>
      <c r="BD58" s="404"/>
      <c r="BG58" s="404"/>
      <c r="BH58" s="845"/>
      <c r="BI58" s="843"/>
      <c r="BJ58" s="846"/>
      <c r="BK58" s="845"/>
      <c r="BL58" s="843"/>
      <c r="BM58" s="846"/>
      <c r="BN58" s="845"/>
      <c r="BO58" s="843"/>
      <c r="BP58" s="846"/>
      <c r="BQ58" s="845"/>
      <c r="BR58" s="843"/>
      <c r="BS58" s="846"/>
      <c r="BT58" s="845"/>
      <c r="BU58" s="843"/>
      <c r="BV58" s="846"/>
    </row>
    <row r="59" spans="1:74" s="61" customFormat="1" x14ac:dyDescent="0.2">
      <c r="A59" s="61" t="s">
        <v>216</v>
      </c>
      <c r="B59" s="61" t="s">
        <v>52</v>
      </c>
      <c r="C59" s="672">
        <f>'Red Rock &amp; New Ks'!I28+Stretch!I24</f>
        <v>22000</v>
      </c>
      <c r="D59" s="61">
        <f>'Red Rock &amp; New Ks'!J28</f>
        <v>0.105</v>
      </c>
      <c r="E59" s="687">
        <f>'Red Rock &amp; New Ks'!K28+Stretch!K24</f>
        <v>71610</v>
      </c>
      <c r="F59" s="672">
        <f>'Red Rock &amp; New Ks'!L28+Stretch!L24</f>
        <v>22000</v>
      </c>
      <c r="G59" s="61">
        <f>'Red Rock &amp; New Ks'!M28</f>
        <v>0.105</v>
      </c>
      <c r="H59" s="687">
        <f>'Red Rock &amp; New Ks'!N28+Stretch!N24</f>
        <v>64680</v>
      </c>
      <c r="I59" s="672">
        <f>'Red Rock &amp; New Ks'!O28+Stretch!O24</f>
        <v>22000</v>
      </c>
      <c r="J59" s="61">
        <f>'Red Rock &amp; New Ks'!P28</f>
        <v>0.105</v>
      </c>
      <c r="K59" s="687">
        <f>'Red Rock &amp; New Ks'!Q28+Stretch!Q24</f>
        <v>71610</v>
      </c>
      <c r="L59" s="672">
        <f>'Red Rock &amp; New Ks'!R28+Stretch!R24</f>
        <v>22000</v>
      </c>
      <c r="M59" s="61">
        <f>'Red Rock &amp; New Ks'!S28</f>
        <v>0.105</v>
      </c>
      <c r="N59" s="687">
        <f>'Red Rock &amp; New Ks'!T28+Stretch!T24</f>
        <v>69300</v>
      </c>
      <c r="O59" s="672">
        <f>'Red Rock &amp; New Ks'!U28+Stretch!U24</f>
        <v>22000</v>
      </c>
      <c r="P59" s="61">
        <f>'Red Rock &amp; New Ks'!V28</f>
        <v>0.105</v>
      </c>
      <c r="Q59" s="687">
        <f>'Red Rock &amp; New Ks'!W28+Stretch!W24</f>
        <v>71610</v>
      </c>
      <c r="R59" s="672">
        <f>'Red Rock &amp; New Ks'!X28+Stretch!X24</f>
        <v>22000</v>
      </c>
      <c r="S59" s="61">
        <f>'Red Rock &amp; New Ks'!Y28</f>
        <v>0.105</v>
      </c>
      <c r="T59" s="687">
        <f>'Red Rock &amp; New Ks'!Z28+Stretch!Z24</f>
        <v>69300</v>
      </c>
      <c r="U59" s="672">
        <f>'Red Rock &amp; New Ks'!AA28+Stretch!AA24</f>
        <v>51000</v>
      </c>
      <c r="V59" s="61">
        <f>'Red Rock &amp; New Ks'!AB28</f>
        <v>6.803921568627451E-2</v>
      </c>
      <c r="W59" s="687">
        <f>'Red Rock &amp; New Ks'!AC28+Stretch!AC24</f>
        <v>143530</v>
      </c>
      <c r="X59" s="672">
        <f>'Red Rock &amp; New Ks'!AD28+Stretch!AD24</f>
        <v>51000</v>
      </c>
      <c r="Y59" s="61">
        <f>'Red Rock &amp; New Ks'!AE28</f>
        <v>6.803921568627451E-2</v>
      </c>
      <c r="Z59" s="687">
        <f>'Red Rock &amp; New Ks'!AF28+Stretch!AF24</f>
        <v>143530</v>
      </c>
      <c r="AA59" s="672">
        <f>'Red Rock &amp; New Ks'!AG28+Stretch!AG24</f>
        <v>51000</v>
      </c>
      <c r="AB59" s="61">
        <f>'Red Rock &amp; New Ks'!AH28</f>
        <v>6.803921568627451E-2</v>
      </c>
      <c r="AC59" s="687">
        <f>'Red Rock &amp; New Ks'!AI28+Stretch!AI24</f>
        <v>138900</v>
      </c>
      <c r="AD59" s="672">
        <f>'Red Rock &amp; New Ks'!AJ28+Stretch!AJ24</f>
        <v>22000</v>
      </c>
      <c r="AE59" s="61">
        <f>'Red Rock &amp; New Ks'!AK28</f>
        <v>0.105</v>
      </c>
      <c r="AF59" s="687">
        <f>'Red Rock &amp; New Ks'!AL28+Stretch!AL24</f>
        <v>71610</v>
      </c>
      <c r="AG59" s="672">
        <f>'Red Rock &amp; New Ks'!AM28+Stretch!AM24</f>
        <v>22000</v>
      </c>
      <c r="AH59" s="61">
        <f>'Red Rock &amp; New Ks'!AN28</f>
        <v>0.105</v>
      </c>
      <c r="AI59" s="687">
        <f>'Red Rock &amp; New Ks'!AO28+Stretch!AO24</f>
        <v>69300</v>
      </c>
      <c r="AJ59" s="672">
        <f>'Red Rock &amp; New Ks'!AP28+Stretch!AP24</f>
        <v>22000</v>
      </c>
      <c r="AK59" s="61">
        <f>'Red Rock &amp; New Ks'!AQ28</f>
        <v>0.105</v>
      </c>
      <c r="AL59" s="687">
        <f>'Red Rock &amp; New Ks'!AR28+Stretch!AR24</f>
        <v>71610</v>
      </c>
      <c r="AO59" s="404"/>
      <c r="AR59" s="404"/>
      <c r="AU59" s="404"/>
      <c r="AX59" s="404"/>
      <c r="BA59" s="404"/>
      <c r="BD59" s="404"/>
      <c r="BG59" s="404"/>
      <c r="BH59" s="842"/>
      <c r="BI59" s="843"/>
      <c r="BJ59" s="844"/>
      <c r="BK59" s="842"/>
      <c r="BL59" s="843"/>
      <c r="BM59" s="844"/>
      <c r="BN59" s="842"/>
      <c r="BO59" s="843"/>
      <c r="BP59" s="844"/>
      <c r="BQ59" s="842"/>
      <c r="BR59" s="843"/>
      <c r="BS59" s="844"/>
      <c r="BT59" s="842"/>
      <c r="BU59" s="843"/>
      <c r="BV59" s="844"/>
    </row>
    <row r="60" spans="1:74" s="61" customFormat="1" x14ac:dyDescent="0.2">
      <c r="A60" s="373" t="s">
        <v>146</v>
      </c>
      <c r="C60" s="673">
        <f>SUM(C59:C59)</f>
        <v>22000</v>
      </c>
      <c r="E60" s="686">
        <f>SUM(E59:E59)</f>
        <v>71610</v>
      </c>
      <c r="F60" s="673">
        <f>SUM(F59:F59)</f>
        <v>22000</v>
      </c>
      <c r="H60" s="686">
        <f>SUM(H59:H59)</f>
        <v>64680</v>
      </c>
      <c r="I60" s="673">
        <f>SUM(I59:I59)</f>
        <v>22000</v>
      </c>
      <c r="K60" s="686">
        <f>SUM(K59:K59)</f>
        <v>71610</v>
      </c>
      <c r="L60" s="673">
        <f>SUM(L59:L59)</f>
        <v>22000</v>
      </c>
      <c r="N60" s="686">
        <f>SUM(N59:N59)</f>
        <v>69300</v>
      </c>
      <c r="O60" s="673">
        <f>SUM(O59:O59)</f>
        <v>22000</v>
      </c>
      <c r="Q60" s="686">
        <f>SUM(Q59:Q59)</f>
        <v>71610</v>
      </c>
      <c r="R60" s="673">
        <f>SUM(R59:R59)</f>
        <v>22000</v>
      </c>
      <c r="T60" s="686">
        <f>SUM(T59:T59)</f>
        <v>69300</v>
      </c>
      <c r="U60" s="673">
        <f>SUM(U59:U59)</f>
        <v>51000</v>
      </c>
      <c r="W60" s="686">
        <f>SUM(W59:W59)</f>
        <v>143530</v>
      </c>
      <c r="X60" s="673">
        <f>SUM(X59:X59)</f>
        <v>51000</v>
      </c>
      <c r="Z60" s="686">
        <f>SUM(Z59:Z59)</f>
        <v>143530</v>
      </c>
      <c r="AA60" s="673">
        <f>SUM(AA59:AA59)</f>
        <v>51000</v>
      </c>
      <c r="AC60" s="686">
        <f>SUM(AC59:AC59)</f>
        <v>138900</v>
      </c>
      <c r="AD60" s="673">
        <f>SUM(AD59:AD59)</f>
        <v>22000</v>
      </c>
      <c r="AF60" s="686">
        <f>SUM(AF59:AF59)</f>
        <v>71610</v>
      </c>
      <c r="AG60" s="673">
        <f>SUM(AG59:AG59)</f>
        <v>22000</v>
      </c>
      <c r="AI60" s="686">
        <f>SUM(AI59:AI59)</f>
        <v>69300</v>
      </c>
      <c r="AJ60" s="673">
        <f>SUM(AJ59:AJ59)</f>
        <v>22000</v>
      </c>
      <c r="AL60" s="686">
        <f>SUM(AL59:AL59)</f>
        <v>71610</v>
      </c>
      <c r="AO60" s="404"/>
      <c r="AR60" s="404"/>
      <c r="AU60" s="404"/>
      <c r="AX60" s="404"/>
      <c r="BA60" s="404"/>
      <c r="BD60" s="404"/>
      <c r="BG60" s="404"/>
      <c r="BH60" s="845"/>
      <c r="BI60" s="843"/>
      <c r="BJ60" s="846"/>
      <c r="BK60" s="845"/>
      <c r="BL60" s="843"/>
      <c r="BM60" s="846"/>
      <c r="BN60" s="845"/>
      <c r="BO60" s="843"/>
      <c r="BP60" s="846"/>
      <c r="BQ60" s="845"/>
      <c r="BR60" s="843"/>
      <c r="BS60" s="846"/>
      <c r="BT60" s="845"/>
      <c r="BU60" s="843"/>
      <c r="BV60" s="846"/>
    </row>
    <row r="61" spans="1:74" s="61" customFormat="1" x14ac:dyDescent="0.2">
      <c r="A61" s="61" t="s">
        <v>83</v>
      </c>
      <c r="B61" s="61" t="s">
        <v>52</v>
      </c>
      <c r="C61" s="672">
        <f>'Red Rock &amp; New Ks'!I34+Stretch!I30</f>
        <v>30000</v>
      </c>
      <c r="D61" s="672">
        <f>'Red Rock &amp; New Ks'!J34</f>
        <v>-4.6999999999999986E-2</v>
      </c>
      <c r="E61" s="995">
        <f>'Red Rock &amp; New Ks'!K34+Stretch!K30</f>
        <v>55799.999999999985</v>
      </c>
      <c r="F61" s="672">
        <f>'Red Rock &amp; New Ks'!L34+Stretch!L30</f>
        <v>30000</v>
      </c>
      <c r="G61" s="672">
        <f>'Red Rock &amp; New Ks'!M34</f>
        <v>-4.6999999999999986E-2</v>
      </c>
      <c r="H61" s="995">
        <f>'Red Rock &amp; New Ks'!N34+Stretch!N30</f>
        <v>50399.999999999985</v>
      </c>
      <c r="I61" s="672">
        <f>'Red Rock &amp; New Ks'!O34+Stretch!O30</f>
        <v>30000</v>
      </c>
      <c r="J61" s="672">
        <f>'Red Rock &amp; New Ks'!P34</f>
        <v>-4.6999999999999986E-2</v>
      </c>
      <c r="K61" s="995">
        <f>'Red Rock &amp; New Ks'!Q34+Stretch!Q30</f>
        <v>55799.999999999985</v>
      </c>
      <c r="L61" s="672">
        <f>'Red Rock &amp; New Ks'!R34+Stretch!R30</f>
        <v>30000</v>
      </c>
      <c r="M61" s="672">
        <f>'Red Rock &amp; New Ks'!S34</f>
        <v>-4.1999999999999996E-2</v>
      </c>
      <c r="N61" s="995">
        <f>'Red Rock &amp; New Ks'!T34+Stretch!T30</f>
        <v>53999.999999999985</v>
      </c>
      <c r="O61" s="672">
        <f>'Red Rock &amp; New Ks'!U34+Stretch!U30</f>
        <v>30000</v>
      </c>
      <c r="P61" s="672">
        <f>'Red Rock &amp; New Ks'!V34</f>
        <v>0.02</v>
      </c>
      <c r="Q61" s="995">
        <f>'Red Rock &amp; New Ks'!W34+Stretch!W30</f>
        <v>55799.999999999985</v>
      </c>
      <c r="R61" s="672">
        <f>'Red Rock &amp; New Ks'!X34+Stretch!X30</f>
        <v>30000</v>
      </c>
      <c r="S61" s="672">
        <f>'Red Rock &amp; New Ks'!Y34</f>
        <v>0.02</v>
      </c>
      <c r="T61" s="995">
        <f>'Red Rock &amp; New Ks'!Z34+Stretch!Z30</f>
        <v>53999.999999999985</v>
      </c>
      <c r="U61" s="672">
        <f>'Red Rock &amp; New Ks'!AA34+Stretch!AA30</f>
        <v>30000</v>
      </c>
      <c r="V61" s="672">
        <f>'Red Rock &amp; New Ks'!AB34</f>
        <v>0.02</v>
      </c>
      <c r="W61" s="995">
        <f>'Red Rock &amp; New Ks'!AC34+Stretch!AC30</f>
        <v>55799.999999999985</v>
      </c>
      <c r="X61" s="672">
        <f>'Red Rock &amp; New Ks'!AD34+Stretch!AD30</f>
        <v>30000</v>
      </c>
      <c r="Y61" s="672">
        <f>'Red Rock &amp; New Ks'!AE34</f>
        <v>0.02</v>
      </c>
      <c r="Z61" s="995">
        <f>'Red Rock &amp; New Ks'!AF34+Stretch!AF30</f>
        <v>55799.999999999985</v>
      </c>
      <c r="AA61" s="672">
        <f>'Red Rock &amp; New Ks'!AG34+Stretch!AG30</f>
        <v>30000</v>
      </c>
      <c r="AB61" s="672">
        <f>'Red Rock &amp; New Ks'!AH34</f>
        <v>0.02</v>
      </c>
      <c r="AC61" s="995">
        <f>'Red Rock &amp; New Ks'!AI34+Stretch!AI30</f>
        <v>53999.999999999985</v>
      </c>
      <c r="AD61" s="672">
        <f>'Red Rock &amp; New Ks'!AJ34+Stretch!AJ30</f>
        <v>30000</v>
      </c>
      <c r="AE61" s="672">
        <f>'Red Rock &amp; New Ks'!AK34</f>
        <v>0.02</v>
      </c>
      <c r="AF61" s="995">
        <f>'Red Rock &amp; New Ks'!AL34+Stretch!AL30</f>
        <v>55799.999999999985</v>
      </c>
      <c r="AG61" s="672">
        <f>'Red Rock &amp; New Ks'!AM34+Stretch!AM30</f>
        <v>30000</v>
      </c>
      <c r="AH61" s="672">
        <f>'Red Rock &amp; New Ks'!AN34</f>
        <v>-4.6999999999999986E-2</v>
      </c>
      <c r="AI61" s="995">
        <f>'Red Rock &amp; New Ks'!AO34+Stretch!AO30</f>
        <v>53999.999999999985</v>
      </c>
      <c r="AJ61" s="672">
        <f>'Red Rock &amp; New Ks'!AP34+Stretch!AP30</f>
        <v>30000</v>
      </c>
      <c r="AK61" s="672">
        <f>'Red Rock &amp; New Ks'!AQ34</f>
        <v>-4.6999999999999986E-2</v>
      </c>
      <c r="AL61" s="995">
        <f>'Red Rock &amp; New Ks'!AR34+Stretch!AR30</f>
        <v>55799.999999999985</v>
      </c>
      <c r="AO61" s="404"/>
      <c r="AR61" s="404"/>
      <c r="AU61" s="404"/>
      <c r="AX61" s="404"/>
      <c r="BA61" s="404"/>
      <c r="BD61" s="404"/>
      <c r="BG61" s="404"/>
      <c r="BH61" s="842"/>
      <c r="BI61" s="843"/>
      <c r="BJ61" s="844"/>
      <c r="BK61" s="842"/>
      <c r="BL61" s="843"/>
      <c r="BM61" s="844"/>
      <c r="BN61" s="842"/>
      <c r="BO61" s="843"/>
      <c r="BP61" s="844"/>
      <c r="BQ61" s="842"/>
      <c r="BR61" s="843"/>
      <c r="BS61" s="844"/>
      <c r="BT61" s="842"/>
      <c r="BU61" s="843"/>
      <c r="BV61" s="844"/>
    </row>
    <row r="62" spans="1:74" s="61" customFormat="1" x14ac:dyDescent="0.2">
      <c r="A62" s="373" t="s">
        <v>145</v>
      </c>
      <c r="C62" s="673">
        <f>SUM(C61:C61)</f>
        <v>30000</v>
      </c>
      <c r="E62" s="686">
        <f>SUM(E61:E61)</f>
        <v>55799.999999999985</v>
      </c>
      <c r="F62" s="673">
        <f>SUM(F61:F61)</f>
        <v>30000</v>
      </c>
      <c r="H62" s="686">
        <f>SUM(H61:H61)</f>
        <v>50399.999999999985</v>
      </c>
      <c r="I62" s="673">
        <f>SUM(I61:I61)</f>
        <v>30000</v>
      </c>
      <c r="K62" s="686">
        <f>SUM(K61:K61)</f>
        <v>55799.999999999985</v>
      </c>
      <c r="L62" s="673">
        <f>SUM(L61:L61)</f>
        <v>30000</v>
      </c>
      <c r="N62" s="686">
        <f>SUM(N61:N61)</f>
        <v>53999.999999999985</v>
      </c>
      <c r="O62" s="673">
        <f>SUM(O61:O61)</f>
        <v>30000</v>
      </c>
      <c r="Q62" s="686">
        <f>SUM(Q61:Q61)</f>
        <v>55799.999999999985</v>
      </c>
      <c r="R62" s="673">
        <f>SUM(R61:R61)</f>
        <v>30000</v>
      </c>
      <c r="T62" s="686">
        <f>SUM(T61:T61)</f>
        <v>53999.999999999985</v>
      </c>
      <c r="U62" s="673">
        <f>SUM(U61:U61)</f>
        <v>30000</v>
      </c>
      <c r="W62" s="686">
        <f>SUM(W61:W61)</f>
        <v>55799.999999999985</v>
      </c>
      <c r="X62" s="673">
        <f>SUM(X61:X61)</f>
        <v>30000</v>
      </c>
      <c r="Z62" s="686">
        <f>SUM(Z61:Z61)</f>
        <v>55799.999999999985</v>
      </c>
      <c r="AA62" s="673">
        <f>SUM(AA61:AA61)</f>
        <v>30000</v>
      </c>
      <c r="AC62" s="686">
        <f>SUM(AC61:AC61)</f>
        <v>53999.999999999985</v>
      </c>
      <c r="AD62" s="673">
        <f>SUM(AD61:AD61)</f>
        <v>30000</v>
      </c>
      <c r="AF62" s="686">
        <f>SUM(AF61:AF61)</f>
        <v>55799.999999999985</v>
      </c>
      <c r="AG62" s="673">
        <f>SUM(AG61:AG61)</f>
        <v>30000</v>
      </c>
      <c r="AI62" s="686">
        <f>SUM(AI61:AI61)</f>
        <v>53999.999999999985</v>
      </c>
      <c r="AJ62" s="673">
        <f>SUM(AJ61:AJ61)</f>
        <v>30000</v>
      </c>
      <c r="AL62" s="686">
        <f>SUM(AL61:AL61)</f>
        <v>55799.999999999985</v>
      </c>
      <c r="AO62" s="404"/>
      <c r="AR62" s="404"/>
      <c r="AU62" s="404"/>
      <c r="AX62" s="404"/>
      <c r="BA62" s="404"/>
      <c r="BD62" s="404"/>
      <c r="BG62" s="404"/>
      <c r="BH62" s="845"/>
      <c r="BI62" s="843"/>
      <c r="BJ62" s="846"/>
      <c r="BK62" s="845"/>
      <c r="BL62" s="843"/>
      <c r="BM62" s="846"/>
      <c r="BN62" s="845"/>
      <c r="BO62" s="843"/>
      <c r="BP62" s="846"/>
      <c r="BQ62" s="845"/>
      <c r="BR62" s="843"/>
      <c r="BS62" s="846"/>
      <c r="BT62" s="845"/>
      <c r="BU62" s="843"/>
      <c r="BV62" s="846"/>
    </row>
    <row r="63" spans="1:74" s="61" customFormat="1" x14ac:dyDescent="0.2">
      <c r="A63" s="61" t="s">
        <v>136</v>
      </c>
      <c r="B63" s="61" t="s">
        <v>52</v>
      </c>
      <c r="C63" s="672">
        <v>0</v>
      </c>
      <c r="D63" s="61">
        <v>0</v>
      </c>
      <c r="E63" s="687">
        <v>0</v>
      </c>
      <c r="F63" s="672">
        <v>0</v>
      </c>
      <c r="G63" s="61">
        <v>0</v>
      </c>
      <c r="H63" s="687">
        <v>0</v>
      </c>
      <c r="I63" s="672">
        <v>0</v>
      </c>
      <c r="J63" s="61">
        <v>0</v>
      </c>
      <c r="K63" s="687">
        <v>0</v>
      </c>
      <c r="L63" s="672">
        <v>0</v>
      </c>
      <c r="M63" s="61">
        <v>0</v>
      </c>
      <c r="N63" s="687">
        <v>0</v>
      </c>
      <c r="O63" s="672">
        <v>0</v>
      </c>
      <c r="P63" s="61">
        <v>0</v>
      </c>
      <c r="Q63" s="687">
        <v>0</v>
      </c>
      <c r="R63" s="672">
        <v>0</v>
      </c>
      <c r="S63" s="61">
        <v>0</v>
      </c>
      <c r="T63" s="687">
        <v>0</v>
      </c>
      <c r="U63" s="672">
        <v>0</v>
      </c>
      <c r="V63" s="61">
        <v>0</v>
      </c>
      <c r="W63" s="687">
        <v>0</v>
      </c>
      <c r="X63" s="672">
        <v>0</v>
      </c>
      <c r="Y63" s="61">
        <v>0</v>
      </c>
      <c r="Z63" s="687">
        <v>0</v>
      </c>
      <c r="AA63" s="672">
        <v>0</v>
      </c>
      <c r="AB63" s="61">
        <v>0</v>
      </c>
      <c r="AC63" s="687">
        <v>0</v>
      </c>
      <c r="AD63" s="672">
        <v>0</v>
      </c>
      <c r="AE63" s="61">
        <v>0</v>
      </c>
      <c r="AF63" s="687">
        <v>0</v>
      </c>
      <c r="AG63" s="672">
        <v>0</v>
      </c>
      <c r="AH63" s="61">
        <v>0</v>
      </c>
      <c r="AI63" s="687">
        <v>0</v>
      </c>
      <c r="AJ63" s="672">
        <v>0</v>
      </c>
      <c r="AK63" s="61">
        <v>0</v>
      </c>
      <c r="AL63" s="687">
        <v>0</v>
      </c>
      <c r="AO63" s="404"/>
      <c r="AR63" s="404"/>
      <c r="AU63" s="404"/>
      <c r="AX63" s="404"/>
      <c r="BA63" s="404"/>
      <c r="BD63" s="404"/>
      <c r="BG63" s="404"/>
      <c r="BH63" s="842"/>
      <c r="BI63" s="843"/>
      <c r="BJ63" s="844"/>
      <c r="BK63" s="842"/>
      <c r="BL63" s="843"/>
      <c r="BM63" s="844"/>
      <c r="BN63" s="842"/>
      <c r="BO63" s="843"/>
      <c r="BP63" s="844"/>
      <c r="BQ63" s="842"/>
      <c r="BR63" s="843"/>
      <c r="BS63" s="844"/>
      <c r="BT63" s="842"/>
      <c r="BU63" s="843"/>
      <c r="BV63" s="844"/>
    </row>
    <row r="64" spans="1:74" s="61" customFormat="1" x14ac:dyDescent="0.2">
      <c r="A64" s="61" t="s">
        <v>137</v>
      </c>
      <c r="B64" s="61" t="s">
        <v>52</v>
      </c>
      <c r="C64" s="672">
        <f>'Red Rock &amp; New Ks'!I48+Stretch!I36</f>
        <v>0</v>
      </c>
      <c r="D64" s="61">
        <f>'Red Rock &amp; New Ks'!J48</f>
        <v>0</v>
      </c>
      <c r="E64" s="687">
        <f>'Red Rock &amp; New Ks'!K48+Stretch!K36</f>
        <v>31713</v>
      </c>
      <c r="F64" s="672">
        <f>'Red Rock &amp; New Ks'!L48+Stretch!L36</f>
        <v>0</v>
      </c>
      <c r="G64" s="61">
        <f>'Red Rock &amp; New Ks'!M48</f>
        <v>0</v>
      </c>
      <c r="H64" s="687">
        <f>'Red Rock &amp; New Ks'!N48+Stretch!N36</f>
        <v>28644</v>
      </c>
      <c r="I64" s="672">
        <f>'Red Rock &amp; New Ks'!O48+Stretch!O36</f>
        <v>0</v>
      </c>
      <c r="J64" s="61">
        <f>'Red Rock &amp; New Ks'!P48</f>
        <v>0</v>
      </c>
      <c r="K64" s="687">
        <f>'Red Rock &amp; New Ks'!Q48+Stretch!Q36</f>
        <v>30349</v>
      </c>
      <c r="L64" s="672">
        <f>'Red Rock &amp; New Ks'!R48+Stretch!R36</f>
        <v>0</v>
      </c>
      <c r="M64" s="61">
        <f>'Red Rock &amp; New Ks'!S48</f>
        <v>0</v>
      </c>
      <c r="N64" s="687">
        <f>'Red Rock &amp; New Ks'!T48+Stretch!T36</f>
        <v>29370</v>
      </c>
      <c r="O64" s="672">
        <f>'Red Rock &amp; New Ks'!U48+Stretch!U36</f>
        <v>0</v>
      </c>
      <c r="P64" s="61">
        <f>'Red Rock &amp; New Ks'!V48</f>
        <v>0</v>
      </c>
      <c r="Q64" s="687">
        <f>'Red Rock &amp; New Ks'!W48+Stretch!W36</f>
        <v>30349</v>
      </c>
      <c r="R64" s="672">
        <f>'Red Rock &amp; New Ks'!X48+Stretch!X36</f>
        <v>0</v>
      </c>
      <c r="S64" s="61">
        <f>'Red Rock &amp; New Ks'!Y48</f>
        <v>0</v>
      </c>
      <c r="T64" s="687">
        <f>'Red Rock &amp; New Ks'!Z48+Stretch!Z36</f>
        <v>29370</v>
      </c>
      <c r="U64" s="672">
        <f>'Red Rock &amp; New Ks'!AA48+Stretch!AA36</f>
        <v>0</v>
      </c>
      <c r="V64" s="61">
        <f>'Red Rock &amp; New Ks'!AB48</f>
        <v>0</v>
      </c>
      <c r="W64" s="687">
        <f>'Red Rock &amp; New Ks'!AC48+Stretch!AC36</f>
        <v>30349</v>
      </c>
      <c r="X64" s="672">
        <f>'Red Rock &amp; New Ks'!AD48+Stretch!AD36</f>
        <v>0</v>
      </c>
      <c r="Y64" s="61">
        <f>'Red Rock &amp; New Ks'!AE48</f>
        <v>0</v>
      </c>
      <c r="Z64" s="687">
        <f>'Red Rock &amp; New Ks'!AF48+Stretch!AF36</f>
        <v>30349</v>
      </c>
      <c r="AA64" s="672">
        <f>'Red Rock &amp; New Ks'!AG48+Stretch!AG36</f>
        <v>0</v>
      </c>
      <c r="AB64" s="61">
        <f>'Red Rock &amp; New Ks'!AH48</f>
        <v>0</v>
      </c>
      <c r="AC64" s="687">
        <f>'Red Rock &amp; New Ks'!AI48+Stretch!AI36</f>
        <v>29370</v>
      </c>
      <c r="AD64" s="672">
        <f>'Red Rock &amp; New Ks'!AJ48+Stretch!AJ36</f>
        <v>0</v>
      </c>
      <c r="AE64" s="61">
        <f>'Red Rock &amp; New Ks'!AK48</f>
        <v>0</v>
      </c>
      <c r="AF64" s="687">
        <f>'Red Rock &amp; New Ks'!AL48+Stretch!AL36</f>
        <v>30349</v>
      </c>
      <c r="AG64" s="672">
        <f>'Red Rock &amp; New Ks'!AM48+Stretch!AM36</f>
        <v>0</v>
      </c>
      <c r="AH64" s="61">
        <f>'Red Rock &amp; New Ks'!AN48</f>
        <v>0</v>
      </c>
      <c r="AI64" s="687">
        <f>'Red Rock &amp; New Ks'!AO48+Stretch!AO36</f>
        <v>26490</v>
      </c>
      <c r="AJ64" s="672">
        <f>'Red Rock &amp; New Ks'!AP48+Stretch!AP36</f>
        <v>0</v>
      </c>
      <c r="AK64" s="61">
        <f>'Red Rock &amp; New Ks'!AQ48</f>
        <v>0</v>
      </c>
      <c r="AL64" s="687">
        <f>'Red Rock &amp; New Ks'!AR48+Stretch!AR36</f>
        <v>27373</v>
      </c>
      <c r="AO64" s="404"/>
      <c r="AR64" s="404"/>
      <c r="AU64" s="404"/>
      <c r="AX64" s="404"/>
      <c r="BA64" s="404"/>
      <c r="BD64" s="404"/>
      <c r="BG64" s="404"/>
      <c r="BH64" s="842"/>
      <c r="BI64" s="843"/>
      <c r="BJ64" s="844"/>
      <c r="BK64" s="842"/>
      <c r="BL64" s="843"/>
      <c r="BM64" s="844"/>
      <c r="BN64" s="842"/>
      <c r="BO64" s="843"/>
      <c r="BP64" s="844"/>
      <c r="BQ64" s="842"/>
      <c r="BR64" s="843"/>
      <c r="BS64" s="844"/>
      <c r="BT64" s="842"/>
      <c r="BU64" s="843"/>
      <c r="BV64" s="844"/>
    </row>
    <row r="65" spans="1:74" s="61" customFormat="1" x14ac:dyDescent="0.2">
      <c r="A65" s="373" t="s">
        <v>144</v>
      </c>
      <c r="C65" s="673">
        <f>SUM(C63:C64)</f>
        <v>0</v>
      </c>
      <c r="E65" s="686">
        <f>SUM(E63:E64)</f>
        <v>31713</v>
      </c>
      <c r="F65" s="673">
        <f>SUM(F63:F64)</f>
        <v>0</v>
      </c>
      <c r="H65" s="686">
        <f>SUM(H63:H64)</f>
        <v>28644</v>
      </c>
      <c r="I65" s="673">
        <f>SUM(I63:I64)</f>
        <v>0</v>
      </c>
      <c r="K65" s="686">
        <f>SUM(K63:K64)</f>
        <v>30349</v>
      </c>
      <c r="L65" s="673">
        <f>SUM(L63:L64)</f>
        <v>0</v>
      </c>
      <c r="N65" s="686">
        <f>SUM(N63:N64)</f>
        <v>29370</v>
      </c>
      <c r="O65" s="673">
        <f>SUM(O63:O64)</f>
        <v>0</v>
      </c>
      <c r="Q65" s="686">
        <f>SUM(Q63:Q64)</f>
        <v>30349</v>
      </c>
      <c r="R65" s="673">
        <f>SUM(R63:R64)</f>
        <v>0</v>
      </c>
      <c r="T65" s="686">
        <f>SUM(T63:T64)</f>
        <v>29370</v>
      </c>
      <c r="U65" s="673">
        <f>SUM(U63:U64)</f>
        <v>0</v>
      </c>
      <c r="W65" s="686">
        <f>SUM(W63:W64)</f>
        <v>30349</v>
      </c>
      <c r="X65" s="673">
        <f>SUM(X63:X64)</f>
        <v>0</v>
      </c>
      <c r="Z65" s="686">
        <f>SUM(Z63:Z64)</f>
        <v>30349</v>
      </c>
      <c r="AA65" s="673">
        <f>SUM(AA63:AA64)</f>
        <v>0</v>
      </c>
      <c r="AC65" s="686">
        <f>SUM(AC63:AC64)</f>
        <v>29370</v>
      </c>
      <c r="AD65" s="673">
        <f>SUM(AD63:AD64)</f>
        <v>0</v>
      </c>
      <c r="AF65" s="686">
        <f>SUM(AF63:AF64)</f>
        <v>30349</v>
      </c>
      <c r="AG65" s="673">
        <f>SUM(AG63:AG64)</f>
        <v>0</v>
      </c>
      <c r="AI65" s="686">
        <f>SUM(AI63:AI64)</f>
        <v>26490</v>
      </c>
      <c r="AJ65" s="673">
        <f>SUM(AJ63:AJ64)</f>
        <v>0</v>
      </c>
      <c r="AL65" s="686">
        <f>SUM(AL63:AL64)</f>
        <v>27373</v>
      </c>
      <c r="AO65" s="404"/>
      <c r="AR65" s="404"/>
      <c r="AU65" s="404"/>
      <c r="AX65" s="404"/>
      <c r="BA65" s="404"/>
      <c r="BD65" s="404"/>
      <c r="BG65" s="404"/>
      <c r="BH65" s="845"/>
      <c r="BI65" s="843"/>
      <c r="BJ65" s="846"/>
      <c r="BK65" s="845"/>
      <c r="BL65" s="843"/>
      <c r="BM65" s="846"/>
      <c r="BN65" s="845"/>
      <c r="BO65" s="843"/>
      <c r="BP65" s="846"/>
      <c r="BQ65" s="845"/>
      <c r="BR65" s="843"/>
      <c r="BS65" s="846"/>
      <c r="BT65" s="845"/>
      <c r="BU65" s="843"/>
      <c r="BV65" s="846"/>
    </row>
    <row r="66" spans="1:74" s="61" customFormat="1" x14ac:dyDescent="0.2">
      <c r="A66" s="61" t="s">
        <v>138</v>
      </c>
      <c r="B66" s="61" t="s">
        <v>52</v>
      </c>
      <c r="C66" s="672">
        <f>'Red Rock &amp; New Ks'!I74+Stretch!I53</f>
        <v>0</v>
      </c>
      <c r="D66" s="61">
        <f>'Red Rock &amp; New Ks'!J74</f>
        <v>0</v>
      </c>
      <c r="E66" s="687">
        <f>'Red Rock &amp; New Ks'!K74+Stretch!K53</f>
        <v>61659</v>
      </c>
      <c r="F66" s="672">
        <f>'Red Rock &amp; New Ks'!L74+Stretch!L53</f>
        <v>20000</v>
      </c>
      <c r="G66" s="61">
        <f>'Red Rock &amp; New Ks'!M74</f>
        <v>0.19944999999999999</v>
      </c>
      <c r="H66" s="687">
        <f>'Red Rock &amp; New Ks'!N74+Stretch!N53</f>
        <v>128492</v>
      </c>
      <c r="I66" s="672">
        <f>'Red Rock &amp; New Ks'!O74+Stretch!O53</f>
        <v>20000</v>
      </c>
      <c r="J66" s="61">
        <f>'Red Rock &amp; New Ks'!P74</f>
        <v>0.19944999999999999</v>
      </c>
      <c r="K66" s="687">
        <f>'Red Rock &amp; New Ks'!Q74+Stretch!Q53</f>
        <v>142259</v>
      </c>
      <c r="L66" s="672">
        <f>'Red Rock &amp; New Ks'!R74+Stretch!R53</f>
        <v>28000</v>
      </c>
      <c r="M66" s="61">
        <f>'Red Rock &amp; New Ks'!S74</f>
        <v>0.18112142857142857</v>
      </c>
      <c r="N66" s="687">
        <f>'Red Rock &amp; New Ks'!T74+Stretch!T53</f>
        <v>170142</v>
      </c>
      <c r="O66" s="672">
        <f>'Red Rock &amp; New Ks'!U74+Stretch!U53</f>
        <v>28000</v>
      </c>
      <c r="P66" s="61">
        <f>'Red Rock &amp; New Ks'!V74</f>
        <v>0.18112096774193548</v>
      </c>
      <c r="Q66" s="687">
        <f>'Red Rock &amp; New Ks'!W74+Stretch!W53</f>
        <v>175813</v>
      </c>
      <c r="R66" s="672">
        <f>'Red Rock &amp; New Ks'!X74+Stretch!X53</f>
        <v>108000</v>
      </c>
      <c r="S66" s="61">
        <f>'Red Rock &amp; New Ks'!Y74</f>
        <v>0.39373981481481479</v>
      </c>
      <c r="T66" s="687">
        <f>'Red Rock &amp; New Ks'!Z74+Stretch!Z53</f>
        <v>1301697</v>
      </c>
      <c r="U66" s="672">
        <f>'Red Rock &amp; New Ks'!AA74+Stretch!AA53</f>
        <v>148000</v>
      </c>
      <c r="V66" s="61">
        <f>'Red Rock &amp; New Ks'!AB74</f>
        <v>0.3900263731473409</v>
      </c>
      <c r="W66" s="687">
        <f>'Red Rock &amp; New Ks'!AC74+Stretch!AC53</f>
        <v>1816287</v>
      </c>
      <c r="X66" s="672">
        <f>'Red Rock &amp; New Ks'!AD74+Stretch!AD53</f>
        <v>148000</v>
      </c>
      <c r="Y66" s="61">
        <f>'Red Rock &amp; New Ks'!AE74</f>
        <v>0.3900263731473409</v>
      </c>
      <c r="Z66" s="687">
        <f>'Red Rock &amp; New Ks'!AF74+Stretch!AF53</f>
        <v>1816287</v>
      </c>
      <c r="AA66" s="672">
        <f>'Red Rock &amp; New Ks'!AG74+Stretch!AG53</f>
        <v>148000</v>
      </c>
      <c r="AB66" s="61">
        <f>'Red Rock &amp; New Ks'!AH74</f>
        <v>0.39002635135135133</v>
      </c>
      <c r="AC66" s="687">
        <f>'Red Rock &amp; New Ks'!AI74+Stretch!AI53</f>
        <v>1757697</v>
      </c>
      <c r="AD66" s="672">
        <f>'Red Rock &amp; New Ks'!AJ74+Stretch!AJ53</f>
        <v>148000</v>
      </c>
      <c r="AE66" s="61">
        <f>'Red Rock &amp; New Ks'!AK74</f>
        <v>0.3900263731473409</v>
      </c>
      <c r="AF66" s="687">
        <f>'Red Rock &amp; New Ks'!AL74+Stretch!AL53</f>
        <v>1816287</v>
      </c>
      <c r="AG66" s="672">
        <f>'Red Rock &amp; New Ks'!AM74+Stretch!AM53</f>
        <v>209000</v>
      </c>
      <c r="AH66" s="61">
        <f>'Red Rock &amp; New Ks'!AN74</f>
        <v>0.32140717703349281</v>
      </c>
      <c r="AI66" s="687">
        <f>'Red Rock &amp; New Ks'!AO74+Stretch!AO53</f>
        <v>2115603</v>
      </c>
      <c r="AJ66" s="672">
        <f>'Red Rock &amp; New Ks'!AP74+Stretch!AP53</f>
        <v>209000</v>
      </c>
      <c r="AK66" s="61">
        <f>'Red Rock &amp; New Ks'!AQ74</f>
        <v>0.32140716159901217</v>
      </c>
      <c r="AL66" s="687">
        <f>'Red Rock &amp; New Ks'!AR74+Stretch!AR53</f>
        <v>2186123</v>
      </c>
      <c r="AO66" s="404"/>
      <c r="AR66" s="404"/>
      <c r="AU66" s="404"/>
      <c r="AX66" s="404"/>
      <c r="BA66" s="404"/>
      <c r="BD66" s="404"/>
      <c r="BG66" s="404"/>
      <c r="BH66" s="842"/>
      <c r="BI66" s="843"/>
      <c r="BJ66" s="844"/>
      <c r="BK66" s="842"/>
      <c r="BL66" s="843"/>
      <c r="BM66" s="844"/>
      <c r="BN66" s="842"/>
      <c r="BO66" s="843"/>
      <c r="BP66" s="844"/>
      <c r="BQ66" s="842"/>
      <c r="BR66" s="843"/>
      <c r="BS66" s="844"/>
      <c r="BT66" s="842"/>
      <c r="BU66" s="843"/>
      <c r="BV66" s="844"/>
    </row>
    <row r="67" spans="1:74" s="61" customFormat="1" x14ac:dyDescent="0.2">
      <c r="A67" s="61" t="s">
        <v>139</v>
      </c>
      <c r="B67" s="61" t="s">
        <v>52</v>
      </c>
      <c r="C67" s="672">
        <v>0</v>
      </c>
      <c r="D67" s="61">
        <v>0</v>
      </c>
      <c r="E67" s="687">
        <v>0</v>
      </c>
      <c r="F67" s="672">
        <v>0</v>
      </c>
      <c r="G67" s="61">
        <v>0</v>
      </c>
      <c r="H67" s="687">
        <v>0</v>
      </c>
      <c r="I67" s="672">
        <v>0</v>
      </c>
      <c r="J67" s="61">
        <v>0</v>
      </c>
      <c r="K67" s="687">
        <v>0</v>
      </c>
      <c r="L67" s="672">
        <v>0</v>
      </c>
      <c r="M67" s="61">
        <v>0</v>
      </c>
      <c r="N67" s="687">
        <v>0</v>
      </c>
      <c r="O67" s="672">
        <v>0</v>
      </c>
      <c r="P67" s="61">
        <v>0</v>
      </c>
      <c r="Q67" s="687">
        <v>0</v>
      </c>
      <c r="R67" s="672">
        <v>0</v>
      </c>
      <c r="S67" s="61">
        <v>0</v>
      </c>
      <c r="T67" s="687">
        <v>0</v>
      </c>
      <c r="U67" s="672">
        <v>0</v>
      </c>
      <c r="V67" s="61">
        <v>0</v>
      </c>
      <c r="W67" s="687">
        <v>0</v>
      </c>
      <c r="X67" s="672">
        <v>0</v>
      </c>
      <c r="Y67" s="61">
        <v>0</v>
      </c>
      <c r="Z67" s="687">
        <v>0</v>
      </c>
      <c r="AA67" s="672">
        <v>0</v>
      </c>
      <c r="AB67" s="61">
        <v>0</v>
      </c>
      <c r="AC67" s="687">
        <v>0</v>
      </c>
      <c r="AD67" s="672">
        <v>0</v>
      </c>
      <c r="AE67" s="61">
        <v>0</v>
      </c>
      <c r="AF67" s="687">
        <v>0</v>
      </c>
      <c r="AG67" s="672">
        <v>0</v>
      </c>
      <c r="AH67" s="61">
        <v>0</v>
      </c>
      <c r="AI67" s="687">
        <v>0</v>
      </c>
      <c r="AJ67" s="672">
        <v>0</v>
      </c>
      <c r="AK67" s="61">
        <v>0</v>
      </c>
      <c r="AL67" s="687">
        <v>0</v>
      </c>
      <c r="AO67" s="404"/>
      <c r="AR67" s="404"/>
      <c r="AU67" s="404"/>
      <c r="AX67" s="404"/>
      <c r="BA67" s="404"/>
      <c r="BD67" s="404"/>
      <c r="BG67" s="404"/>
      <c r="BH67" s="842"/>
      <c r="BI67" s="843"/>
      <c r="BJ67" s="844"/>
      <c r="BK67" s="842"/>
      <c r="BL67" s="843"/>
      <c r="BM67" s="844"/>
      <c r="BN67" s="842"/>
      <c r="BO67" s="843"/>
      <c r="BP67" s="844"/>
      <c r="BQ67" s="842"/>
      <c r="BR67" s="843"/>
      <c r="BS67" s="844"/>
      <c r="BT67" s="842"/>
      <c r="BU67" s="843"/>
      <c r="BV67" s="844"/>
    </row>
    <row r="68" spans="1:74" s="61" customFormat="1" x14ac:dyDescent="0.2">
      <c r="A68" s="61" t="s">
        <v>140</v>
      </c>
      <c r="B68" s="61" t="s">
        <v>52</v>
      </c>
      <c r="C68" s="672">
        <f>'Red Rock &amp; New Ks'!I95+Stretch!I66</f>
        <v>0</v>
      </c>
      <c r="D68" s="61">
        <v>0</v>
      </c>
      <c r="E68" s="687">
        <f>'Red Rock &amp; New Ks'!K95+Stretch!K66</f>
        <v>0</v>
      </c>
      <c r="F68" s="672">
        <f>'Red Rock &amp; New Ks'!L95+Stretch!L66</f>
        <v>0</v>
      </c>
      <c r="G68" s="61">
        <v>0</v>
      </c>
      <c r="H68" s="687">
        <f>'Red Rock &amp; New Ks'!N95+Stretch!N66</f>
        <v>0</v>
      </c>
      <c r="I68" s="672">
        <f>'Red Rock &amp; New Ks'!O95+Stretch!O66</f>
        <v>0</v>
      </c>
      <c r="J68" s="61">
        <v>0</v>
      </c>
      <c r="K68" s="687">
        <f>'Red Rock &amp; New Ks'!Q95+Stretch!Q66</f>
        <v>0</v>
      </c>
      <c r="L68" s="672">
        <f>'Red Rock &amp; New Ks'!R95+Stretch!R66</f>
        <v>0</v>
      </c>
      <c r="M68" s="61">
        <v>0</v>
      </c>
      <c r="N68" s="687">
        <f>'Red Rock &amp; New Ks'!T95+Stretch!T66</f>
        <v>0</v>
      </c>
      <c r="O68" s="672">
        <f>'Red Rock &amp; New Ks'!U95+Stretch!U66</f>
        <v>0</v>
      </c>
      <c r="P68" s="61">
        <v>0</v>
      </c>
      <c r="Q68" s="687">
        <f>'Red Rock &amp; New Ks'!W95+Stretch!W66</f>
        <v>0</v>
      </c>
      <c r="R68" s="672">
        <f>'Red Rock &amp; New Ks'!X95+Stretch!X66</f>
        <v>0</v>
      </c>
      <c r="S68" s="61">
        <v>0</v>
      </c>
      <c r="T68" s="687">
        <f>'Red Rock &amp; New Ks'!Z95+Stretch!Z66</f>
        <v>0</v>
      </c>
      <c r="U68" s="672">
        <f>'Red Rock &amp; New Ks'!AA95+Stretch!AA66</f>
        <v>0</v>
      </c>
      <c r="V68" s="61">
        <v>0</v>
      </c>
      <c r="W68" s="687">
        <f>'Red Rock &amp; New Ks'!AC95+Stretch!AC66</f>
        <v>0</v>
      </c>
      <c r="X68" s="672">
        <f>'Red Rock &amp; New Ks'!AD95+Stretch!AD66</f>
        <v>0</v>
      </c>
      <c r="Y68" s="61">
        <v>0</v>
      </c>
      <c r="Z68" s="687">
        <f>'Red Rock &amp; New Ks'!AF95+Stretch!AF66</f>
        <v>0</v>
      </c>
      <c r="AA68" s="672">
        <f>'Red Rock &amp; New Ks'!AG95+Stretch!AG66</f>
        <v>0</v>
      </c>
      <c r="AB68" s="61">
        <v>0</v>
      </c>
      <c r="AC68" s="687">
        <f>'Red Rock &amp; New Ks'!AI95+Stretch!AI66</f>
        <v>0</v>
      </c>
      <c r="AD68" s="672">
        <f>'Red Rock &amp; New Ks'!AJ95+Stretch!AJ66</f>
        <v>0</v>
      </c>
      <c r="AE68" s="61">
        <v>0</v>
      </c>
      <c r="AF68" s="687">
        <f>'Red Rock &amp; New Ks'!AL95+Stretch!AL66</f>
        <v>0</v>
      </c>
      <c r="AG68" s="672">
        <f>'Red Rock &amp; New Ks'!AM95+Stretch!AM66</f>
        <v>0</v>
      </c>
      <c r="AH68" s="61">
        <v>0</v>
      </c>
      <c r="AI68" s="687">
        <f>'Red Rock &amp; New Ks'!AO95+Stretch!AO66</f>
        <v>0</v>
      </c>
      <c r="AJ68" s="672">
        <f>'Red Rock &amp; New Ks'!AP95+Stretch!AP66</f>
        <v>0</v>
      </c>
      <c r="AK68" s="61">
        <v>0</v>
      </c>
      <c r="AL68" s="687">
        <f>'Red Rock &amp; New Ks'!AR95+Stretch!AR66</f>
        <v>0</v>
      </c>
      <c r="AO68" s="404"/>
      <c r="AR68" s="404"/>
      <c r="AU68" s="404"/>
      <c r="AX68" s="404"/>
      <c r="BA68" s="404"/>
      <c r="BD68" s="404"/>
      <c r="BG68" s="404"/>
      <c r="BH68" s="842"/>
      <c r="BI68" s="843"/>
      <c r="BJ68" s="844"/>
      <c r="BK68" s="842"/>
      <c r="BL68" s="843"/>
      <c r="BM68" s="844"/>
      <c r="BN68" s="842"/>
      <c r="BO68" s="843"/>
      <c r="BP68" s="844"/>
      <c r="BQ68" s="842"/>
      <c r="BR68" s="843"/>
      <c r="BS68" s="844"/>
      <c r="BT68" s="842"/>
      <c r="BU68" s="843"/>
      <c r="BV68" s="844"/>
    </row>
    <row r="69" spans="1:74" s="61" customFormat="1" x14ac:dyDescent="0.2">
      <c r="A69" s="61" t="s">
        <v>141</v>
      </c>
      <c r="B69" s="61" t="s">
        <v>52</v>
      </c>
      <c r="C69" s="672">
        <f>'Red Rock &amp; New Ks'!I86</f>
        <v>0</v>
      </c>
      <c r="D69" s="61">
        <f>'Red Rock &amp; New Ks'!J86</f>
        <v>0</v>
      </c>
      <c r="E69" s="687">
        <f>'Red Rock &amp; New Ks'!K86</f>
        <v>42068</v>
      </c>
      <c r="F69" s="672">
        <f>'Red Rock &amp; New Ks'!L86</f>
        <v>0</v>
      </c>
      <c r="G69" s="61">
        <f>'Red Rock &amp; New Ks'!M86</f>
        <v>0</v>
      </c>
      <c r="H69" s="687">
        <f>'Red Rock &amp; New Ks'!N86</f>
        <v>37996</v>
      </c>
      <c r="I69" s="672">
        <f>'Red Rock &amp; New Ks'!O86</f>
        <v>0</v>
      </c>
      <c r="J69" s="61">
        <f>'Red Rock &amp; New Ks'!P86</f>
        <v>0</v>
      </c>
      <c r="K69" s="687">
        <f>'Red Rock &amp; New Ks'!Q86</f>
        <v>38782</v>
      </c>
      <c r="L69" s="672">
        <f>'Red Rock &amp; New Ks'!R86</f>
        <v>0</v>
      </c>
      <c r="M69" s="61">
        <f>'Red Rock &amp; New Ks'!S86</f>
        <v>0</v>
      </c>
      <c r="N69" s="687">
        <f>'Red Rock &amp; New Ks'!T86</f>
        <v>37530</v>
      </c>
      <c r="O69" s="672">
        <f>'Red Rock &amp; New Ks'!U86</f>
        <v>0</v>
      </c>
      <c r="P69" s="61">
        <f>'Red Rock &amp; New Ks'!V86</f>
        <v>0</v>
      </c>
      <c r="Q69" s="687">
        <f>'Red Rock &amp; New Ks'!W86</f>
        <v>38782</v>
      </c>
      <c r="R69" s="672">
        <f>'Red Rock &amp; New Ks'!X86</f>
        <v>0</v>
      </c>
      <c r="S69" s="61">
        <f>'Red Rock &amp; New Ks'!Y86</f>
        <v>0</v>
      </c>
      <c r="T69" s="687">
        <f>'Red Rock &amp; New Ks'!Z86</f>
        <v>37530</v>
      </c>
      <c r="U69" s="672">
        <f>'Red Rock &amp; New Ks'!AA86</f>
        <v>0</v>
      </c>
      <c r="V69" s="61">
        <f>'Red Rock &amp; New Ks'!AB86</f>
        <v>0</v>
      </c>
      <c r="W69" s="687">
        <f>'Red Rock &amp; New Ks'!AC86</f>
        <v>38782</v>
      </c>
      <c r="X69" s="672">
        <f>'Red Rock &amp; New Ks'!AD86</f>
        <v>0</v>
      </c>
      <c r="Y69" s="61">
        <f>'Red Rock &amp; New Ks'!AE86</f>
        <v>0</v>
      </c>
      <c r="Z69" s="687">
        <f>'Red Rock &amp; New Ks'!AF86</f>
        <v>38782</v>
      </c>
      <c r="AA69" s="672">
        <f>'Red Rock &amp; New Ks'!AG86</f>
        <v>0</v>
      </c>
      <c r="AB69" s="61">
        <f>'Red Rock &amp; New Ks'!AH86</f>
        <v>0</v>
      </c>
      <c r="AC69" s="687">
        <f>'Red Rock &amp; New Ks'!AI86</f>
        <v>37530</v>
      </c>
      <c r="AD69" s="672">
        <f>'Red Rock &amp; New Ks'!AJ86</f>
        <v>0</v>
      </c>
      <c r="AE69" s="61">
        <f>'Red Rock &amp; New Ks'!AK86</f>
        <v>0</v>
      </c>
      <c r="AF69" s="687">
        <f>'Red Rock &amp; New Ks'!AL86</f>
        <v>38782</v>
      </c>
      <c r="AG69" s="672">
        <f>'Red Rock &amp; New Ks'!AM86</f>
        <v>0</v>
      </c>
      <c r="AH69" s="61">
        <f>'Red Rock &amp; New Ks'!AN86</f>
        <v>0</v>
      </c>
      <c r="AI69" s="687">
        <f>'Red Rock &amp; New Ks'!AO86</f>
        <v>78645</v>
      </c>
      <c r="AJ69" s="672">
        <f>'Red Rock &amp; New Ks'!AP86</f>
        <v>0</v>
      </c>
      <c r="AK69" s="61">
        <f>'Red Rock &amp; New Ks'!AQ86</f>
        <v>0</v>
      </c>
      <c r="AL69" s="687">
        <f>'Red Rock &amp; New Ks'!AR86</f>
        <v>81265</v>
      </c>
      <c r="AO69" s="404"/>
      <c r="AR69" s="404"/>
      <c r="AU69" s="404"/>
      <c r="AX69" s="404"/>
      <c r="BA69" s="404"/>
      <c r="BD69" s="404"/>
      <c r="BG69" s="404"/>
      <c r="BH69" s="842"/>
      <c r="BI69" s="843"/>
      <c r="BJ69" s="844"/>
      <c r="BK69" s="842"/>
      <c r="BL69" s="843"/>
      <c r="BM69" s="844"/>
      <c r="BN69" s="842"/>
      <c r="BO69" s="843"/>
      <c r="BP69" s="844"/>
      <c r="BQ69" s="842"/>
      <c r="BR69" s="843"/>
      <c r="BS69" s="844"/>
      <c r="BT69" s="842"/>
      <c r="BU69" s="843"/>
      <c r="BV69" s="844"/>
    </row>
    <row r="70" spans="1:74" s="61" customFormat="1" x14ac:dyDescent="0.2">
      <c r="A70" s="61" t="s">
        <v>228</v>
      </c>
      <c r="B70" s="61" t="s">
        <v>52</v>
      </c>
      <c r="C70" s="672">
        <f>'Red Rock &amp; New Ks'!I104+Stretch!I72</f>
        <v>0</v>
      </c>
      <c r="D70" s="61">
        <f>'Red Rock &amp; New Ks'!J104</f>
        <v>0</v>
      </c>
      <c r="E70" s="687">
        <f>'Red Rock &amp; New Ks'!K104+Stretch!K72</f>
        <v>0</v>
      </c>
      <c r="F70" s="672">
        <f>'Red Rock &amp; New Ks'!L104+Stretch!L72</f>
        <v>0</v>
      </c>
      <c r="G70" s="61">
        <f>'Red Rock &amp; New Ks'!M104</f>
        <v>0</v>
      </c>
      <c r="H70" s="687">
        <f>'Red Rock &amp; New Ks'!N104+Stretch!N72</f>
        <v>0</v>
      </c>
      <c r="I70" s="672">
        <f>'Red Rock &amp; New Ks'!O104+Stretch!O72</f>
        <v>0</v>
      </c>
      <c r="J70" s="61">
        <f>'Red Rock &amp; New Ks'!P104</f>
        <v>0</v>
      </c>
      <c r="K70" s="687">
        <f>'Red Rock &amp; New Ks'!Q104+Stretch!Q72</f>
        <v>0</v>
      </c>
      <c r="L70" s="672">
        <f>'Red Rock &amp; New Ks'!R104+Stretch!R72</f>
        <v>0</v>
      </c>
      <c r="M70" s="61">
        <f>'Red Rock &amp; New Ks'!S104</f>
        <v>0</v>
      </c>
      <c r="N70" s="687">
        <f>'Red Rock &amp; New Ks'!T104+Stretch!T72</f>
        <v>0</v>
      </c>
      <c r="O70" s="672">
        <f>'Red Rock &amp; New Ks'!U104+Stretch!U72</f>
        <v>0</v>
      </c>
      <c r="P70" s="61">
        <f>'Red Rock &amp; New Ks'!V104</f>
        <v>0</v>
      </c>
      <c r="Q70" s="687">
        <f>'Red Rock &amp; New Ks'!W104+Stretch!W72</f>
        <v>0</v>
      </c>
      <c r="R70" s="672">
        <f>'Red Rock &amp; New Ks'!X104+Stretch!X72</f>
        <v>1300</v>
      </c>
      <c r="S70" s="61">
        <f>'Red Rock &amp; New Ks'!Y104</f>
        <v>0.04</v>
      </c>
      <c r="T70" s="687">
        <f>'Red Rock &amp; New Ks'!Z104+Stretch!Z72</f>
        <v>1560</v>
      </c>
      <c r="U70" s="672">
        <f>'Red Rock &amp; New Ks'!AA104+Stretch!AA72</f>
        <v>1300</v>
      </c>
      <c r="V70" s="61">
        <f>'Red Rock &amp; New Ks'!AB104</f>
        <v>0.04</v>
      </c>
      <c r="W70" s="687">
        <f>'Red Rock &amp; New Ks'!AC104+Stretch!AC72</f>
        <v>1612</v>
      </c>
      <c r="X70" s="672">
        <f>'Red Rock &amp; New Ks'!AD104+Stretch!AD72</f>
        <v>1300</v>
      </c>
      <c r="Y70" s="61">
        <f>'Red Rock &amp; New Ks'!AE104</f>
        <v>0.04</v>
      </c>
      <c r="Z70" s="687">
        <f>'Red Rock &amp; New Ks'!AF104+Stretch!AF72</f>
        <v>1612</v>
      </c>
      <c r="AA70" s="672">
        <f>'Red Rock &amp; New Ks'!AG104+Stretch!AG72</f>
        <v>1300</v>
      </c>
      <c r="AB70" s="61">
        <f>'Red Rock &amp; New Ks'!AH104</f>
        <v>0.04</v>
      </c>
      <c r="AC70" s="687">
        <f>'Red Rock &amp; New Ks'!AI104+Stretch!AI72</f>
        <v>1560</v>
      </c>
      <c r="AD70" s="672">
        <f>'Red Rock &amp; New Ks'!AJ104+Stretch!AJ72</f>
        <v>1300</v>
      </c>
      <c r="AE70" s="61">
        <f>'Red Rock &amp; New Ks'!AK104</f>
        <v>0.04</v>
      </c>
      <c r="AF70" s="687">
        <f>'Red Rock &amp; New Ks'!AL104+Stretch!AL72</f>
        <v>1612</v>
      </c>
      <c r="AG70" s="672">
        <f>'Red Rock &amp; New Ks'!AM104+Stretch!AM72</f>
        <v>1300</v>
      </c>
      <c r="AH70" s="61">
        <f>'Red Rock &amp; New Ks'!AN104</f>
        <v>0.04</v>
      </c>
      <c r="AI70" s="687">
        <f>'Red Rock &amp; New Ks'!AO104+Stretch!AO72</f>
        <v>1560</v>
      </c>
      <c r="AJ70" s="672">
        <f>'Red Rock &amp; New Ks'!AP104+Stretch!AP72</f>
        <v>1300</v>
      </c>
      <c r="AK70" s="61">
        <f>'Red Rock &amp; New Ks'!AQ104</f>
        <v>0.04</v>
      </c>
      <c r="AL70" s="687">
        <f>'Red Rock &amp; New Ks'!AR104+Stretch!AR72</f>
        <v>1612</v>
      </c>
      <c r="AO70" s="404"/>
      <c r="AR70" s="404"/>
      <c r="AU70" s="404"/>
      <c r="AX70" s="404"/>
      <c r="BA70" s="404"/>
      <c r="BD70" s="404"/>
      <c r="BG70" s="404"/>
      <c r="BH70" s="842"/>
      <c r="BI70" s="843"/>
      <c r="BJ70" s="844"/>
      <c r="BK70" s="842"/>
      <c r="BL70" s="843"/>
      <c r="BM70" s="844"/>
      <c r="BN70" s="842"/>
      <c r="BO70" s="843"/>
      <c r="BP70" s="844"/>
      <c r="BQ70" s="842"/>
      <c r="BR70" s="843"/>
      <c r="BS70" s="844"/>
      <c r="BT70" s="842"/>
      <c r="BU70" s="843"/>
      <c r="BV70" s="844"/>
    </row>
    <row r="71" spans="1:74" s="61" customFormat="1" x14ac:dyDescent="0.2">
      <c r="A71" s="373" t="s">
        <v>143</v>
      </c>
      <c r="C71" s="673">
        <f>SUM(C66:C70)</f>
        <v>0</v>
      </c>
      <c r="E71" s="686">
        <f>SUM(E66:E70)</f>
        <v>103727</v>
      </c>
      <c r="F71" s="673">
        <f>SUM(F66:F70)</f>
        <v>20000</v>
      </c>
      <c r="H71" s="686">
        <f>SUM(H66:H70)</f>
        <v>166488</v>
      </c>
      <c r="I71" s="673">
        <f>SUM(I66:I70)</f>
        <v>20000</v>
      </c>
      <c r="K71" s="686">
        <f>SUM(K66:K70)</f>
        <v>181041</v>
      </c>
      <c r="L71" s="673">
        <f>SUM(L66:L70)</f>
        <v>28000</v>
      </c>
      <c r="N71" s="686">
        <f>SUM(N66:N70)</f>
        <v>207672</v>
      </c>
      <c r="O71" s="673">
        <f>SUM(O66:O70)</f>
        <v>28000</v>
      </c>
      <c r="Q71" s="686">
        <f>SUM(Q66:Q70)</f>
        <v>214595</v>
      </c>
      <c r="R71" s="673">
        <f>SUM(R66:R70)</f>
        <v>109300</v>
      </c>
      <c r="T71" s="686">
        <f>SUM(T66:T70)</f>
        <v>1340787</v>
      </c>
      <c r="U71" s="673">
        <f>SUM(U66:U70)</f>
        <v>149300</v>
      </c>
      <c r="W71" s="686">
        <f>SUM(W66:W70)</f>
        <v>1856681</v>
      </c>
      <c r="X71" s="673">
        <f>SUM(X66:X70)</f>
        <v>149300</v>
      </c>
      <c r="Z71" s="686">
        <f>SUM(Z66:Z70)</f>
        <v>1856681</v>
      </c>
      <c r="AA71" s="673">
        <f>SUM(AA66:AA70)</f>
        <v>149300</v>
      </c>
      <c r="AC71" s="686">
        <f>SUM(AC66:AC70)</f>
        <v>1796787</v>
      </c>
      <c r="AD71" s="673">
        <f>SUM(AD66:AD70)</f>
        <v>149300</v>
      </c>
      <c r="AF71" s="686">
        <f>SUM(AF66:AF70)</f>
        <v>1856681</v>
      </c>
      <c r="AG71" s="673">
        <f>SUM(AG66:AG70)</f>
        <v>210300</v>
      </c>
      <c r="AI71" s="686">
        <f>SUM(AI66:AI70)</f>
        <v>2195808</v>
      </c>
      <c r="AJ71" s="673">
        <f>SUM(AJ66:AJ70)</f>
        <v>210300</v>
      </c>
      <c r="AL71" s="686">
        <f>SUM(AL66:AL70)</f>
        <v>2269000</v>
      </c>
      <c r="AO71" s="404"/>
      <c r="AR71" s="404"/>
      <c r="AU71" s="404"/>
      <c r="AX71" s="404"/>
      <c r="BA71" s="404"/>
      <c r="BD71" s="404"/>
      <c r="BG71" s="404"/>
      <c r="BH71" s="845"/>
      <c r="BI71" s="843"/>
      <c r="BJ71" s="846"/>
      <c r="BK71" s="845"/>
      <c r="BL71" s="843"/>
      <c r="BM71" s="846"/>
      <c r="BN71" s="845"/>
      <c r="BO71" s="843"/>
      <c r="BP71" s="846"/>
      <c r="BQ71" s="845"/>
      <c r="BR71" s="843"/>
      <c r="BS71" s="846"/>
      <c r="BT71" s="845"/>
      <c r="BU71" s="843"/>
      <c r="BV71" s="846"/>
    </row>
    <row r="72" spans="1:74" s="61" customFormat="1" x14ac:dyDescent="0.2">
      <c r="C72" s="662"/>
      <c r="D72" s="375"/>
      <c r="E72" s="679"/>
      <c r="F72" s="662"/>
      <c r="G72" s="375"/>
      <c r="H72" s="679"/>
      <c r="I72" s="662"/>
      <c r="J72" s="375"/>
      <c r="K72" s="679"/>
      <c r="L72" s="662"/>
      <c r="M72" s="375"/>
      <c r="N72" s="679"/>
      <c r="O72" s="662"/>
      <c r="P72" s="375"/>
      <c r="Q72" s="679"/>
      <c r="R72" s="662"/>
      <c r="S72" s="375"/>
      <c r="T72" s="679"/>
      <c r="U72" s="662"/>
      <c r="V72" s="375"/>
      <c r="W72" s="679"/>
      <c r="X72" s="662"/>
      <c r="Y72" s="375"/>
      <c r="Z72" s="679"/>
      <c r="AA72" s="662"/>
      <c r="AB72" s="375"/>
      <c r="AC72" s="679"/>
      <c r="AD72" s="662"/>
      <c r="AE72" s="375"/>
      <c r="AF72" s="679"/>
      <c r="AG72" s="662"/>
      <c r="AH72" s="375"/>
      <c r="AI72" s="679"/>
      <c r="AJ72" s="662"/>
      <c r="AK72" s="375"/>
      <c r="AL72" s="679"/>
      <c r="AO72" s="404"/>
      <c r="AR72" s="404"/>
      <c r="AU72" s="404"/>
      <c r="AX72" s="404"/>
      <c r="BA72" s="404"/>
      <c r="BD72" s="404"/>
      <c r="BG72" s="404"/>
      <c r="BJ72" s="404"/>
      <c r="BM72" s="404"/>
      <c r="BP72" s="404"/>
      <c r="BS72" s="404"/>
      <c r="BV72" s="404"/>
    </row>
    <row r="73" spans="1:74" s="61" customFormat="1" x14ac:dyDescent="0.2">
      <c r="C73" s="662"/>
      <c r="D73" s="375"/>
      <c r="E73" s="679"/>
      <c r="F73" s="375"/>
      <c r="G73" s="375"/>
      <c r="H73" s="376"/>
      <c r="I73" s="375"/>
      <c r="J73" s="375"/>
      <c r="K73" s="376"/>
      <c r="L73" s="375"/>
      <c r="M73" s="375"/>
      <c r="N73" s="375"/>
      <c r="O73" s="448"/>
      <c r="P73" s="377"/>
      <c r="Q73" s="404"/>
      <c r="T73" s="404"/>
      <c r="W73" s="404"/>
      <c r="Z73" s="404"/>
      <c r="AC73" s="404"/>
      <c r="AF73" s="404"/>
      <c r="AI73" s="404"/>
      <c r="AL73" s="404"/>
      <c r="AO73" s="404"/>
      <c r="AR73" s="404"/>
      <c r="AU73" s="404"/>
      <c r="AX73" s="404"/>
      <c r="BA73" s="404"/>
      <c r="BD73" s="404"/>
      <c r="BG73" s="404"/>
      <c r="BJ73" s="404"/>
      <c r="BM73" s="404"/>
      <c r="BP73" s="404"/>
      <c r="BS73" s="404"/>
      <c r="BV73" s="404"/>
    </row>
    <row r="74" spans="1:74" s="61" customFormat="1" x14ac:dyDescent="0.2">
      <c r="C74" s="662"/>
      <c r="D74" s="375"/>
      <c r="E74" s="679"/>
      <c r="F74" s="375"/>
      <c r="G74" s="375"/>
      <c r="H74" s="376"/>
      <c r="I74" s="375"/>
      <c r="J74" s="375"/>
      <c r="K74" s="376"/>
      <c r="L74" s="375"/>
      <c r="M74" s="375"/>
      <c r="N74" s="375"/>
      <c r="O74" s="448"/>
      <c r="P74" s="377"/>
      <c r="Q74" s="404"/>
      <c r="T74" s="404"/>
      <c r="W74" s="404"/>
      <c r="Z74" s="404"/>
      <c r="AC74" s="404"/>
      <c r="AF74" s="404"/>
      <c r="AI74" s="404"/>
      <c r="AL74" s="404"/>
      <c r="AO74" s="404"/>
      <c r="AR74" s="404"/>
      <c r="AU74" s="404"/>
      <c r="AX74" s="404"/>
      <c r="BA74" s="404"/>
      <c r="BD74" s="404"/>
      <c r="BG74" s="404"/>
      <c r="BJ74" s="404"/>
      <c r="BM74" s="404"/>
      <c r="BP74" s="404"/>
      <c r="BS74" s="404"/>
      <c r="BV74" s="404"/>
    </row>
    <row r="75" spans="1:74" s="389" customFormat="1" x14ac:dyDescent="0.2">
      <c r="A75" s="418" t="s">
        <v>436</v>
      </c>
      <c r="B75" s="418" t="s">
        <v>445</v>
      </c>
      <c r="C75" s="664"/>
      <c r="D75" s="384"/>
      <c r="E75" s="681"/>
      <c r="F75" s="384"/>
      <c r="G75" s="384"/>
      <c r="H75" s="385"/>
      <c r="I75" s="384"/>
      <c r="J75" s="384"/>
      <c r="K75" s="385"/>
      <c r="L75" s="384"/>
      <c r="M75" s="384"/>
      <c r="N75" s="384"/>
      <c r="O75" s="697"/>
      <c r="P75" s="386"/>
      <c r="Q75" s="405"/>
      <c r="T75" s="405"/>
      <c r="W75" s="405"/>
      <c r="Z75" s="405"/>
      <c r="AC75" s="405"/>
      <c r="AF75" s="405"/>
      <c r="AI75" s="405"/>
      <c r="AL75" s="405"/>
      <c r="AO75" s="405"/>
      <c r="AR75" s="405"/>
      <c r="AU75" s="405"/>
      <c r="AX75" s="405"/>
      <c r="BA75" s="405"/>
      <c r="BD75" s="405"/>
      <c r="BG75" s="405"/>
      <c r="BJ75" s="405"/>
      <c r="BM75" s="405"/>
      <c r="BP75" s="405"/>
      <c r="BS75" s="405"/>
      <c r="BV75" s="405"/>
    </row>
    <row r="76" spans="1:74" x14ac:dyDescent="0.2">
      <c r="A76" t="s">
        <v>437</v>
      </c>
      <c r="C76" s="688">
        <v>0.44</v>
      </c>
      <c r="D76" s="688"/>
      <c r="E76" s="689"/>
      <c r="F76" s="688">
        <v>0.44</v>
      </c>
      <c r="G76" s="688"/>
      <c r="H76" s="689"/>
      <c r="I76" s="688">
        <v>0.44</v>
      </c>
      <c r="J76" s="688"/>
      <c r="K76" s="689"/>
      <c r="L76" s="688">
        <v>0.56000000000000005</v>
      </c>
      <c r="M76" s="688"/>
      <c r="N76" s="688"/>
      <c r="O76" s="694">
        <v>0.56999999999999995</v>
      </c>
      <c r="P76" s="688"/>
      <c r="Q76" s="690"/>
      <c r="R76" s="688">
        <v>0.56000000000000005</v>
      </c>
      <c r="S76" s="691"/>
      <c r="T76" s="690"/>
      <c r="U76" s="688">
        <v>0.53</v>
      </c>
      <c r="V76" s="691"/>
      <c r="W76" s="690"/>
      <c r="X76" s="688">
        <v>0.53</v>
      </c>
      <c r="Y76" s="691"/>
      <c r="Z76" s="690"/>
      <c r="AA76" s="688">
        <v>0.49</v>
      </c>
      <c r="AB76" s="691"/>
      <c r="AC76" s="690"/>
      <c r="AD76" s="688">
        <v>0.52</v>
      </c>
      <c r="AE76" s="691"/>
      <c r="AF76" s="690"/>
      <c r="AG76" s="688">
        <v>0.53</v>
      </c>
      <c r="AH76" s="691"/>
      <c r="AI76" s="690"/>
      <c r="AJ76" s="688">
        <v>0.55000000000000004</v>
      </c>
      <c r="AK76" s="691"/>
      <c r="AL76" s="690"/>
      <c r="AM76" s="688">
        <v>0.44</v>
      </c>
      <c r="AN76" s="691"/>
      <c r="AO76" s="690"/>
      <c r="AP76" s="691"/>
      <c r="AQ76" s="691"/>
      <c r="AR76" s="690"/>
      <c r="AS76" s="691"/>
      <c r="AT76" s="691"/>
      <c r="AU76" s="690"/>
      <c r="AV76" s="691"/>
      <c r="AW76" s="691"/>
      <c r="AX76" s="690"/>
      <c r="AY76" s="691"/>
      <c r="AZ76" s="691"/>
      <c r="BA76" s="690"/>
      <c r="BB76" s="691"/>
      <c r="BC76" s="691"/>
      <c r="BD76" s="690"/>
      <c r="BE76" s="691"/>
      <c r="BF76" s="691"/>
      <c r="BG76" s="690"/>
      <c r="BH76" s="691"/>
      <c r="BI76" s="691"/>
      <c r="BJ76" s="690"/>
      <c r="BK76" s="691"/>
      <c r="BL76" s="691"/>
      <c r="BM76" s="690"/>
      <c r="BN76" s="691"/>
      <c r="BO76" s="691"/>
      <c r="BP76" s="690"/>
      <c r="BQ76" s="691"/>
      <c r="BR76" s="691"/>
      <c r="BS76" s="690"/>
      <c r="BT76" s="691"/>
      <c r="BU76" s="691"/>
      <c r="BV76" s="690"/>
    </row>
    <row r="77" spans="1:74" x14ac:dyDescent="0.2">
      <c r="A77" t="s">
        <v>438</v>
      </c>
      <c r="C77" s="688">
        <v>0.71</v>
      </c>
      <c r="D77" s="688"/>
      <c r="E77" s="689"/>
      <c r="F77" s="688">
        <v>0.76</v>
      </c>
      <c r="G77" s="688"/>
      <c r="H77" s="689"/>
      <c r="I77" s="688">
        <v>0.71</v>
      </c>
      <c r="J77" s="688"/>
      <c r="K77" s="689"/>
      <c r="L77" s="688">
        <v>0.92</v>
      </c>
      <c r="M77" s="688"/>
      <c r="N77" s="688"/>
      <c r="O77" s="694">
        <v>0.85</v>
      </c>
      <c r="P77" s="688"/>
      <c r="Q77" s="690"/>
      <c r="R77" s="688">
        <v>0.85</v>
      </c>
      <c r="S77" s="691"/>
      <c r="T77" s="690"/>
      <c r="U77" s="688">
        <v>0.92</v>
      </c>
      <c r="V77" s="691"/>
      <c r="W77" s="690"/>
      <c r="X77" s="688">
        <v>0.81</v>
      </c>
      <c r="Y77" s="691"/>
      <c r="Z77" s="690"/>
      <c r="AA77" s="688">
        <v>0.91</v>
      </c>
      <c r="AB77" s="691"/>
      <c r="AC77" s="690"/>
      <c r="AD77" s="688">
        <v>0.73</v>
      </c>
      <c r="AE77" s="691"/>
      <c r="AF77" s="690"/>
      <c r="AG77" s="688">
        <v>0.82</v>
      </c>
      <c r="AH77" s="691"/>
      <c r="AI77" s="690"/>
      <c r="AJ77" s="688">
        <v>0.81</v>
      </c>
      <c r="AK77" s="691"/>
      <c r="AL77" s="690"/>
      <c r="AM77" s="688">
        <v>0.85</v>
      </c>
      <c r="AN77" s="691"/>
      <c r="AO77" s="690"/>
      <c r="AP77" s="691"/>
      <c r="AQ77" s="691"/>
      <c r="AR77" s="690"/>
      <c r="AS77" s="691"/>
      <c r="AT77" s="691"/>
      <c r="AU77" s="690"/>
      <c r="AV77" s="691"/>
      <c r="AW77" s="691"/>
      <c r="AX77" s="690"/>
      <c r="AY77" s="691"/>
      <c r="AZ77" s="691"/>
      <c r="BA77" s="690"/>
      <c r="BB77" s="691"/>
      <c r="BC77" s="691"/>
      <c r="BD77" s="690"/>
      <c r="BE77" s="691"/>
      <c r="BF77" s="691"/>
      <c r="BG77" s="690"/>
      <c r="BH77" s="691"/>
      <c r="BI77" s="691"/>
      <c r="BJ77" s="690"/>
      <c r="BK77" s="691"/>
      <c r="BL77" s="691"/>
      <c r="BM77" s="690"/>
      <c r="BN77" s="691"/>
      <c r="BO77" s="691"/>
      <c r="BP77" s="690"/>
      <c r="BQ77" s="691"/>
      <c r="BR77" s="691"/>
      <c r="BS77" s="690"/>
      <c r="BT77" s="691"/>
      <c r="BU77" s="691"/>
      <c r="BV77" s="690"/>
    </row>
    <row r="78" spans="1:74" x14ac:dyDescent="0.2">
      <c r="A78" t="s">
        <v>439</v>
      </c>
      <c r="C78" s="688">
        <v>0.89</v>
      </c>
      <c r="D78" s="688"/>
      <c r="E78" s="689"/>
      <c r="F78" s="688">
        <v>0.98</v>
      </c>
      <c r="G78" s="688"/>
      <c r="H78" s="689"/>
      <c r="I78" s="688">
        <v>1</v>
      </c>
      <c r="J78" s="688"/>
      <c r="K78" s="689"/>
      <c r="L78" s="688">
        <v>0.82</v>
      </c>
      <c r="M78" s="688"/>
      <c r="N78" s="688"/>
      <c r="O78" s="694">
        <v>0.85</v>
      </c>
      <c r="P78" s="688"/>
      <c r="Q78" s="690"/>
      <c r="R78" s="688">
        <v>1</v>
      </c>
      <c r="S78" s="691"/>
      <c r="T78" s="690"/>
      <c r="U78" s="688">
        <v>0.66</v>
      </c>
      <c r="V78" s="691"/>
      <c r="W78" s="690"/>
      <c r="X78" s="688">
        <v>0.96</v>
      </c>
      <c r="Y78" s="691"/>
      <c r="Z78" s="690"/>
      <c r="AA78" s="688">
        <v>0.71</v>
      </c>
      <c r="AB78" s="691"/>
      <c r="AC78" s="690"/>
      <c r="AD78" s="688">
        <v>0.75</v>
      </c>
      <c r="AE78" s="691"/>
      <c r="AF78" s="690"/>
      <c r="AG78" s="688">
        <v>0.93</v>
      </c>
      <c r="AH78" s="691"/>
      <c r="AI78" s="690"/>
      <c r="AJ78" s="688">
        <v>1.2</v>
      </c>
      <c r="AK78" s="691"/>
      <c r="AL78" s="690"/>
      <c r="AM78" s="688">
        <v>0.6</v>
      </c>
      <c r="AN78" s="691"/>
      <c r="AO78" s="690"/>
      <c r="AP78" s="691"/>
      <c r="AQ78" s="691"/>
      <c r="AR78" s="690"/>
      <c r="AS78" s="691"/>
      <c r="AT78" s="691"/>
      <c r="AU78" s="690"/>
      <c r="AV78" s="691"/>
      <c r="AW78" s="691"/>
      <c r="AX78" s="690"/>
      <c r="AY78" s="691"/>
      <c r="AZ78" s="691"/>
      <c r="BA78" s="690"/>
      <c r="BB78" s="691"/>
      <c r="BC78" s="691"/>
      <c r="BD78" s="690"/>
      <c r="BE78" s="691"/>
      <c r="BF78" s="691"/>
      <c r="BG78" s="690"/>
      <c r="BH78" s="691"/>
      <c r="BI78" s="691"/>
      <c r="BJ78" s="690"/>
      <c r="BK78" s="691"/>
      <c r="BL78" s="691"/>
      <c r="BM78" s="690"/>
      <c r="BN78" s="691"/>
      <c r="BO78" s="691"/>
      <c r="BP78" s="690"/>
      <c r="BQ78" s="691"/>
      <c r="BR78" s="691"/>
      <c r="BS78" s="690"/>
      <c r="BT78" s="691"/>
      <c r="BU78" s="691"/>
      <c r="BV78" s="690"/>
    </row>
    <row r="79" spans="1:74" x14ac:dyDescent="0.2">
      <c r="A79" t="s">
        <v>440</v>
      </c>
      <c r="C79" s="688">
        <v>0.81</v>
      </c>
      <c r="D79" s="688"/>
      <c r="E79" s="689"/>
      <c r="F79" s="688">
        <v>0.78</v>
      </c>
      <c r="G79" s="688"/>
      <c r="H79" s="689"/>
      <c r="I79" s="688">
        <v>0.77</v>
      </c>
      <c r="J79" s="688"/>
      <c r="K79" s="689"/>
      <c r="L79" s="688">
        <v>0.73</v>
      </c>
      <c r="M79" s="688"/>
      <c r="N79" s="688"/>
      <c r="O79" s="694">
        <v>0.78</v>
      </c>
      <c r="P79" s="688"/>
      <c r="Q79" s="690"/>
      <c r="R79" s="688">
        <v>0.74</v>
      </c>
      <c r="S79" s="691"/>
      <c r="T79" s="690"/>
      <c r="U79" s="688">
        <v>0.84</v>
      </c>
      <c r="V79" s="691"/>
      <c r="W79" s="690"/>
      <c r="X79" s="688">
        <v>0.76</v>
      </c>
      <c r="Y79" s="691"/>
      <c r="Z79" s="690"/>
      <c r="AA79" s="688">
        <v>0.85</v>
      </c>
      <c r="AB79" s="691"/>
      <c r="AC79" s="690"/>
      <c r="AD79" s="688">
        <v>0.84</v>
      </c>
      <c r="AE79" s="691"/>
      <c r="AF79" s="690"/>
      <c r="AG79" s="688">
        <v>0.82</v>
      </c>
      <c r="AH79" s="691"/>
      <c r="AI79" s="690"/>
      <c r="AJ79" s="688">
        <v>0.66</v>
      </c>
      <c r="AK79" s="691"/>
      <c r="AL79" s="690"/>
      <c r="AM79" s="688">
        <v>0.6</v>
      </c>
      <c r="AN79" s="691"/>
      <c r="AO79" s="690"/>
      <c r="AP79" s="691"/>
      <c r="AQ79" s="691"/>
      <c r="AR79" s="690"/>
      <c r="AS79" s="691"/>
      <c r="AT79" s="691"/>
      <c r="AU79" s="690"/>
      <c r="AV79" s="691"/>
      <c r="AW79" s="691"/>
      <c r="AX79" s="690"/>
      <c r="AY79" s="691"/>
      <c r="AZ79" s="691"/>
      <c r="BA79" s="690"/>
      <c r="BB79" s="691"/>
      <c r="BC79" s="691"/>
      <c r="BD79" s="690"/>
      <c r="BE79" s="691"/>
      <c r="BF79" s="691"/>
      <c r="BG79" s="690"/>
      <c r="BH79" s="691"/>
      <c r="BI79" s="691"/>
      <c r="BJ79" s="690"/>
      <c r="BK79" s="691"/>
      <c r="BL79" s="691"/>
      <c r="BM79" s="690"/>
      <c r="BN79" s="691"/>
      <c r="BO79" s="691"/>
      <c r="BP79" s="690"/>
      <c r="BQ79" s="691"/>
      <c r="BR79" s="691"/>
      <c r="BS79" s="690"/>
      <c r="BT79" s="691"/>
      <c r="BU79" s="691"/>
      <c r="BV79" s="690"/>
    </row>
    <row r="80" spans="1:74" x14ac:dyDescent="0.2">
      <c r="A80" t="s">
        <v>441</v>
      </c>
      <c r="C80" s="688">
        <v>0.96</v>
      </c>
      <c r="D80" s="688"/>
      <c r="E80" s="689"/>
      <c r="F80" s="688">
        <v>0.98</v>
      </c>
      <c r="G80" s="688"/>
      <c r="H80" s="689"/>
      <c r="I80" s="688">
        <v>0.95</v>
      </c>
      <c r="J80" s="688"/>
      <c r="K80" s="689"/>
      <c r="L80" s="688">
        <v>0.92</v>
      </c>
      <c r="M80" s="688"/>
      <c r="N80" s="688"/>
      <c r="O80" s="694">
        <v>0.86</v>
      </c>
      <c r="P80" s="688"/>
      <c r="Q80" s="690"/>
      <c r="R80" s="688">
        <v>0.85</v>
      </c>
      <c r="S80" s="691"/>
      <c r="T80" s="690"/>
      <c r="U80" s="688">
        <v>0.95</v>
      </c>
      <c r="V80" s="691"/>
      <c r="W80" s="690"/>
      <c r="X80" s="688">
        <v>0.9</v>
      </c>
      <c r="Y80" s="691"/>
      <c r="Z80" s="690"/>
      <c r="AA80" s="688">
        <v>0.91</v>
      </c>
      <c r="AB80" s="691"/>
      <c r="AC80" s="690"/>
      <c r="AD80" s="688">
        <v>0.92</v>
      </c>
      <c r="AE80" s="691"/>
      <c r="AF80" s="690"/>
      <c r="AG80" s="688">
        <v>0.91</v>
      </c>
      <c r="AH80" s="691"/>
      <c r="AI80" s="690"/>
      <c r="AJ80" s="688">
        <v>0.92</v>
      </c>
      <c r="AK80" s="691"/>
      <c r="AL80" s="690"/>
      <c r="AM80" s="688">
        <v>0.85</v>
      </c>
      <c r="AN80" s="691"/>
      <c r="AO80" s="690"/>
      <c r="AP80" s="691"/>
      <c r="AQ80" s="691"/>
      <c r="AR80" s="690"/>
      <c r="AS80" s="691"/>
      <c r="AT80" s="691"/>
      <c r="AU80" s="690"/>
      <c r="AV80" s="691"/>
      <c r="AW80" s="691"/>
      <c r="AX80" s="690"/>
      <c r="AY80" s="691"/>
      <c r="AZ80" s="691"/>
      <c r="BA80" s="690"/>
      <c r="BB80" s="691"/>
      <c r="BC80" s="691"/>
      <c r="BD80" s="690"/>
      <c r="BE80" s="691"/>
      <c r="BF80" s="691"/>
      <c r="BG80" s="690"/>
      <c r="BH80" s="691"/>
      <c r="BI80" s="691"/>
      <c r="BJ80" s="690"/>
      <c r="BK80" s="691"/>
      <c r="BL80" s="691"/>
      <c r="BM80" s="690"/>
      <c r="BN80" s="691"/>
      <c r="BO80" s="691"/>
      <c r="BP80" s="690"/>
      <c r="BQ80" s="691"/>
      <c r="BR80" s="691"/>
      <c r="BS80" s="690"/>
      <c r="BT80" s="691"/>
      <c r="BU80" s="691"/>
      <c r="BV80" s="690"/>
    </row>
    <row r="81" spans="1:74" x14ac:dyDescent="0.2">
      <c r="A81" t="s">
        <v>442</v>
      </c>
      <c r="C81" s="688">
        <v>0.65</v>
      </c>
      <c r="D81" s="688"/>
      <c r="E81" s="689"/>
      <c r="F81" s="688">
        <v>0.63</v>
      </c>
      <c r="G81" s="688"/>
      <c r="H81" s="689"/>
      <c r="I81" s="688">
        <v>0.6</v>
      </c>
      <c r="J81" s="688"/>
      <c r="K81" s="689"/>
      <c r="L81" s="688">
        <v>0.54</v>
      </c>
      <c r="M81" s="688"/>
      <c r="N81" s="688"/>
      <c r="O81" s="694">
        <v>0.54</v>
      </c>
      <c r="P81" s="688"/>
      <c r="Q81" s="690"/>
      <c r="R81" s="688">
        <v>0.69</v>
      </c>
      <c r="S81" s="691"/>
      <c r="T81" s="690"/>
      <c r="U81" s="688">
        <v>0.7</v>
      </c>
      <c r="V81" s="691"/>
      <c r="W81" s="690"/>
      <c r="X81" s="688">
        <v>0.67</v>
      </c>
      <c r="Y81" s="691"/>
      <c r="Z81" s="690"/>
      <c r="AA81" s="688">
        <v>0.7</v>
      </c>
      <c r="AB81" s="691"/>
      <c r="AC81" s="690"/>
      <c r="AD81" s="688">
        <v>0.71</v>
      </c>
      <c r="AE81" s="691"/>
      <c r="AF81" s="690"/>
      <c r="AG81" s="688">
        <v>0.76</v>
      </c>
      <c r="AH81" s="691"/>
      <c r="AI81" s="690"/>
      <c r="AJ81" s="688">
        <v>0.7</v>
      </c>
      <c r="AK81" s="691"/>
      <c r="AL81" s="690"/>
      <c r="AM81" s="688">
        <v>0.7</v>
      </c>
      <c r="AN81" s="691"/>
      <c r="AO81" s="690"/>
      <c r="AP81" s="691"/>
      <c r="AQ81" s="691"/>
      <c r="AR81" s="690"/>
      <c r="AS81" s="691"/>
      <c r="AT81" s="691"/>
      <c r="AU81" s="690"/>
      <c r="AV81" s="691"/>
      <c r="AW81" s="691"/>
      <c r="AX81" s="690"/>
      <c r="AY81" s="691"/>
      <c r="AZ81" s="691"/>
      <c r="BA81" s="690"/>
      <c r="BB81" s="691"/>
      <c r="BC81" s="691"/>
      <c r="BD81" s="690"/>
      <c r="BE81" s="691"/>
      <c r="BF81" s="691"/>
      <c r="BG81" s="690"/>
      <c r="BH81" s="691"/>
      <c r="BI81" s="691"/>
      <c r="BJ81" s="690"/>
      <c r="BK81" s="691"/>
      <c r="BL81" s="691"/>
      <c r="BM81" s="690"/>
      <c r="BN81" s="691"/>
      <c r="BO81" s="691"/>
      <c r="BP81" s="690"/>
      <c r="BQ81" s="691"/>
      <c r="BR81" s="691"/>
      <c r="BS81" s="690"/>
      <c r="BT81" s="691"/>
      <c r="BU81" s="691"/>
      <c r="BV81" s="690"/>
    </row>
    <row r="82" spans="1:74" x14ac:dyDescent="0.2">
      <c r="A82" t="s">
        <v>443</v>
      </c>
      <c r="C82" s="688">
        <v>0.86</v>
      </c>
      <c r="D82" s="688"/>
      <c r="E82" s="689"/>
      <c r="F82" s="688">
        <v>0.87</v>
      </c>
      <c r="G82" s="688"/>
      <c r="H82" s="689"/>
      <c r="I82" s="688">
        <v>0.94</v>
      </c>
      <c r="J82" s="688"/>
      <c r="K82" s="689"/>
      <c r="L82" s="688">
        <v>0.82</v>
      </c>
      <c r="M82" s="688"/>
      <c r="N82" s="688"/>
      <c r="O82" s="694">
        <v>0.87</v>
      </c>
      <c r="P82" s="688"/>
      <c r="Q82" s="690"/>
      <c r="R82" s="688">
        <v>0.92</v>
      </c>
      <c r="S82" s="691"/>
      <c r="T82" s="690"/>
      <c r="U82" s="688">
        <v>0.91</v>
      </c>
      <c r="V82" s="691"/>
      <c r="W82" s="690"/>
      <c r="X82" s="688">
        <v>0.94</v>
      </c>
      <c r="Y82" s="691"/>
      <c r="Z82" s="690"/>
      <c r="AA82" s="688">
        <v>0.87</v>
      </c>
      <c r="AB82" s="691"/>
      <c r="AC82" s="690"/>
      <c r="AD82" s="688">
        <v>0.94</v>
      </c>
      <c r="AE82" s="691"/>
      <c r="AF82" s="690"/>
      <c r="AG82" s="688">
        <v>0.98</v>
      </c>
      <c r="AH82" s="691"/>
      <c r="AI82" s="690"/>
      <c r="AJ82" s="688">
        <v>0.99</v>
      </c>
      <c r="AK82" s="691"/>
      <c r="AL82" s="690"/>
      <c r="AM82" s="688">
        <v>0.9</v>
      </c>
      <c r="AN82" s="691"/>
      <c r="AO82" s="690"/>
      <c r="AP82" s="691"/>
      <c r="AQ82" s="691"/>
      <c r="AR82" s="690"/>
      <c r="AS82" s="691"/>
      <c r="AT82" s="691"/>
      <c r="AU82" s="690"/>
      <c r="AV82" s="691"/>
      <c r="AW82" s="691"/>
      <c r="AX82" s="690"/>
      <c r="AY82" s="691"/>
      <c r="AZ82" s="691"/>
      <c r="BA82" s="690"/>
      <c r="BB82" s="691"/>
      <c r="BC82" s="691"/>
      <c r="BD82" s="690"/>
      <c r="BE82" s="691"/>
      <c r="BF82" s="691"/>
      <c r="BG82" s="690"/>
      <c r="BH82" s="691"/>
      <c r="BI82" s="691"/>
      <c r="BJ82" s="690"/>
      <c r="BK82" s="691"/>
      <c r="BL82" s="691"/>
      <c r="BM82" s="690"/>
      <c r="BN82" s="691"/>
      <c r="BO82" s="691"/>
      <c r="BP82" s="690"/>
      <c r="BQ82" s="691"/>
      <c r="BR82" s="691"/>
      <c r="BS82" s="690"/>
      <c r="BT82" s="691"/>
      <c r="BU82" s="691"/>
      <c r="BV82" s="690"/>
    </row>
    <row r="83" spans="1:74" x14ac:dyDescent="0.2">
      <c r="A83" t="s">
        <v>444</v>
      </c>
      <c r="C83" s="688">
        <v>1.61</v>
      </c>
      <c r="D83" s="688"/>
      <c r="E83" s="689"/>
      <c r="F83" s="688">
        <v>1.65</v>
      </c>
      <c r="G83" s="688"/>
      <c r="H83" s="689"/>
      <c r="I83" s="688">
        <v>1.6</v>
      </c>
      <c r="J83" s="688"/>
      <c r="K83" s="689"/>
      <c r="L83" s="688">
        <v>1.52</v>
      </c>
      <c r="M83" s="688"/>
      <c r="N83" s="688"/>
      <c r="O83" s="694">
        <v>1.46</v>
      </c>
      <c r="P83" s="688"/>
      <c r="Q83" s="690"/>
      <c r="R83" s="688">
        <v>1.5</v>
      </c>
      <c r="S83" s="691"/>
      <c r="T83" s="690"/>
      <c r="U83" s="688">
        <v>1.49</v>
      </c>
      <c r="V83" s="691"/>
      <c r="W83" s="690"/>
      <c r="X83" s="688">
        <v>1.6</v>
      </c>
      <c r="Y83" s="691"/>
      <c r="Z83" s="690"/>
      <c r="AA83" s="688">
        <v>1.58</v>
      </c>
      <c r="AB83" s="691"/>
      <c r="AC83" s="690"/>
      <c r="AD83" s="688">
        <v>1.5</v>
      </c>
      <c r="AE83" s="691"/>
      <c r="AF83" s="690"/>
      <c r="AG83" s="688">
        <v>1.1200000000000001</v>
      </c>
      <c r="AH83" s="691"/>
      <c r="AI83" s="690"/>
      <c r="AJ83" s="688">
        <v>1.25</v>
      </c>
      <c r="AK83" s="691"/>
      <c r="AL83" s="690"/>
      <c r="AM83" s="688">
        <v>1.1000000000000001</v>
      </c>
      <c r="AN83" s="691"/>
      <c r="AO83" s="690"/>
      <c r="AP83" s="691"/>
      <c r="AQ83" s="691"/>
      <c r="AR83" s="690"/>
      <c r="AS83" s="691"/>
      <c r="AT83" s="691"/>
      <c r="AU83" s="690"/>
      <c r="AV83" s="691"/>
      <c r="AW83" s="691"/>
      <c r="AX83" s="690"/>
      <c r="AY83" s="691"/>
      <c r="AZ83" s="691"/>
      <c r="BA83" s="690"/>
      <c r="BB83" s="691"/>
      <c r="BC83" s="691"/>
      <c r="BD83" s="690"/>
      <c r="BE83" s="691"/>
      <c r="BF83" s="691"/>
      <c r="BG83" s="690"/>
      <c r="BH83" s="691"/>
      <c r="BI83" s="691"/>
      <c r="BJ83" s="690"/>
      <c r="BK83" s="691"/>
      <c r="BL83" s="691"/>
      <c r="BM83" s="690"/>
      <c r="BN83" s="691"/>
      <c r="BO83" s="691"/>
      <c r="BP83" s="690"/>
      <c r="BQ83" s="691"/>
      <c r="BR83" s="691"/>
      <c r="BS83" s="690"/>
      <c r="BT83" s="691"/>
      <c r="BU83" s="691"/>
      <c r="BV83" s="690"/>
    </row>
    <row r="84" spans="1:74" x14ac:dyDescent="0.2">
      <c r="C84" s="688"/>
      <c r="D84" s="688"/>
      <c r="E84" s="689"/>
      <c r="F84" s="688"/>
      <c r="G84" s="688"/>
      <c r="H84" s="689"/>
      <c r="I84" s="688"/>
      <c r="J84" s="688"/>
      <c r="K84" s="689"/>
      <c r="L84" s="688"/>
      <c r="M84" s="688"/>
      <c r="N84" s="688"/>
      <c r="O84" s="694"/>
      <c r="P84" s="688"/>
      <c r="Q84" s="690"/>
      <c r="R84" s="691"/>
      <c r="S84" s="691"/>
      <c r="T84" s="690"/>
      <c r="U84" s="691"/>
      <c r="V84" s="691"/>
      <c r="W84" s="690"/>
      <c r="X84" s="691"/>
      <c r="Y84" s="691"/>
      <c r="Z84" s="690"/>
      <c r="AA84" s="691"/>
      <c r="AB84" s="691"/>
      <c r="AC84" s="690"/>
      <c r="AD84" s="691"/>
      <c r="AE84" s="691"/>
      <c r="AF84" s="690"/>
      <c r="AG84" s="691"/>
      <c r="AH84" s="691"/>
      <c r="AI84" s="690"/>
      <c r="AJ84" s="691"/>
      <c r="AK84" s="691"/>
      <c r="AL84" s="690"/>
      <c r="AM84" s="691"/>
      <c r="AN84" s="691"/>
      <c r="AO84" s="690"/>
      <c r="AP84" s="691"/>
      <c r="AQ84" s="691"/>
      <c r="AR84" s="690"/>
      <c r="AS84" s="691"/>
      <c r="AT84" s="691"/>
      <c r="AU84" s="690"/>
      <c r="AV84" s="691"/>
      <c r="AW84" s="691"/>
      <c r="AX84" s="690"/>
      <c r="AY84" s="691"/>
      <c r="AZ84" s="691"/>
      <c r="BA84" s="690"/>
      <c r="BB84" s="691"/>
      <c r="BC84" s="691"/>
      <c r="BD84" s="690"/>
      <c r="BE84" s="691"/>
      <c r="BF84" s="691"/>
      <c r="BG84" s="690"/>
      <c r="BH84" s="691"/>
      <c r="BI84" s="691"/>
      <c r="BJ84" s="690"/>
      <c r="BK84" s="691"/>
      <c r="BL84" s="691"/>
      <c r="BM84" s="690"/>
      <c r="BN84" s="691"/>
      <c r="BO84" s="691"/>
      <c r="BP84" s="690"/>
      <c r="BQ84" s="691"/>
      <c r="BR84" s="691"/>
      <c r="BS84" s="690"/>
      <c r="BT84" s="691"/>
      <c r="BU84" s="691"/>
      <c r="BV84" s="690"/>
    </row>
    <row r="85" spans="1:74" s="61" customFormat="1" x14ac:dyDescent="0.2">
      <c r="C85" s="662"/>
      <c r="D85" s="375"/>
      <c r="E85" s="679"/>
      <c r="F85" s="375"/>
      <c r="G85" s="375"/>
      <c r="H85" s="376"/>
      <c r="I85" s="375"/>
      <c r="J85" s="375"/>
      <c r="K85" s="376"/>
      <c r="L85" s="375"/>
      <c r="M85" s="375"/>
      <c r="N85" s="375"/>
      <c r="O85" s="448"/>
      <c r="P85" s="377"/>
      <c r="Q85" s="404"/>
      <c r="T85" s="404"/>
      <c r="W85" s="404"/>
      <c r="Z85" s="404"/>
      <c r="AC85" s="404"/>
      <c r="AF85" s="404"/>
      <c r="AI85" s="404"/>
      <c r="AL85" s="404"/>
      <c r="AO85" s="404"/>
      <c r="AR85" s="404"/>
      <c r="AU85" s="404"/>
      <c r="AX85" s="404"/>
      <c r="BA85" s="404"/>
      <c r="BD85" s="404"/>
      <c r="BG85" s="404"/>
      <c r="BJ85" s="404"/>
      <c r="BM85" s="404"/>
      <c r="BP85" s="404"/>
      <c r="BS85" s="404"/>
      <c r="BV85" s="404"/>
    </row>
    <row r="86" spans="1:74" s="389" customFormat="1" x14ac:dyDescent="0.2">
      <c r="A86" s="406" t="s">
        <v>602</v>
      </c>
      <c r="C86" s="664"/>
      <c r="D86" s="384"/>
      <c r="E86" s="681"/>
      <c r="F86" s="384"/>
      <c r="G86" s="384"/>
      <c r="H86" s="385"/>
      <c r="I86" s="384"/>
      <c r="J86" s="384"/>
      <c r="K86" s="385"/>
      <c r="L86" s="384"/>
      <c r="M86" s="384"/>
      <c r="N86" s="384"/>
      <c r="O86" s="697"/>
      <c r="P86" s="381" t="s">
        <v>224</v>
      </c>
      <c r="Q86" s="405" t="s">
        <v>225</v>
      </c>
      <c r="T86" s="405" t="s">
        <v>225</v>
      </c>
      <c r="W86" s="405" t="s">
        <v>225</v>
      </c>
      <c r="Z86" s="405" t="s">
        <v>225</v>
      </c>
      <c r="AC86" s="405"/>
      <c r="AF86" s="405"/>
      <c r="AI86" s="405"/>
      <c r="AL86" s="405"/>
      <c r="AO86" s="405"/>
      <c r="AR86" s="405"/>
      <c r="AU86" s="405"/>
      <c r="AX86" s="405"/>
      <c r="BA86" s="405"/>
      <c r="BD86" s="405"/>
      <c r="BG86" s="405"/>
      <c r="BJ86" s="405"/>
      <c r="BM86" s="405"/>
      <c r="BP86" s="405"/>
      <c r="BS86" s="405"/>
      <c r="BV86" s="405"/>
    </row>
    <row r="87" spans="1:74" s="389" customFormat="1" x14ac:dyDescent="0.2">
      <c r="A87" s="381" t="s">
        <v>453</v>
      </c>
      <c r="C87" s="664" t="s">
        <v>224</v>
      </c>
      <c r="D87" s="384" t="s">
        <v>224</v>
      </c>
      <c r="E87" s="681" t="s">
        <v>224</v>
      </c>
      <c r="F87" s="384" t="s">
        <v>224</v>
      </c>
      <c r="G87" s="384" t="s">
        <v>224</v>
      </c>
      <c r="H87" s="385" t="s">
        <v>224</v>
      </c>
      <c r="I87" s="384" t="s">
        <v>224</v>
      </c>
      <c r="J87" s="384" t="s">
        <v>224</v>
      </c>
      <c r="K87" s="385" t="s">
        <v>224</v>
      </c>
      <c r="L87" s="384" t="s">
        <v>224</v>
      </c>
      <c r="M87" s="384" t="s">
        <v>224</v>
      </c>
      <c r="N87" s="384" t="s">
        <v>224</v>
      </c>
      <c r="O87" s="699" t="s">
        <v>224</v>
      </c>
      <c r="P87" s="384" t="s">
        <v>224</v>
      </c>
      <c r="Q87" s="385" t="s">
        <v>224</v>
      </c>
      <c r="R87" s="384" t="s">
        <v>224</v>
      </c>
      <c r="S87" s="384" t="s">
        <v>224</v>
      </c>
      <c r="T87" s="385" t="s">
        <v>224</v>
      </c>
      <c r="U87" s="384" t="s">
        <v>224</v>
      </c>
      <c r="V87" s="384" t="s">
        <v>224</v>
      </c>
      <c r="W87" s="385" t="s">
        <v>224</v>
      </c>
      <c r="X87" s="384" t="s">
        <v>224</v>
      </c>
      <c r="Y87" s="384" t="s">
        <v>224</v>
      </c>
      <c r="Z87" s="385" t="s">
        <v>224</v>
      </c>
      <c r="AA87" s="384" t="s">
        <v>224</v>
      </c>
      <c r="AB87" s="384" t="s">
        <v>224</v>
      </c>
      <c r="AC87" s="385" t="s">
        <v>224</v>
      </c>
      <c r="AD87" s="384" t="s">
        <v>224</v>
      </c>
      <c r="AE87" s="384" t="s">
        <v>224</v>
      </c>
      <c r="AF87" s="385" t="s">
        <v>224</v>
      </c>
      <c r="AG87" s="384" t="s">
        <v>224</v>
      </c>
      <c r="AH87" s="384" t="s">
        <v>224</v>
      </c>
      <c r="AI87" s="385" t="s">
        <v>224</v>
      </c>
      <c r="AJ87" s="384" t="s">
        <v>224</v>
      </c>
      <c r="AK87" s="384" t="s">
        <v>224</v>
      </c>
      <c r="AL87" s="385" t="s">
        <v>224</v>
      </c>
      <c r="AM87" s="384" t="s">
        <v>224</v>
      </c>
      <c r="AO87" s="405"/>
      <c r="AR87" s="405"/>
      <c r="AU87" s="405"/>
      <c r="AX87" s="405"/>
      <c r="BA87" s="405"/>
      <c r="BD87" s="405"/>
      <c r="BG87" s="405"/>
      <c r="BJ87" s="405"/>
      <c r="BM87" s="405"/>
      <c r="BP87" s="405"/>
      <c r="BS87" s="405"/>
      <c r="BV87" s="405"/>
    </row>
    <row r="88" spans="1:74" s="439" customFormat="1" x14ac:dyDescent="0.2">
      <c r="A88" s="439" t="s">
        <v>148</v>
      </c>
      <c r="B88" s="439" t="s">
        <v>76</v>
      </c>
      <c r="C88" s="706">
        <f>(ROUND((C28+C53)*C$76,0))-C112</f>
        <v>244294</v>
      </c>
      <c r="D88" s="436">
        <v>9.1999999999999998E-3</v>
      </c>
      <c r="E88" s="685">
        <f>ROUND(C88*D88*E$8,0)</f>
        <v>69673</v>
      </c>
      <c r="F88" s="706">
        <f>(ROUND((F28+F53)*F$76,0))-F112</f>
        <v>255594</v>
      </c>
      <c r="G88" s="436">
        <v>9.1999999999999998E-3</v>
      </c>
      <c r="H88" s="685">
        <f>ROUND(F88*G88*H$8,0)</f>
        <v>65841</v>
      </c>
      <c r="I88" s="706">
        <f>(ROUND((I28+I53)*I$76,0))-I112</f>
        <v>233294</v>
      </c>
      <c r="J88" s="436">
        <v>9.1999999999999998E-3</v>
      </c>
      <c r="K88" s="685">
        <f>ROUND(I88*J88*K$8,0)</f>
        <v>66535</v>
      </c>
      <c r="L88" s="706">
        <f>(ROUND((L28+L53)*L$76,0))-L112</f>
        <v>306620</v>
      </c>
      <c r="M88" s="436">
        <v>9.1999999999999998E-3</v>
      </c>
      <c r="N88" s="708">
        <f>ROUND(L88*M88*N$8,0)</f>
        <v>84627</v>
      </c>
      <c r="O88" s="706">
        <f>(ROUND((O28+O53)*O$76,0))-O112</f>
        <v>308791</v>
      </c>
      <c r="P88" s="436">
        <v>9.1999999999999998E-3</v>
      </c>
      <c r="Q88" s="685">
        <f>ROUND(O88*P88*Q$8,0)</f>
        <v>88067</v>
      </c>
      <c r="R88" s="706">
        <f>(ROUND((R28+R53)*R$76,0))-R112</f>
        <v>301486</v>
      </c>
      <c r="S88" s="436">
        <v>9.1999999999999998E-3</v>
      </c>
      <c r="T88" s="685">
        <f>ROUND(R88*S88*T$8,0)</f>
        <v>83210</v>
      </c>
      <c r="U88" s="706">
        <f>(ROUND((U28+U53)*U$76,0))-U112</f>
        <v>287577</v>
      </c>
      <c r="V88" s="436">
        <v>9.1999999999999998E-3</v>
      </c>
      <c r="W88" s="685">
        <f>ROUND(U88*V88*W$8,0)</f>
        <v>82017</v>
      </c>
      <c r="X88" s="706">
        <f>(ROUND((X28+X53)*X$76,0))-X112</f>
        <v>296467</v>
      </c>
      <c r="Y88" s="436">
        <v>9.1999999999999998E-3</v>
      </c>
      <c r="Z88" s="685">
        <f>ROUND(X88*Y88*Z$8,0)</f>
        <v>84552</v>
      </c>
      <c r="AA88" s="706">
        <f>(ROUND((AA28+AA53)*AA$76,0))-AA112</f>
        <v>262063</v>
      </c>
      <c r="AB88" s="436">
        <v>9.1999999999999998E-3</v>
      </c>
      <c r="AC88" s="685">
        <f>ROUND(AA88*AB88*AC$8,0)</f>
        <v>72329</v>
      </c>
      <c r="AD88" s="706">
        <f>(ROUND((AD28+AD53)*AD$76,0))-AD112</f>
        <v>276440</v>
      </c>
      <c r="AE88" s="436">
        <v>9.1999999999999998E-3</v>
      </c>
      <c r="AF88" s="685">
        <f>ROUND(AD88*AE88*AF$8,0)</f>
        <v>78841</v>
      </c>
      <c r="AG88" s="706">
        <f>(ROUND((AG28+AG53)*AG$76,0))-AG112</f>
        <v>302610</v>
      </c>
      <c r="AH88" s="436">
        <v>9.1999999999999998E-3</v>
      </c>
      <c r="AI88" s="685">
        <f>ROUND(AG88*AH88*AI$8,0)</f>
        <v>83520</v>
      </c>
      <c r="AJ88" s="706">
        <f>(ROUND((AJ28+AJ53)*AJ$76,0))-AJ112</f>
        <v>301050</v>
      </c>
      <c r="AK88" s="436">
        <v>9.1999999999999998E-3</v>
      </c>
      <c r="AL88" s="685">
        <f>ROUND(AJ88*AK88*AL$8,0)</f>
        <v>85859</v>
      </c>
      <c r="AM88" s="706">
        <f>ROUND((AM28+AM53)*AM$76,0)</f>
        <v>0</v>
      </c>
      <c r="AN88" s="707">
        <v>9.2999999999999992E-3</v>
      </c>
      <c r="AO88" s="685">
        <f>ROUND(AM88*AN88*AO$8,0)</f>
        <v>0</v>
      </c>
      <c r="AP88" s="706">
        <f>ROUND((AP28+AP53)*AP$76,0)</f>
        <v>0</v>
      </c>
      <c r="AQ88" s="707">
        <v>9.2999999999999992E-3</v>
      </c>
      <c r="AR88" s="685">
        <f>ROUND(AP88*AQ88*AR$8,0)</f>
        <v>0</v>
      </c>
      <c r="AS88" s="706">
        <f>ROUND((AS28+AS53)*AS$76,0)</f>
        <v>0</v>
      </c>
      <c r="AT88" s="707">
        <v>9.2999999999999992E-3</v>
      </c>
      <c r="AU88" s="685">
        <f>ROUND(AS88*AT88*AU$8,0)</f>
        <v>0</v>
      </c>
      <c r="AV88" s="706">
        <f>ROUND((AV28+AV53)*AV$76,0)</f>
        <v>0</v>
      </c>
      <c r="AW88" s="707">
        <v>9.2999999999999992E-3</v>
      </c>
      <c r="AX88" s="685">
        <f>ROUND(AV88*AW88*AX$8,0)</f>
        <v>0</v>
      </c>
      <c r="AY88" s="706">
        <f>ROUND((AY28+AY53)*AY$76,0)</f>
        <v>0</v>
      </c>
      <c r="AZ88" s="707">
        <v>9.2999999999999992E-3</v>
      </c>
      <c r="BA88" s="685">
        <f>ROUND(AY88*AZ88*BA$8,0)</f>
        <v>0</v>
      </c>
      <c r="BB88" s="706">
        <f>ROUND((BB28+BB53)*BB$76,0)</f>
        <v>0</v>
      </c>
      <c r="BC88" s="707">
        <v>9.2999999999999992E-3</v>
      </c>
      <c r="BD88" s="685">
        <f>ROUND(BB88*BC88*BD$8,0)</f>
        <v>0</v>
      </c>
      <c r="BE88" s="706">
        <f>ROUND((BE28+BE53)*BE$76,0)</f>
        <v>0</v>
      </c>
      <c r="BF88" s="707">
        <v>9.2999999999999992E-3</v>
      </c>
      <c r="BG88" s="685">
        <f>ROUND(BE88*BF88*BG$8,0)</f>
        <v>0</v>
      </c>
      <c r="BH88" s="706">
        <f>ROUND((BH28+BH53)*BH$76,0)</f>
        <v>0</v>
      </c>
      <c r="BI88" s="707">
        <v>9.2999999999999992E-3</v>
      </c>
      <c r="BJ88" s="685">
        <f>ROUND(BH88*BI88*BJ$8,0)</f>
        <v>0</v>
      </c>
      <c r="BK88" s="706">
        <f>ROUND((BK28+BK53)*BK$76,0)</f>
        <v>0</v>
      </c>
      <c r="BL88" s="707">
        <v>9.2999999999999992E-3</v>
      </c>
      <c r="BM88" s="685">
        <f>ROUND(BK88*BL88*BM$8,0)</f>
        <v>0</v>
      </c>
      <c r="BN88" s="706">
        <f>ROUND((BN28+BN53)*BN$76,0)</f>
        <v>0</v>
      </c>
      <c r="BO88" s="707">
        <v>9.2999999999999992E-3</v>
      </c>
      <c r="BP88" s="685">
        <f>ROUND(BN88*BO88*BP$8,0)</f>
        <v>0</v>
      </c>
      <c r="BQ88" s="706">
        <f>ROUND((BQ28+BQ53)*BQ$76,0)</f>
        <v>0</v>
      </c>
      <c r="BR88" s="707">
        <v>9.2999999999999992E-3</v>
      </c>
      <c r="BS88" s="685">
        <f>ROUND(BQ88*BR88*BS$8,0)</f>
        <v>0</v>
      </c>
      <c r="BT88" s="706">
        <f>ROUND((BT28+BT53)*BT$76,0)</f>
        <v>0</v>
      </c>
      <c r="BU88" s="707">
        <v>9.2999999999999992E-3</v>
      </c>
      <c r="BV88" s="685">
        <f>ROUND(BT88*BU88*BV$8,0)</f>
        <v>0</v>
      </c>
    </row>
    <row r="89" spans="1:74" s="439" customFormat="1" x14ac:dyDescent="0.2">
      <c r="A89" s="439" t="s">
        <v>149</v>
      </c>
      <c r="B89" s="439" t="s">
        <v>76</v>
      </c>
      <c r="C89" s="706">
        <f>(ROUND((C29+C54)*C$77,0))-C113</f>
        <v>0</v>
      </c>
      <c r="D89" s="436">
        <v>1.03E-2</v>
      </c>
      <c r="E89" s="685">
        <f t="shared" ref="E89:E105" si="0">ROUND(C89*D89*E$8,0)</f>
        <v>0</v>
      </c>
      <c r="F89" s="706">
        <f>(ROUND((F29+F54)*F$77,0))-F113</f>
        <v>0</v>
      </c>
      <c r="G89" s="436">
        <v>1.03E-2</v>
      </c>
      <c r="H89" s="685">
        <f>ROUND(F89*G89*H$8,0)</f>
        <v>0</v>
      </c>
      <c r="I89" s="706">
        <f>(ROUND((I29+I54)*I$77,0))-I113</f>
        <v>0</v>
      </c>
      <c r="J89" s="436">
        <v>1.03E-2</v>
      </c>
      <c r="K89" s="685">
        <f>ROUND(I89*J89*K$8,0)</f>
        <v>0</v>
      </c>
      <c r="L89" s="706">
        <f>(ROUND((L29+L54)*L$77,0))-L113</f>
        <v>0</v>
      </c>
      <c r="M89" s="436">
        <v>1.03E-2</v>
      </c>
      <c r="N89" s="708">
        <f>ROUND(L89*M89*N$8,0)</f>
        <v>0</v>
      </c>
      <c r="O89" s="706">
        <f>(ROUND((O29+O54)*O$77,0))-O113</f>
        <v>0</v>
      </c>
      <c r="P89" s="436">
        <v>1.03E-2</v>
      </c>
      <c r="Q89" s="685">
        <f>ROUND(O89*P89*Q$8,0)</f>
        <v>0</v>
      </c>
      <c r="R89" s="706">
        <f>(ROUND((R29+R54)*R$77,0))-R113</f>
        <v>0</v>
      </c>
      <c r="S89" s="436">
        <v>1.03E-2</v>
      </c>
      <c r="T89" s="685">
        <f>ROUND(R89*S89*T$8,0)</f>
        <v>0</v>
      </c>
      <c r="U89" s="706">
        <f>(ROUND((U29+U54)*U$77,0))-U113</f>
        <v>0</v>
      </c>
      <c r="V89" s="436">
        <v>1.03E-2</v>
      </c>
      <c r="W89" s="685">
        <f>ROUND(U89*V89*W$8,0)</f>
        <v>0</v>
      </c>
      <c r="X89" s="706">
        <f>(ROUND((X29+X54)*X$77,0))-X113</f>
        <v>0</v>
      </c>
      <c r="Y89" s="436">
        <v>1.03E-2</v>
      </c>
      <c r="Z89" s="685">
        <f>ROUND(X89*Y89*Z$8,0)</f>
        <v>0</v>
      </c>
      <c r="AA89" s="706">
        <f>(ROUND((AA29+AA54)*AA$77,0))-AA113</f>
        <v>0</v>
      </c>
      <c r="AB89" s="436">
        <v>1.03E-2</v>
      </c>
      <c r="AC89" s="685">
        <f>ROUND(AA89*AB89*AC$8,0)</f>
        <v>0</v>
      </c>
      <c r="AD89" s="706">
        <f>(ROUND((AD29+AD54)*AD$77,0))-AD113</f>
        <v>0</v>
      </c>
      <c r="AE89" s="436">
        <v>1.03E-2</v>
      </c>
      <c r="AF89" s="685">
        <f>ROUND(AD89*AE89*AF$8,0)</f>
        <v>0</v>
      </c>
      <c r="AG89" s="706">
        <f>(ROUND((AG29+AG54)*AG$77,0))-AG113</f>
        <v>0</v>
      </c>
      <c r="AH89" s="436">
        <v>1.03E-2</v>
      </c>
      <c r="AI89" s="685">
        <f>ROUND(AG89*AH89*AI$8,0)</f>
        <v>0</v>
      </c>
      <c r="AJ89" s="706">
        <f>(ROUND((AJ29+AJ54)*AJ$77,0))-AJ113</f>
        <v>0</v>
      </c>
      <c r="AK89" s="436">
        <v>1.03E-2</v>
      </c>
      <c r="AL89" s="685">
        <f>ROUND(AJ89*AK89*AL$8,0)</f>
        <v>0</v>
      </c>
      <c r="AM89" s="706">
        <f>ROUND((AM29+AM54)*AM$77,0)</f>
        <v>0</v>
      </c>
      <c r="AN89" s="707">
        <v>1.04E-2</v>
      </c>
      <c r="AO89" s="685">
        <f>ROUND(AM89*AN89*AO$8,0)</f>
        <v>0</v>
      </c>
      <c r="AP89" s="706">
        <f>ROUND((AP29+AP54)*AP$77,0)</f>
        <v>0</v>
      </c>
      <c r="AQ89" s="707">
        <v>1.04E-2</v>
      </c>
      <c r="AR89" s="685">
        <f>ROUND(AP89*AQ89*AR$8,0)</f>
        <v>0</v>
      </c>
      <c r="AS89" s="706">
        <f>ROUND((AS29+AS54)*AS$77,0)</f>
        <v>0</v>
      </c>
      <c r="AT89" s="707">
        <v>1.04E-2</v>
      </c>
      <c r="AU89" s="685">
        <f>ROUND(AS89*AT89*AU$8,0)</f>
        <v>0</v>
      </c>
      <c r="AV89" s="706">
        <f>ROUND((AV29+AV54)*AV$77,0)</f>
        <v>0</v>
      </c>
      <c r="AW89" s="707">
        <v>1.04E-2</v>
      </c>
      <c r="AX89" s="685">
        <f>ROUND(AV89*AW89*AX$8,0)</f>
        <v>0</v>
      </c>
      <c r="AY89" s="706">
        <f>ROUND((AY29+AY54)*AY$77,0)</f>
        <v>0</v>
      </c>
      <c r="AZ89" s="707">
        <v>1.04E-2</v>
      </c>
      <c r="BA89" s="685">
        <f>ROUND(AY89*AZ89*BA$8,0)</f>
        <v>0</v>
      </c>
      <c r="BB89" s="706">
        <f>ROUND((BB29+BB54)*BB$77,0)</f>
        <v>0</v>
      </c>
      <c r="BC89" s="707">
        <v>1.04E-2</v>
      </c>
      <c r="BD89" s="685">
        <f>ROUND(BB89*BC89*BD$8,0)</f>
        <v>0</v>
      </c>
      <c r="BE89" s="706">
        <f>ROUND((BE29+BE54)*BE$77,0)</f>
        <v>0</v>
      </c>
      <c r="BF89" s="707">
        <v>1.04E-2</v>
      </c>
      <c r="BG89" s="685">
        <f>ROUND(BE89*BF89*BG$8,0)</f>
        <v>0</v>
      </c>
      <c r="BH89" s="706">
        <f>ROUND((BH29+BH54)*BH$77,0)</f>
        <v>0</v>
      </c>
      <c r="BI89" s="707">
        <v>1.04E-2</v>
      </c>
      <c r="BJ89" s="685">
        <f>ROUND(BH89*BI89*BJ$8,0)</f>
        <v>0</v>
      </c>
      <c r="BK89" s="706">
        <f>ROUND((BK29+BK54)*BK$77,0)</f>
        <v>0</v>
      </c>
      <c r="BL89" s="707">
        <v>1.04E-2</v>
      </c>
      <c r="BM89" s="685">
        <f>ROUND(BK89*BL89*BM$8,0)</f>
        <v>0</v>
      </c>
      <c r="BN89" s="706">
        <f>ROUND((BN29+BN54)*BN$77,0)</f>
        <v>0</v>
      </c>
      <c r="BO89" s="707">
        <v>1.04E-2</v>
      </c>
      <c r="BP89" s="685">
        <f>ROUND(BN89*BO89*BP$8,0)</f>
        <v>0</v>
      </c>
      <c r="BQ89" s="706">
        <f>ROUND((BQ29+BQ54)*BQ$77,0)</f>
        <v>0</v>
      </c>
      <c r="BR89" s="707">
        <v>1.04E-2</v>
      </c>
      <c r="BS89" s="685">
        <f>ROUND(BQ89*BR89*BS$8,0)</f>
        <v>0</v>
      </c>
      <c r="BT89" s="706">
        <f>ROUND((BT29+BT54)*BT$77,0)</f>
        <v>0</v>
      </c>
      <c r="BU89" s="707">
        <v>1.04E-2</v>
      </c>
      <c r="BV89" s="685">
        <f>ROUND(BT89*BU89*BV$8,0)</f>
        <v>0</v>
      </c>
    </row>
    <row r="90" spans="1:74" s="439" customFormat="1" x14ac:dyDescent="0.2">
      <c r="A90" s="439" t="s">
        <v>150</v>
      </c>
      <c r="B90" s="439" t="s">
        <v>76</v>
      </c>
      <c r="C90" s="706">
        <f>(ROUND((C30+C55)*C$77,0))-C114</f>
        <v>54900</v>
      </c>
      <c r="D90" s="436">
        <v>1.03E-2</v>
      </c>
      <c r="E90" s="685">
        <f t="shared" si="0"/>
        <v>17530</v>
      </c>
      <c r="F90" s="706">
        <f>(ROUND((F30+F55)*F$77,0))-F114</f>
        <v>59000</v>
      </c>
      <c r="G90" s="436">
        <v>1.03E-2</v>
      </c>
      <c r="H90" s="685">
        <f>ROUND(F90*G90*H$8,0)</f>
        <v>17016</v>
      </c>
      <c r="I90" s="706">
        <f>(ROUND((I30+I55)*I$77,0))-I114</f>
        <v>54300</v>
      </c>
      <c r="J90" s="436">
        <v>1.03E-2</v>
      </c>
      <c r="K90" s="685">
        <f>ROUND(I90*J90*K$8,0)</f>
        <v>17338</v>
      </c>
      <c r="L90" s="706">
        <f>(ROUND((L30+L55)*L$77,0))-L114</f>
        <v>65600</v>
      </c>
      <c r="M90" s="436">
        <v>1.03E-2</v>
      </c>
      <c r="N90" s="708">
        <f>ROUND(L90*M90*N$8,0)</f>
        <v>20270</v>
      </c>
      <c r="O90" s="706">
        <f>(ROUND((O30+O55)*O$77,0))-O114</f>
        <v>61000</v>
      </c>
      <c r="P90" s="436">
        <v>1.03E-2</v>
      </c>
      <c r="Q90" s="685">
        <f>ROUND(O90*P90*Q$8,0)</f>
        <v>19477</v>
      </c>
      <c r="R90" s="706">
        <f>(ROUND((R30+R55)*R$77,0))-R114</f>
        <v>47400</v>
      </c>
      <c r="S90" s="436">
        <v>1.03E-2</v>
      </c>
      <c r="T90" s="685">
        <f>ROUND(R90*S90*T$8,0)</f>
        <v>14647</v>
      </c>
      <c r="U90" s="706">
        <f>(ROUND((U30+U55)*U$77,0))-U114</f>
        <v>71700</v>
      </c>
      <c r="V90" s="436">
        <v>1.03E-2</v>
      </c>
      <c r="W90" s="685">
        <f>ROUND(U90*V90*W$8,0)</f>
        <v>22894</v>
      </c>
      <c r="X90" s="706">
        <f>(ROUND((X30+X55)*X$77,0))-X114</f>
        <v>63000</v>
      </c>
      <c r="Y90" s="436">
        <v>1.03E-2</v>
      </c>
      <c r="Z90" s="685">
        <f>ROUND(X90*Y90*Z$8,0)</f>
        <v>20116</v>
      </c>
      <c r="AA90" s="706">
        <f>(ROUND((AA30+AA55)*AA$77,0))-AA114</f>
        <v>70300</v>
      </c>
      <c r="AB90" s="436">
        <v>1.03E-2</v>
      </c>
      <c r="AC90" s="685">
        <f>ROUND(AA90*AB90*AC$8,0)</f>
        <v>21723</v>
      </c>
      <c r="AD90" s="706">
        <f>(ROUND((AD30+AD55)*AD$77,0))-AD114</f>
        <v>50400</v>
      </c>
      <c r="AE90" s="436">
        <v>1.03E-2</v>
      </c>
      <c r="AF90" s="685">
        <f>ROUND(AD90*AE90*AF$8,0)</f>
        <v>16093</v>
      </c>
      <c r="AG90" s="706">
        <f>(ROUND((AG30+AG55)*AG$77,0))-AG114</f>
        <v>58600</v>
      </c>
      <c r="AH90" s="436">
        <v>1.03E-2</v>
      </c>
      <c r="AI90" s="685">
        <f>ROUND(AG90*AH90*AI$8,0)</f>
        <v>18107</v>
      </c>
      <c r="AJ90" s="706">
        <f>(ROUND((AJ30+AJ55)*AJ$77,0))-AJ114</f>
        <v>44200</v>
      </c>
      <c r="AK90" s="436">
        <v>1.03E-2</v>
      </c>
      <c r="AL90" s="685">
        <f>ROUND(AJ90*AK90*AL$8,0)</f>
        <v>14113</v>
      </c>
      <c r="AM90" s="706">
        <f>ROUND((AM30+AM55)*AM$77,0)</f>
        <v>0</v>
      </c>
      <c r="AN90" s="707">
        <v>1.04E-2</v>
      </c>
      <c r="AO90" s="685">
        <f>ROUND(AM90*AN90*AO$8,0)</f>
        <v>0</v>
      </c>
      <c r="AP90" s="706">
        <f>ROUND((AP30+AP55)*AP$77,0)</f>
        <v>0</v>
      </c>
      <c r="AQ90" s="707">
        <v>1.04E-2</v>
      </c>
      <c r="AR90" s="685">
        <f>ROUND(AP90*AQ90*AR$8,0)</f>
        <v>0</v>
      </c>
      <c r="AS90" s="706">
        <f>ROUND((AS30+AS55)*AS$77,0)</f>
        <v>0</v>
      </c>
      <c r="AT90" s="707">
        <v>1.04E-2</v>
      </c>
      <c r="AU90" s="685">
        <f>ROUND(AS90*AT90*AU$8,0)</f>
        <v>0</v>
      </c>
      <c r="AV90" s="706">
        <f>ROUND((AV30+AV55)*AV$77,0)</f>
        <v>0</v>
      </c>
      <c r="AW90" s="707">
        <v>1.04E-2</v>
      </c>
      <c r="AX90" s="685">
        <f>ROUND(AV90*AW90*AX$8,0)</f>
        <v>0</v>
      </c>
      <c r="AY90" s="706">
        <f>ROUND((AY30+AY55)*AY$77,0)</f>
        <v>0</v>
      </c>
      <c r="AZ90" s="707">
        <v>1.04E-2</v>
      </c>
      <c r="BA90" s="685">
        <f>ROUND(AY90*AZ90*BA$8,0)</f>
        <v>0</v>
      </c>
      <c r="BB90" s="706">
        <f>ROUND((BB30+BB55)*BB$77,0)</f>
        <v>0</v>
      </c>
      <c r="BC90" s="707">
        <v>1.04E-2</v>
      </c>
      <c r="BD90" s="685">
        <f>ROUND(BB90*BC90*BD$8,0)</f>
        <v>0</v>
      </c>
      <c r="BE90" s="706">
        <f>ROUND((BE30+BE55)*BE$77,0)</f>
        <v>0</v>
      </c>
      <c r="BF90" s="707">
        <v>1.04E-2</v>
      </c>
      <c r="BG90" s="685">
        <f>ROUND(BE90*BF90*BG$8,0)</f>
        <v>0</v>
      </c>
      <c r="BH90" s="706">
        <f>ROUND((BH30+BH55)*BH$77,0)</f>
        <v>0</v>
      </c>
      <c r="BI90" s="707">
        <v>1.04E-2</v>
      </c>
      <c r="BJ90" s="685">
        <f>ROUND(BH90*BI90*BJ$8,0)</f>
        <v>0</v>
      </c>
      <c r="BK90" s="706">
        <f>ROUND((BK30+BK55)*BK$77,0)</f>
        <v>0</v>
      </c>
      <c r="BL90" s="707">
        <v>1.04E-2</v>
      </c>
      <c r="BM90" s="685">
        <f>ROUND(BK90*BL90*BM$8,0)</f>
        <v>0</v>
      </c>
      <c r="BN90" s="706">
        <f>ROUND((BN30+BN55)*BN$77,0)</f>
        <v>0</v>
      </c>
      <c r="BO90" s="707">
        <v>1.04E-2</v>
      </c>
      <c r="BP90" s="685">
        <f>ROUND(BN90*BO90*BP$8,0)</f>
        <v>0</v>
      </c>
      <c r="BQ90" s="706">
        <f>ROUND((BQ30+BQ55)*BQ$77,0)</f>
        <v>0</v>
      </c>
      <c r="BR90" s="707">
        <v>1.04E-2</v>
      </c>
      <c r="BS90" s="685">
        <f>ROUND(BQ90*BR90*BS$8,0)</f>
        <v>0</v>
      </c>
      <c r="BT90" s="706">
        <f>ROUND((BT30+BT55)*BT$77,0)</f>
        <v>0</v>
      </c>
      <c r="BU90" s="707">
        <v>1.04E-2</v>
      </c>
      <c r="BV90" s="685">
        <f>ROUND(BT90*BU90*BV$8,0)</f>
        <v>0</v>
      </c>
    </row>
    <row r="91" spans="1:74" s="439" customFormat="1" x14ac:dyDescent="0.2">
      <c r="A91" s="439" t="s">
        <v>151</v>
      </c>
      <c r="B91" s="439" t="s">
        <v>76</v>
      </c>
      <c r="C91" s="706">
        <f>(ROUND((C31+C56)*C$76,0))-C115</f>
        <v>0</v>
      </c>
      <c r="D91" s="436">
        <v>9.1999999999999998E-3</v>
      </c>
      <c r="E91" s="685">
        <f t="shared" si="0"/>
        <v>0</v>
      </c>
      <c r="F91" s="706">
        <f>(ROUND((F31+F56)*F$76,0))-F115</f>
        <v>0</v>
      </c>
      <c r="G91" s="436">
        <v>9.1999999999999998E-3</v>
      </c>
      <c r="H91" s="685">
        <f>ROUND(F91*G91*H$8,0)</f>
        <v>0</v>
      </c>
      <c r="I91" s="706">
        <f>(ROUND((I31+I56)*I$76,0))-I115</f>
        <v>0</v>
      </c>
      <c r="J91" s="436">
        <v>9.1999999999999998E-3</v>
      </c>
      <c r="K91" s="685">
        <f>ROUND(I91*J91*K$8,0)</f>
        <v>0</v>
      </c>
      <c r="L91" s="706">
        <f>(ROUND((L31+L56)*L$76,0))-L115</f>
        <v>0</v>
      </c>
      <c r="M91" s="436">
        <v>9.1999999999999998E-3</v>
      </c>
      <c r="N91" s="708">
        <f>ROUND(L91*M91*N$8,0)</f>
        <v>0</v>
      </c>
      <c r="O91" s="706">
        <f>(ROUND((O31+O56)*O$76,0))-O115</f>
        <v>0</v>
      </c>
      <c r="P91" s="436">
        <v>9.1999999999999998E-3</v>
      </c>
      <c r="Q91" s="685">
        <f>ROUND(O91*P91*Q$8,0)</f>
        <v>0</v>
      </c>
      <c r="R91" s="706">
        <f>(ROUND((R31+R56)*R$76,0))-R115</f>
        <v>0</v>
      </c>
      <c r="S91" s="436">
        <v>9.1999999999999998E-3</v>
      </c>
      <c r="T91" s="685">
        <f>ROUND(R91*S91*T$8,0)</f>
        <v>0</v>
      </c>
      <c r="U91" s="706">
        <f>(ROUND((U31+U56)*U$76,0))-U115</f>
        <v>0</v>
      </c>
      <c r="V91" s="436">
        <v>9.1999999999999998E-3</v>
      </c>
      <c r="W91" s="685">
        <f>ROUND(U91*V91*W$8,0)</f>
        <v>0</v>
      </c>
      <c r="X91" s="706">
        <f>(ROUND((X31+X56)*X$76,0))-X115</f>
        <v>0</v>
      </c>
      <c r="Y91" s="436">
        <v>9.1999999999999998E-3</v>
      </c>
      <c r="Z91" s="685">
        <f>ROUND(X91*Y91*Z$8,0)</f>
        <v>0</v>
      </c>
      <c r="AA91" s="706">
        <f>(ROUND((AA31+AA56)*AA$76,0))-AA115</f>
        <v>0</v>
      </c>
      <c r="AB91" s="436">
        <v>9.1999999999999998E-3</v>
      </c>
      <c r="AC91" s="685">
        <f>ROUND(AA91*AB91*AC$8,0)</f>
        <v>0</v>
      </c>
      <c r="AD91" s="706">
        <f>(ROUND((AD31+AD56)*AD$76,0))-AD115</f>
        <v>0</v>
      </c>
      <c r="AE91" s="436">
        <v>9.1999999999999998E-3</v>
      </c>
      <c r="AF91" s="685">
        <f>ROUND(AD91*AE91*AF$8,0)</f>
        <v>0</v>
      </c>
      <c r="AG91" s="706">
        <f>(ROUND((AG31+AG56)*AG$76,0))-AG115</f>
        <v>0</v>
      </c>
      <c r="AH91" s="436">
        <v>9.1999999999999998E-3</v>
      </c>
      <c r="AI91" s="685">
        <f>ROUND(AG91*AH91*AI$8,0)</f>
        <v>0</v>
      </c>
      <c r="AJ91" s="706">
        <f>(ROUND((AJ31+AJ56)*AJ$76,0))-AJ115</f>
        <v>0</v>
      </c>
      <c r="AK91" s="436">
        <v>9.1999999999999998E-3</v>
      </c>
      <c r="AL91" s="685">
        <f>ROUND(AJ91*AK91*AL$8,0)</f>
        <v>0</v>
      </c>
      <c r="AM91" s="706">
        <f>ROUND((AM31+AM56)*AM$76,0)</f>
        <v>0</v>
      </c>
      <c r="AN91" s="707">
        <v>9.2999999999999992E-3</v>
      </c>
      <c r="AO91" s="685">
        <f>ROUND(AM91*AN91*AO$8,0)</f>
        <v>0</v>
      </c>
      <c r="AP91" s="706">
        <f>ROUND((AP31+AP56)*AP$76,0)</f>
        <v>0</v>
      </c>
      <c r="AQ91" s="707">
        <v>9.2999999999999992E-3</v>
      </c>
      <c r="AR91" s="685">
        <f>ROUND(AP91*AQ91*AR$8,0)</f>
        <v>0</v>
      </c>
      <c r="AS91" s="706">
        <f>ROUND((AS31+AS56)*AS$76,0)</f>
        <v>0</v>
      </c>
      <c r="AT91" s="707">
        <v>9.2999999999999992E-3</v>
      </c>
      <c r="AU91" s="685">
        <f>ROUND(AS91*AT91*AU$8,0)</f>
        <v>0</v>
      </c>
      <c r="AV91" s="706">
        <f>ROUND((AV31+AV56)*AV$76,0)</f>
        <v>0</v>
      </c>
      <c r="AW91" s="707">
        <v>9.2999999999999992E-3</v>
      </c>
      <c r="AX91" s="685">
        <f>ROUND(AV91*AW91*AX$8,0)</f>
        <v>0</v>
      </c>
      <c r="AY91" s="706">
        <f>ROUND((AY31+AY56)*AY$76,0)</f>
        <v>0</v>
      </c>
      <c r="AZ91" s="707">
        <v>9.2999999999999992E-3</v>
      </c>
      <c r="BA91" s="685">
        <f>ROUND(AY91*AZ91*BA$8,0)</f>
        <v>0</v>
      </c>
      <c r="BB91" s="706">
        <f>ROUND((BB31+BB56)*BB$76,0)</f>
        <v>0</v>
      </c>
      <c r="BC91" s="707">
        <v>9.2999999999999992E-3</v>
      </c>
      <c r="BD91" s="685">
        <f>ROUND(BB91*BC91*BD$8,0)</f>
        <v>0</v>
      </c>
      <c r="BE91" s="706">
        <f>ROUND((BE31+BE56)*BE$76,0)</f>
        <v>0</v>
      </c>
      <c r="BF91" s="707">
        <v>9.2999999999999992E-3</v>
      </c>
      <c r="BG91" s="685">
        <f>ROUND(BE91*BF91*BG$8,0)</f>
        <v>0</v>
      </c>
      <c r="BH91" s="706">
        <f>ROUND((BH31+BH56)*BH$76,0)</f>
        <v>0</v>
      </c>
      <c r="BI91" s="707">
        <v>9.2999999999999992E-3</v>
      </c>
      <c r="BJ91" s="685">
        <f>ROUND(BH91*BI91*BJ$8,0)</f>
        <v>0</v>
      </c>
      <c r="BK91" s="706">
        <f>ROUND((BK31+BK56)*BK$76,0)</f>
        <v>0</v>
      </c>
      <c r="BL91" s="707">
        <v>9.2999999999999992E-3</v>
      </c>
      <c r="BM91" s="685">
        <f>ROUND(BK91*BL91*BM$8,0)</f>
        <v>0</v>
      </c>
      <c r="BN91" s="706">
        <f>ROUND((BN31+BN56)*BN$76,0)</f>
        <v>0</v>
      </c>
      <c r="BO91" s="707">
        <v>9.2999999999999992E-3</v>
      </c>
      <c r="BP91" s="685">
        <f>ROUND(BN91*BO91*BP$8,0)</f>
        <v>0</v>
      </c>
      <c r="BQ91" s="706">
        <f>ROUND((BQ31+BQ56)*BQ$76,0)</f>
        <v>0</v>
      </c>
      <c r="BR91" s="707">
        <v>9.2999999999999992E-3</v>
      </c>
      <c r="BS91" s="685">
        <f>ROUND(BQ91*BR91*BS$8,0)</f>
        <v>0</v>
      </c>
      <c r="BT91" s="706">
        <f>ROUND((BT31+BT56)*BT$76,0)</f>
        <v>0</v>
      </c>
      <c r="BU91" s="707">
        <v>9.2999999999999992E-3</v>
      </c>
      <c r="BV91" s="685">
        <f>ROUND(BT91*BU91*BV$8,0)</f>
        <v>0</v>
      </c>
    </row>
    <row r="92" spans="1:74" s="439" customFormat="1" x14ac:dyDescent="0.2">
      <c r="A92" s="439" t="s">
        <v>152</v>
      </c>
      <c r="B92" s="439" t="s">
        <v>76</v>
      </c>
      <c r="C92" s="706">
        <f>(ROUND((C32+C57)*C$76,0))-C116</f>
        <v>35200</v>
      </c>
      <c r="D92" s="436">
        <v>9.1999999999999998E-3</v>
      </c>
      <c r="E92" s="685">
        <f t="shared" si="0"/>
        <v>10039</v>
      </c>
      <c r="F92" s="706">
        <f>(ROUND((F32+F57)*F$76,0))-F116</f>
        <v>35200</v>
      </c>
      <c r="G92" s="436">
        <v>9.1999999999999998E-3</v>
      </c>
      <c r="H92" s="685">
        <f>ROUND(F92*G92*H$8,0)</f>
        <v>9068</v>
      </c>
      <c r="I92" s="706">
        <f>(ROUND((I32+I57)*I$76,0))-I116</f>
        <v>35200</v>
      </c>
      <c r="J92" s="436">
        <v>9.1999999999999998E-3</v>
      </c>
      <c r="K92" s="685">
        <f>ROUND(I92*J92*K$8,0)</f>
        <v>10039</v>
      </c>
      <c r="L92" s="706">
        <f>(ROUND((L32+L57)*L$76,0))-L116</f>
        <v>44800</v>
      </c>
      <c r="M92" s="436">
        <v>9.1999999999999998E-3</v>
      </c>
      <c r="N92" s="708">
        <f>ROUND(L92*M92*N$8,0)</f>
        <v>12365</v>
      </c>
      <c r="O92" s="706">
        <f>(ROUND((O32+O57)*O$76,0))-O116</f>
        <v>45600</v>
      </c>
      <c r="P92" s="436">
        <v>9.1999999999999998E-3</v>
      </c>
      <c r="Q92" s="685">
        <f>ROUND(O92*P92*Q$8,0)</f>
        <v>13005</v>
      </c>
      <c r="R92" s="706">
        <f>(ROUND((R32+R57)*R$76,0))-R116</f>
        <v>44800</v>
      </c>
      <c r="S92" s="436">
        <v>9.1999999999999998E-3</v>
      </c>
      <c r="T92" s="685">
        <f>ROUND(R92*S92*T$8,0)</f>
        <v>12365</v>
      </c>
      <c r="U92" s="706">
        <f>(ROUND((U32+U57)*U$76,0))-U116</f>
        <v>42400</v>
      </c>
      <c r="V92" s="436">
        <v>9.1999999999999998E-3</v>
      </c>
      <c r="W92" s="685">
        <f>ROUND(U92*V92*W$8,0)</f>
        <v>12092</v>
      </c>
      <c r="X92" s="706">
        <f>(ROUND((X32+X57)*X$76,0))-X116</f>
        <v>42400</v>
      </c>
      <c r="Y92" s="436">
        <v>9.1999999999999998E-3</v>
      </c>
      <c r="Z92" s="685">
        <f>ROUND(X92*Y92*Z$8,0)</f>
        <v>12092</v>
      </c>
      <c r="AA92" s="706">
        <f>(ROUND((AA32+AA57)*AA$76,0))-AA116</f>
        <v>39200</v>
      </c>
      <c r="AB92" s="436">
        <v>9.1999999999999998E-3</v>
      </c>
      <c r="AC92" s="685">
        <f>ROUND(AA92*AB92*AC$8,0)</f>
        <v>10819</v>
      </c>
      <c r="AD92" s="706">
        <f>(ROUND((AD32+AD57)*AD$76,0))-AD116</f>
        <v>41600</v>
      </c>
      <c r="AE92" s="436">
        <v>9.1999999999999998E-3</v>
      </c>
      <c r="AF92" s="685">
        <f>ROUND(AD92*AE92*AF$8,0)</f>
        <v>11864</v>
      </c>
      <c r="AG92" s="706">
        <f>(ROUND((AG32+AG57)*AG$76,0))-AG116</f>
        <v>42400</v>
      </c>
      <c r="AH92" s="436">
        <v>9.1999999999999998E-3</v>
      </c>
      <c r="AI92" s="685">
        <f>ROUND(AG92*AH92*AI$8,0)</f>
        <v>11702</v>
      </c>
      <c r="AJ92" s="706">
        <f>(ROUND((AJ32+AJ57)*AJ$76,0))-AJ116</f>
        <v>44000</v>
      </c>
      <c r="AK92" s="436">
        <v>9.1999999999999998E-3</v>
      </c>
      <c r="AL92" s="685">
        <f>ROUND(AJ92*AK92*AL$8,0)</f>
        <v>12549</v>
      </c>
      <c r="AM92" s="706">
        <f>ROUND((AM32+AM57)*AM$76,0)</f>
        <v>0</v>
      </c>
      <c r="AN92" s="707">
        <v>9.2999999999999992E-3</v>
      </c>
      <c r="AO92" s="685">
        <f>ROUND(AM92*AN92*AO$8,0)</f>
        <v>0</v>
      </c>
      <c r="AP92" s="706">
        <f>ROUND((AP32+AP57)*AP$76,0)</f>
        <v>0</v>
      </c>
      <c r="AQ92" s="707">
        <v>9.2999999999999992E-3</v>
      </c>
      <c r="AR92" s="685">
        <f>ROUND(AP92*AQ92*AR$8,0)</f>
        <v>0</v>
      </c>
      <c r="AS92" s="706">
        <f>ROUND((AS32+AS57)*AS$76,0)</f>
        <v>0</v>
      </c>
      <c r="AT92" s="707">
        <v>9.2999999999999992E-3</v>
      </c>
      <c r="AU92" s="685">
        <f>ROUND(AS92*AT92*AU$8,0)</f>
        <v>0</v>
      </c>
      <c r="AV92" s="706">
        <f>ROUND((AV32+AV57)*AV$76,0)</f>
        <v>0</v>
      </c>
      <c r="AW92" s="707">
        <v>9.2999999999999992E-3</v>
      </c>
      <c r="AX92" s="685">
        <f>ROUND(AV92*AW92*AX$8,0)</f>
        <v>0</v>
      </c>
      <c r="AY92" s="706">
        <f>ROUND((AY32+AY57)*AY$76,0)</f>
        <v>0</v>
      </c>
      <c r="AZ92" s="707">
        <v>9.2999999999999992E-3</v>
      </c>
      <c r="BA92" s="685">
        <f>ROUND(AY92*AZ92*BA$8,0)</f>
        <v>0</v>
      </c>
      <c r="BB92" s="706">
        <f>ROUND((BB32+BB57)*BB$76,0)</f>
        <v>0</v>
      </c>
      <c r="BC92" s="707">
        <v>9.2999999999999992E-3</v>
      </c>
      <c r="BD92" s="685">
        <f>ROUND(BB92*BC92*BD$8,0)</f>
        <v>0</v>
      </c>
      <c r="BE92" s="706">
        <f>ROUND((BE32+BE57)*BE$76,0)</f>
        <v>0</v>
      </c>
      <c r="BF92" s="707">
        <v>9.2999999999999992E-3</v>
      </c>
      <c r="BG92" s="685">
        <f>ROUND(BE92*BF92*BG$8,0)</f>
        <v>0</v>
      </c>
      <c r="BH92" s="706">
        <f>ROUND((BH32+BH57)*BH$76,0)</f>
        <v>0</v>
      </c>
      <c r="BI92" s="707">
        <v>9.2999999999999992E-3</v>
      </c>
      <c r="BJ92" s="685">
        <f>ROUND(BH92*BI92*BJ$8,0)</f>
        <v>0</v>
      </c>
      <c r="BK92" s="706">
        <f>ROUND((BK32+BK57)*BK$76,0)</f>
        <v>0</v>
      </c>
      <c r="BL92" s="707">
        <v>9.2999999999999992E-3</v>
      </c>
      <c r="BM92" s="685">
        <f>ROUND(BK92*BL92*BM$8,0)</f>
        <v>0</v>
      </c>
      <c r="BN92" s="706">
        <f>ROUND((BN32+BN57)*BN$76,0)</f>
        <v>0</v>
      </c>
      <c r="BO92" s="707">
        <v>9.2999999999999992E-3</v>
      </c>
      <c r="BP92" s="685">
        <f>ROUND(BN92*BO92*BP$8,0)</f>
        <v>0</v>
      </c>
      <c r="BQ92" s="706">
        <f>ROUND((BQ32+BQ57)*BQ$76,0)</f>
        <v>0</v>
      </c>
      <c r="BR92" s="707">
        <v>9.2999999999999992E-3</v>
      </c>
      <c r="BS92" s="685">
        <f>ROUND(BQ92*BR92*BS$8,0)</f>
        <v>0</v>
      </c>
      <c r="BT92" s="706">
        <f>ROUND((BT32+BT57)*BT$76,0)</f>
        <v>0</v>
      </c>
      <c r="BU92" s="707">
        <v>9.2999999999999992E-3</v>
      </c>
      <c r="BV92" s="685">
        <f>ROUND(BT92*BU92*BV$8,0)</f>
        <v>0</v>
      </c>
    </row>
    <row r="93" spans="1:74" s="373" customFormat="1" x14ac:dyDescent="0.2">
      <c r="A93" s="373" t="s">
        <v>86</v>
      </c>
      <c r="C93" s="709">
        <f>SUM(C88:C92)</f>
        <v>334394</v>
      </c>
      <c r="D93" s="437"/>
      <c r="E93" s="686">
        <f>SUM(E88:E92)</f>
        <v>97242</v>
      </c>
      <c r="F93" s="709">
        <f>SUM(F88:F92)</f>
        <v>349794</v>
      </c>
      <c r="G93" s="437"/>
      <c r="H93" s="686">
        <f>SUM(H88:H92)</f>
        <v>91925</v>
      </c>
      <c r="I93" s="709">
        <f>SUM(I88:I92)</f>
        <v>322794</v>
      </c>
      <c r="J93" s="437"/>
      <c r="K93" s="686">
        <f>SUM(K88:K92)</f>
        <v>93912</v>
      </c>
      <c r="L93" s="709">
        <f>SUM(L88:L92)</f>
        <v>417020</v>
      </c>
      <c r="M93" s="437"/>
      <c r="N93" s="711">
        <f>SUM(N88:N92)</f>
        <v>117262</v>
      </c>
      <c r="O93" s="709">
        <f>SUM(O88:O92)</f>
        <v>415391</v>
      </c>
      <c r="P93" s="437"/>
      <c r="Q93" s="686">
        <f>SUM(Q88:Q92)</f>
        <v>120549</v>
      </c>
      <c r="R93" s="709">
        <f>SUM(R88:R92)</f>
        <v>393686</v>
      </c>
      <c r="S93" s="437"/>
      <c r="T93" s="686">
        <f>SUM(T88:T92)</f>
        <v>110222</v>
      </c>
      <c r="U93" s="709">
        <f>SUM(U88:U92)</f>
        <v>401677</v>
      </c>
      <c r="V93" s="437"/>
      <c r="W93" s="686">
        <f>SUM(W88:W92)</f>
        <v>117003</v>
      </c>
      <c r="X93" s="709">
        <f>SUM(X88:X92)</f>
        <v>401867</v>
      </c>
      <c r="Y93" s="437"/>
      <c r="Z93" s="686">
        <f>SUM(Z88:Z92)</f>
        <v>116760</v>
      </c>
      <c r="AA93" s="709">
        <f>SUM(AA88:AA92)</f>
        <v>371563</v>
      </c>
      <c r="AB93" s="437"/>
      <c r="AC93" s="686">
        <f>SUM(AC88:AC92)</f>
        <v>104871</v>
      </c>
      <c r="AD93" s="709">
        <f>SUM(AD88:AD92)</f>
        <v>368440</v>
      </c>
      <c r="AE93" s="437"/>
      <c r="AF93" s="686">
        <f>SUM(AF88:AF92)</f>
        <v>106798</v>
      </c>
      <c r="AG93" s="709">
        <f>SUM(AG88:AG92)</f>
        <v>403610</v>
      </c>
      <c r="AH93" s="437"/>
      <c r="AI93" s="686">
        <f>SUM(AI88:AI92)</f>
        <v>113329</v>
      </c>
      <c r="AJ93" s="709">
        <f>SUM(AJ88:AJ92)</f>
        <v>389250</v>
      </c>
      <c r="AK93" s="437"/>
      <c r="AL93" s="686">
        <f>SUM(AL88:AL92)</f>
        <v>112521</v>
      </c>
      <c r="AM93" s="709">
        <f>SUM(AM88:AM92)</f>
        <v>0</v>
      </c>
      <c r="AN93" s="710"/>
      <c r="AO93" s="686">
        <f>SUM(AO88:AO92)</f>
        <v>0</v>
      </c>
      <c r="AP93" s="709">
        <f>SUM(AP88:AP92)</f>
        <v>0</v>
      </c>
      <c r="AQ93" s="710"/>
      <c r="AR93" s="686">
        <f>SUM(AR88:AR92)</f>
        <v>0</v>
      </c>
      <c r="AS93" s="709">
        <f>SUM(AS88:AS92)</f>
        <v>0</v>
      </c>
      <c r="AT93" s="710"/>
      <c r="AU93" s="686">
        <f>SUM(AU88:AU92)</f>
        <v>0</v>
      </c>
      <c r="AV93" s="709">
        <f>SUM(AV88:AV92)</f>
        <v>0</v>
      </c>
      <c r="AW93" s="710"/>
      <c r="AX93" s="686">
        <f>SUM(AX88:AX92)</f>
        <v>0</v>
      </c>
      <c r="AY93" s="709">
        <f>SUM(AY88:AY92)</f>
        <v>0</v>
      </c>
      <c r="AZ93" s="710"/>
      <c r="BA93" s="686">
        <f>SUM(BA88:BA92)</f>
        <v>0</v>
      </c>
      <c r="BB93" s="709">
        <f>SUM(BB88:BB92)</f>
        <v>0</v>
      </c>
      <c r="BC93" s="710"/>
      <c r="BD93" s="686">
        <f>SUM(BD88:BD92)</f>
        <v>0</v>
      </c>
      <c r="BE93" s="709">
        <f>SUM(BE88:BE92)</f>
        <v>0</v>
      </c>
      <c r="BF93" s="710"/>
      <c r="BG93" s="686">
        <f>SUM(BG88:BG92)</f>
        <v>0</v>
      </c>
      <c r="BH93" s="709">
        <f>SUM(BH88:BH92)</f>
        <v>0</v>
      </c>
      <c r="BI93" s="710"/>
      <c r="BJ93" s="686">
        <f>SUM(BJ88:BJ92)</f>
        <v>0</v>
      </c>
      <c r="BK93" s="709">
        <f>SUM(BK88:BK92)</f>
        <v>0</v>
      </c>
      <c r="BL93" s="710"/>
      <c r="BM93" s="686">
        <f>SUM(BM88:BM92)</f>
        <v>0</v>
      </c>
      <c r="BN93" s="709">
        <f>SUM(BN88:BN92)</f>
        <v>0</v>
      </c>
      <c r="BO93" s="710"/>
      <c r="BP93" s="686">
        <f>SUM(BP88:BP92)</f>
        <v>0</v>
      </c>
      <c r="BQ93" s="709">
        <f>SUM(BQ88:BQ92)</f>
        <v>0</v>
      </c>
      <c r="BR93" s="710"/>
      <c r="BS93" s="686">
        <f>SUM(BS88:BS92)</f>
        <v>0</v>
      </c>
      <c r="BT93" s="709">
        <f>SUM(BT88:BT92)</f>
        <v>0</v>
      </c>
      <c r="BU93" s="710"/>
      <c r="BV93" s="686">
        <f>SUM(BV88:BV92)</f>
        <v>0</v>
      </c>
    </row>
    <row r="94" spans="1:74" s="439" customFormat="1" x14ac:dyDescent="0.2">
      <c r="A94" s="439" t="s">
        <v>217</v>
      </c>
      <c r="B94" s="439" t="s">
        <v>76</v>
      </c>
      <c r="C94" s="706">
        <f>(ROUND((C34+C59)*C$78,0))-C118</f>
        <v>166570</v>
      </c>
      <c r="D94" s="436">
        <v>3.2000000000000002E-3</v>
      </c>
      <c r="E94" s="685">
        <f t="shared" si="0"/>
        <v>16524</v>
      </c>
      <c r="F94" s="706">
        <f>(ROUND((F34+F59)*F$78,0))-F118</f>
        <v>273140</v>
      </c>
      <c r="G94" s="436">
        <v>3.2000000000000002E-3</v>
      </c>
      <c r="H94" s="685">
        <f>ROUND(F94*G94*H$8,0)</f>
        <v>24473</v>
      </c>
      <c r="I94" s="706">
        <f>(ROUND((I34+I59)*I$78,0))-I118</f>
        <v>277400</v>
      </c>
      <c r="J94" s="436">
        <v>3.2000000000000002E-3</v>
      </c>
      <c r="K94" s="685">
        <f>ROUND(I94*J94*K$8,0)</f>
        <v>27518</v>
      </c>
      <c r="L94" s="706">
        <f>(ROUND((L34+L59)*L$78,0))-L118</f>
        <v>188060</v>
      </c>
      <c r="M94" s="436">
        <v>3.2000000000000002E-3</v>
      </c>
      <c r="N94" s="708">
        <f>ROUND(L94*M94*N$8,0)</f>
        <v>18054</v>
      </c>
      <c r="O94" s="706">
        <f>(ROUND((O34+O59)*O$78,0))-O118</f>
        <v>166650</v>
      </c>
      <c r="P94" s="436">
        <v>3.2000000000000002E-3</v>
      </c>
      <c r="Q94" s="685">
        <f>ROUND(O94*P94*Q$8,0)</f>
        <v>16532</v>
      </c>
      <c r="R94" s="706">
        <f>(ROUND((R34+R59)*R$78,0))-R118</f>
        <v>185000</v>
      </c>
      <c r="S94" s="436">
        <v>3.2000000000000002E-3</v>
      </c>
      <c r="T94" s="685">
        <f>ROUND(R94*S94*T$8,0)</f>
        <v>17760</v>
      </c>
      <c r="U94" s="706">
        <f>(ROUND((U34+U59)*U$78,0))-U118</f>
        <v>124920</v>
      </c>
      <c r="V94" s="436">
        <v>3.2000000000000002E-3</v>
      </c>
      <c r="W94" s="685">
        <f>ROUND(U94*V94*W$8,0)</f>
        <v>12392</v>
      </c>
      <c r="X94" s="706">
        <f>(ROUND((X34+X59)*X$78,0))-X118</f>
        <v>239720</v>
      </c>
      <c r="Y94" s="436">
        <v>3.2000000000000002E-3</v>
      </c>
      <c r="Z94" s="685">
        <f>ROUND(X94*Y94*Z$8,0)</f>
        <v>23780</v>
      </c>
      <c r="AA94" s="706">
        <f>(ROUND((AA34+AA59)*AA$78,0))-AA118</f>
        <v>171020</v>
      </c>
      <c r="AB94" s="436">
        <v>3.2000000000000002E-3</v>
      </c>
      <c r="AC94" s="685">
        <f>ROUND(AA94*AB94*AC$8,0)</f>
        <v>16418</v>
      </c>
      <c r="AD94" s="706">
        <f>(ROUND((AD34+AD59)*AD$78,0))-AD118</f>
        <v>223750</v>
      </c>
      <c r="AE94" s="436">
        <v>3.2000000000000002E-3</v>
      </c>
      <c r="AF94" s="685">
        <f>ROUND(AD94*AE94*AF$8,0)</f>
        <v>22196</v>
      </c>
      <c r="AG94" s="706">
        <f>(ROUND((AG34+AG59)*AG$78,0))-AG118</f>
        <v>283690</v>
      </c>
      <c r="AH94" s="436">
        <v>3.2000000000000002E-3</v>
      </c>
      <c r="AI94" s="685">
        <f>ROUND(AG94*AH94*AI$8,0)</f>
        <v>27234</v>
      </c>
      <c r="AJ94" s="706">
        <f>(ROUND((AJ34+AJ59)*AJ$78,0))-AJ118</f>
        <v>297500</v>
      </c>
      <c r="AK94" s="436">
        <v>3.2000000000000002E-3</v>
      </c>
      <c r="AL94" s="685">
        <f>ROUND(AJ94*AK94*AL$8,0)</f>
        <v>29512</v>
      </c>
      <c r="AM94" s="706">
        <f>ROUND((AM34+AM59)*AM$78,0)</f>
        <v>0</v>
      </c>
      <c r="AN94" s="707">
        <v>3.3E-3</v>
      </c>
      <c r="AO94" s="685">
        <f>ROUND(AM94*AN94*AO$8,0)</f>
        <v>0</v>
      </c>
      <c r="AP94" s="706">
        <f>ROUND((AP34+AP59)*AP$78,0)</f>
        <v>0</v>
      </c>
      <c r="AQ94" s="707">
        <v>3.3E-3</v>
      </c>
      <c r="AR94" s="685">
        <f>ROUND(AP94*AQ94*AR$8,0)</f>
        <v>0</v>
      </c>
      <c r="AS94" s="706">
        <f>ROUND((AS34+AS59)*AS$78,0)</f>
        <v>0</v>
      </c>
      <c r="AT94" s="707">
        <v>3.3E-3</v>
      </c>
      <c r="AU94" s="685">
        <f>ROUND(AS94*AT94*AU$8,0)</f>
        <v>0</v>
      </c>
      <c r="AV94" s="706">
        <f>ROUND((AV34+AV59)*AV$78,0)</f>
        <v>0</v>
      </c>
      <c r="AW94" s="707">
        <v>3.3E-3</v>
      </c>
      <c r="AX94" s="685">
        <f>ROUND(AV94*AW94*AX$8,0)</f>
        <v>0</v>
      </c>
      <c r="AY94" s="706">
        <f>ROUND((AY34+AY59)*AY$78,0)</f>
        <v>0</v>
      </c>
      <c r="AZ94" s="707">
        <v>3.3E-3</v>
      </c>
      <c r="BA94" s="685">
        <f>ROUND(AY94*AZ94*BA$8,0)</f>
        <v>0</v>
      </c>
      <c r="BB94" s="706">
        <f>ROUND((BB34+BB59)*BB$78,0)</f>
        <v>0</v>
      </c>
      <c r="BC94" s="707">
        <v>3.3E-3</v>
      </c>
      <c r="BD94" s="685">
        <f>ROUND(BB94*BC94*BD$8,0)</f>
        <v>0</v>
      </c>
      <c r="BE94" s="706">
        <f>ROUND((BE34+BE59)*BE$78,0)</f>
        <v>0</v>
      </c>
      <c r="BF94" s="707">
        <v>3.3E-3</v>
      </c>
      <c r="BG94" s="685">
        <f>ROUND(BE94*BF94*BG$8,0)</f>
        <v>0</v>
      </c>
      <c r="BH94" s="706">
        <f>ROUND((BH34+BH59)*BH$78,0)</f>
        <v>0</v>
      </c>
      <c r="BI94" s="707">
        <v>3.3E-3</v>
      </c>
      <c r="BJ94" s="685">
        <f>ROUND(BH94*BI94*BJ$8,0)</f>
        <v>0</v>
      </c>
      <c r="BK94" s="706">
        <f>ROUND((BK34+BK59)*BK$78,0)</f>
        <v>0</v>
      </c>
      <c r="BL94" s="707">
        <v>3.3E-3</v>
      </c>
      <c r="BM94" s="685">
        <f>ROUND(BK94*BL94*BM$8,0)</f>
        <v>0</v>
      </c>
      <c r="BN94" s="706">
        <f>ROUND((BN34+BN59)*BN$78,0)</f>
        <v>0</v>
      </c>
      <c r="BO94" s="707">
        <v>3.3E-3</v>
      </c>
      <c r="BP94" s="685">
        <f>ROUND(BN94*BO94*BP$8,0)</f>
        <v>0</v>
      </c>
      <c r="BQ94" s="706">
        <f>ROUND((BQ34+BQ59)*BQ$78,0)</f>
        <v>0</v>
      </c>
      <c r="BR94" s="707">
        <v>3.3E-3</v>
      </c>
      <c r="BS94" s="685">
        <f>ROUND(BQ94*BR94*BS$8,0)</f>
        <v>0</v>
      </c>
      <c r="BT94" s="706">
        <f>ROUND((BT34+BT59)*BT$78,0)</f>
        <v>0</v>
      </c>
      <c r="BU94" s="707">
        <v>3.3E-3</v>
      </c>
      <c r="BV94" s="685">
        <f>ROUND(BT94*BU94*BV$8,0)</f>
        <v>0</v>
      </c>
    </row>
    <row r="95" spans="1:74" s="373" customFormat="1" x14ac:dyDescent="0.2">
      <c r="A95" s="373" t="s">
        <v>88</v>
      </c>
      <c r="C95" s="709">
        <f>SUM(C94)</f>
        <v>166570</v>
      </c>
      <c r="D95" s="437"/>
      <c r="E95" s="686">
        <f>SUM(E94)</f>
        <v>16524</v>
      </c>
      <c r="F95" s="709">
        <f>SUM(F94)</f>
        <v>273140</v>
      </c>
      <c r="G95" s="437"/>
      <c r="H95" s="686">
        <f>SUM(H94)</f>
        <v>24473</v>
      </c>
      <c r="I95" s="709">
        <f>SUM(I94)</f>
        <v>277400</v>
      </c>
      <c r="J95" s="437"/>
      <c r="K95" s="686">
        <f>SUM(K94)</f>
        <v>27518</v>
      </c>
      <c r="L95" s="709">
        <f>SUM(L94)</f>
        <v>188060</v>
      </c>
      <c r="M95" s="437"/>
      <c r="N95" s="711">
        <f>SUM(N94)</f>
        <v>18054</v>
      </c>
      <c r="O95" s="709">
        <f>SUM(O94)</f>
        <v>166650</v>
      </c>
      <c r="P95" s="437"/>
      <c r="Q95" s="686">
        <f>SUM(Q94)</f>
        <v>16532</v>
      </c>
      <c r="R95" s="709">
        <f>SUM(R94)</f>
        <v>185000</v>
      </c>
      <c r="S95" s="437"/>
      <c r="T95" s="686">
        <f>SUM(T94)</f>
        <v>17760</v>
      </c>
      <c r="U95" s="709">
        <f>SUM(U94)</f>
        <v>124920</v>
      </c>
      <c r="V95" s="437"/>
      <c r="W95" s="686">
        <f>SUM(W94)</f>
        <v>12392</v>
      </c>
      <c r="X95" s="709">
        <f>SUM(X94)</f>
        <v>239720</v>
      </c>
      <c r="Y95" s="437"/>
      <c r="Z95" s="686">
        <f>SUM(Z94)</f>
        <v>23780</v>
      </c>
      <c r="AA95" s="709">
        <f>SUM(AA94)</f>
        <v>171020</v>
      </c>
      <c r="AB95" s="437"/>
      <c r="AC95" s="686">
        <f>SUM(AC94)</f>
        <v>16418</v>
      </c>
      <c r="AD95" s="709">
        <f>SUM(AD94)</f>
        <v>223750</v>
      </c>
      <c r="AE95" s="437"/>
      <c r="AF95" s="686">
        <f>SUM(AF94)</f>
        <v>22196</v>
      </c>
      <c r="AG95" s="709">
        <f>SUM(AG94)</f>
        <v>283690</v>
      </c>
      <c r="AH95" s="437"/>
      <c r="AI95" s="686">
        <f>SUM(AI94)</f>
        <v>27234</v>
      </c>
      <c r="AJ95" s="709">
        <f>SUM(AJ94)</f>
        <v>297500</v>
      </c>
      <c r="AK95" s="437"/>
      <c r="AL95" s="686">
        <f>SUM(AL94)</f>
        <v>29512</v>
      </c>
      <c r="AM95" s="709">
        <f>SUM(AM94)</f>
        <v>0</v>
      </c>
      <c r="AN95" s="710"/>
      <c r="AO95" s="686">
        <f>SUM(AO94)</f>
        <v>0</v>
      </c>
      <c r="AP95" s="709">
        <f>SUM(AP94)</f>
        <v>0</v>
      </c>
      <c r="AQ95" s="710"/>
      <c r="AR95" s="686">
        <f>SUM(AR94)</f>
        <v>0</v>
      </c>
      <c r="AS95" s="709">
        <f>SUM(AS94)</f>
        <v>0</v>
      </c>
      <c r="AT95" s="710"/>
      <c r="AU95" s="686">
        <f>SUM(AU94)</f>
        <v>0</v>
      </c>
      <c r="AV95" s="709">
        <f>SUM(AV94)</f>
        <v>0</v>
      </c>
      <c r="AW95" s="710"/>
      <c r="AX95" s="686">
        <f>SUM(AX94)</f>
        <v>0</v>
      </c>
      <c r="AY95" s="709">
        <f>SUM(AY94)</f>
        <v>0</v>
      </c>
      <c r="AZ95" s="710"/>
      <c r="BA95" s="686">
        <f>SUM(BA94)</f>
        <v>0</v>
      </c>
      <c r="BB95" s="709">
        <f>SUM(BB94)</f>
        <v>0</v>
      </c>
      <c r="BC95" s="710"/>
      <c r="BD95" s="686">
        <f>SUM(BD94)</f>
        <v>0</v>
      </c>
      <c r="BE95" s="709">
        <f>SUM(BE94)</f>
        <v>0</v>
      </c>
      <c r="BF95" s="710"/>
      <c r="BG95" s="686">
        <f>SUM(BG94)</f>
        <v>0</v>
      </c>
      <c r="BH95" s="709">
        <f>SUM(BH94)</f>
        <v>0</v>
      </c>
      <c r="BI95" s="710"/>
      <c r="BJ95" s="686">
        <f>SUM(BJ94)</f>
        <v>0</v>
      </c>
      <c r="BK95" s="709">
        <f>SUM(BK94)</f>
        <v>0</v>
      </c>
      <c r="BL95" s="710"/>
      <c r="BM95" s="686">
        <f>SUM(BM94)</f>
        <v>0</v>
      </c>
      <c r="BN95" s="709">
        <f>SUM(BN94)</f>
        <v>0</v>
      </c>
      <c r="BO95" s="710"/>
      <c r="BP95" s="686">
        <f>SUM(BP94)</f>
        <v>0</v>
      </c>
      <c r="BQ95" s="709">
        <f>SUM(BQ94)</f>
        <v>0</v>
      </c>
      <c r="BR95" s="710"/>
      <c r="BS95" s="686">
        <f>SUM(BS94)</f>
        <v>0</v>
      </c>
      <c r="BT95" s="709">
        <f>SUM(BT94)</f>
        <v>0</v>
      </c>
      <c r="BU95" s="710"/>
      <c r="BV95" s="686">
        <f>SUM(BV94)</f>
        <v>0</v>
      </c>
    </row>
    <row r="96" spans="1:74" s="439" customFormat="1" x14ac:dyDescent="0.2">
      <c r="A96" s="439" t="s">
        <v>218</v>
      </c>
      <c r="B96" s="439" t="s">
        <v>76</v>
      </c>
      <c r="C96" s="706">
        <f>(ROUND((C36+C61)*C$79,0))-C120</f>
        <v>201090</v>
      </c>
      <c r="D96" s="436">
        <v>1.1000000000000001E-3</v>
      </c>
      <c r="E96" s="685">
        <f t="shared" si="0"/>
        <v>6857</v>
      </c>
      <c r="F96" s="706">
        <f>(ROUND((F36+F61)*F$79,0))-F120</f>
        <v>195320</v>
      </c>
      <c r="G96" s="436">
        <v>1.1000000000000001E-3</v>
      </c>
      <c r="H96" s="685">
        <f>ROUND(F96*G96*H$8,0)</f>
        <v>6016</v>
      </c>
      <c r="I96" s="706">
        <f>(ROUND((I36+I61)*I$79,0))-I120</f>
        <v>185330</v>
      </c>
      <c r="J96" s="436">
        <v>1.1000000000000001E-3</v>
      </c>
      <c r="K96" s="685">
        <f>ROUND(I96*J96*K$8,0)</f>
        <v>6320</v>
      </c>
      <c r="L96" s="706">
        <f>(ROUND((L36+L61)*L$79,0))-L120</f>
        <v>176270</v>
      </c>
      <c r="M96" s="436">
        <v>1.1000000000000001E-3</v>
      </c>
      <c r="N96" s="708">
        <f>ROUND(L96*M96*N$8,0)</f>
        <v>5817</v>
      </c>
      <c r="O96" s="706">
        <f>(ROUND((O36+O61)*O$79,0))-O120</f>
        <v>172620</v>
      </c>
      <c r="P96" s="436">
        <v>1.1000000000000001E-3</v>
      </c>
      <c r="Q96" s="685">
        <f>ROUND(O96*P96*Q$8,0)</f>
        <v>5886</v>
      </c>
      <c r="R96" s="706">
        <f>(ROUND((R36+R61)*R$79,0))-R120</f>
        <v>168960</v>
      </c>
      <c r="S96" s="436">
        <v>1.1000000000000001E-3</v>
      </c>
      <c r="T96" s="685">
        <f>ROUND(R96*S96*T$8,0)</f>
        <v>5576</v>
      </c>
      <c r="U96" s="706">
        <f>(ROUND((U36+U61)*U$79,0))-U120</f>
        <v>212560</v>
      </c>
      <c r="V96" s="436">
        <v>1.1000000000000001E-3</v>
      </c>
      <c r="W96" s="685">
        <f>ROUND(U96*V96*W$8,0)</f>
        <v>7248</v>
      </c>
      <c r="X96" s="706">
        <f>(ROUND((X36+X61)*X$79,0))-X120</f>
        <v>189240</v>
      </c>
      <c r="Y96" s="436">
        <v>1.1000000000000001E-3</v>
      </c>
      <c r="Z96" s="685">
        <f>ROUND(X96*Y96*Z$8,0)</f>
        <v>6453</v>
      </c>
      <c r="AA96" s="706">
        <f>(ROUND((AA36+AA61)*AA$79,0))-AA120</f>
        <v>212950</v>
      </c>
      <c r="AB96" s="436">
        <v>1.1000000000000001E-3</v>
      </c>
      <c r="AC96" s="685">
        <f>ROUND(AA96*AB96*AC$8,0)</f>
        <v>7027</v>
      </c>
      <c r="AD96" s="706">
        <f>(ROUND((AD36+AD61)*AD$79,0))-AD120</f>
        <v>174560</v>
      </c>
      <c r="AE96" s="436">
        <v>1.1000000000000001E-3</v>
      </c>
      <c r="AF96" s="685">
        <f>ROUND(AD96*AE96*AF$8,0)</f>
        <v>5952</v>
      </c>
      <c r="AG96" s="706">
        <f>(ROUND((AG36+AG61)*AG$79,0))-AG120</f>
        <v>169380</v>
      </c>
      <c r="AH96" s="436">
        <v>1.1000000000000001E-3</v>
      </c>
      <c r="AI96" s="685">
        <f>ROUND(AG96*AH96*AI$8,0)</f>
        <v>5590</v>
      </c>
      <c r="AJ96" s="706">
        <f>(ROUND((AJ36+AJ61)*AJ$79,0))-AJ120</f>
        <v>159240</v>
      </c>
      <c r="AK96" s="436">
        <v>1.1000000000000001E-3</v>
      </c>
      <c r="AL96" s="685">
        <f>ROUND(AJ96*AK96*AL$8,0)</f>
        <v>5430</v>
      </c>
      <c r="AM96" s="706">
        <f>ROUND((AM36+AM61)*AM$79,0)</f>
        <v>0</v>
      </c>
      <c r="AN96" s="707">
        <v>1.1000000000000001E-3</v>
      </c>
      <c r="AO96" s="685">
        <f>ROUND(AM96*AN96*AO$8,0)</f>
        <v>0</v>
      </c>
      <c r="AP96" s="706">
        <f>ROUND((AP36+AP61)*AP$79,0)</f>
        <v>0</v>
      </c>
      <c r="AQ96" s="707">
        <v>1.1000000000000001E-3</v>
      </c>
      <c r="AR96" s="685">
        <f>ROUND(AP96*AQ96*AR$8,0)</f>
        <v>0</v>
      </c>
      <c r="AS96" s="706">
        <f>ROUND((AS36+AS61)*AS$79,0)</f>
        <v>0</v>
      </c>
      <c r="AT96" s="707">
        <v>1.1000000000000001E-3</v>
      </c>
      <c r="AU96" s="685">
        <f>ROUND(AS96*AT96*AU$8,0)</f>
        <v>0</v>
      </c>
      <c r="AV96" s="706">
        <f>ROUND((AV36+AV61)*AV$79,0)</f>
        <v>0</v>
      </c>
      <c r="AW96" s="707">
        <v>1.1000000000000001E-3</v>
      </c>
      <c r="AX96" s="685">
        <f>ROUND(AV96*AW96*AX$8,0)</f>
        <v>0</v>
      </c>
      <c r="AY96" s="706">
        <f>ROUND((AY36+AY61)*AY$79,0)</f>
        <v>0</v>
      </c>
      <c r="AZ96" s="707">
        <v>1.1000000000000001E-3</v>
      </c>
      <c r="BA96" s="685">
        <f>ROUND(AY96*AZ96*BA$8,0)</f>
        <v>0</v>
      </c>
      <c r="BB96" s="706">
        <f>ROUND((BB36+BB61)*BB$79,0)</f>
        <v>0</v>
      </c>
      <c r="BC96" s="707">
        <v>1.1000000000000001E-3</v>
      </c>
      <c r="BD96" s="685">
        <f>ROUND(BB96*BC96*BD$8,0)</f>
        <v>0</v>
      </c>
      <c r="BE96" s="706">
        <f>ROUND((BE36+BE61)*BE$79,0)</f>
        <v>0</v>
      </c>
      <c r="BF96" s="707">
        <v>1.1000000000000001E-3</v>
      </c>
      <c r="BG96" s="685">
        <f>ROUND(BE96*BF96*BG$8,0)</f>
        <v>0</v>
      </c>
      <c r="BH96" s="706">
        <f>ROUND((BH36+BH61)*BH$79,0)</f>
        <v>0</v>
      </c>
      <c r="BI96" s="707">
        <v>1.1000000000000001E-3</v>
      </c>
      <c r="BJ96" s="685">
        <f>ROUND(BH96*BI96*BJ$8,0)</f>
        <v>0</v>
      </c>
      <c r="BK96" s="706">
        <f>ROUND((BK36+BK61)*BK$79,0)</f>
        <v>0</v>
      </c>
      <c r="BL96" s="707">
        <v>1.1000000000000001E-3</v>
      </c>
      <c r="BM96" s="685">
        <f>ROUND(BK96*BL96*BM$8,0)</f>
        <v>0</v>
      </c>
      <c r="BN96" s="706">
        <f>ROUND((BN36+BN61)*BN$79,0)</f>
        <v>0</v>
      </c>
      <c r="BO96" s="707">
        <v>1.1000000000000001E-3</v>
      </c>
      <c r="BP96" s="685">
        <f>ROUND(BN96*BO96*BP$8,0)</f>
        <v>0</v>
      </c>
      <c r="BQ96" s="706">
        <f>ROUND((BQ36+BQ61)*BQ$79,0)</f>
        <v>0</v>
      </c>
      <c r="BR96" s="707">
        <v>1.1000000000000001E-3</v>
      </c>
      <c r="BS96" s="685">
        <f>ROUND(BQ96*BR96*BS$8,0)</f>
        <v>0</v>
      </c>
      <c r="BT96" s="706">
        <f>ROUND((BT36+BT61)*BT$79,0)</f>
        <v>0</v>
      </c>
      <c r="BU96" s="707">
        <v>1.1000000000000001E-3</v>
      </c>
      <c r="BV96" s="685">
        <f>ROUND(BT96*BU96*BV$8,0)</f>
        <v>0</v>
      </c>
    </row>
    <row r="97" spans="1:74" s="373" customFormat="1" x14ac:dyDescent="0.2">
      <c r="A97" s="373" t="s">
        <v>90</v>
      </c>
      <c r="C97" s="709">
        <f>SUM(C96)</f>
        <v>201090</v>
      </c>
      <c r="D97" s="437"/>
      <c r="E97" s="686">
        <f>SUM(E96)</f>
        <v>6857</v>
      </c>
      <c r="F97" s="709">
        <f>SUM(F96)</f>
        <v>195320</v>
      </c>
      <c r="G97" s="437"/>
      <c r="H97" s="686">
        <f>SUM(H96)</f>
        <v>6016</v>
      </c>
      <c r="I97" s="709">
        <f>SUM(I96)</f>
        <v>185330</v>
      </c>
      <c r="J97" s="437"/>
      <c r="K97" s="686">
        <f>SUM(K96)</f>
        <v>6320</v>
      </c>
      <c r="L97" s="709">
        <f>SUM(L96)</f>
        <v>176270</v>
      </c>
      <c r="M97" s="437"/>
      <c r="N97" s="711">
        <f>SUM(N96)</f>
        <v>5817</v>
      </c>
      <c r="O97" s="709">
        <f>SUM(O96)</f>
        <v>172620</v>
      </c>
      <c r="P97" s="437"/>
      <c r="Q97" s="686">
        <f>SUM(Q96)</f>
        <v>5886</v>
      </c>
      <c r="R97" s="709">
        <f>SUM(R96)</f>
        <v>168960</v>
      </c>
      <c r="S97" s="437"/>
      <c r="T97" s="686">
        <f>SUM(T96)</f>
        <v>5576</v>
      </c>
      <c r="U97" s="709">
        <f>SUM(U96)</f>
        <v>212560</v>
      </c>
      <c r="V97" s="437"/>
      <c r="W97" s="686">
        <f>SUM(W96)</f>
        <v>7248</v>
      </c>
      <c r="X97" s="709">
        <f>SUM(X96)</f>
        <v>189240</v>
      </c>
      <c r="Y97" s="437"/>
      <c r="Z97" s="686">
        <f>SUM(Z96)</f>
        <v>6453</v>
      </c>
      <c r="AA97" s="709">
        <f>SUM(AA96)</f>
        <v>212950</v>
      </c>
      <c r="AB97" s="437"/>
      <c r="AC97" s="686">
        <f>SUM(AC96)</f>
        <v>7027</v>
      </c>
      <c r="AD97" s="709">
        <f>SUM(AD96)</f>
        <v>174560</v>
      </c>
      <c r="AE97" s="437"/>
      <c r="AF97" s="686">
        <f>SUM(AF96)</f>
        <v>5952</v>
      </c>
      <c r="AG97" s="709">
        <f>SUM(AG96)</f>
        <v>169380</v>
      </c>
      <c r="AH97" s="437"/>
      <c r="AI97" s="686">
        <f>SUM(AI96)</f>
        <v>5590</v>
      </c>
      <c r="AJ97" s="709">
        <f>SUM(AJ96)</f>
        <v>159240</v>
      </c>
      <c r="AK97" s="437"/>
      <c r="AL97" s="686">
        <f>SUM(AL96)</f>
        <v>5430</v>
      </c>
      <c r="AM97" s="709">
        <f>SUM(AM96)</f>
        <v>0</v>
      </c>
      <c r="AN97" s="710"/>
      <c r="AO97" s="686">
        <f>SUM(AO96)</f>
        <v>0</v>
      </c>
      <c r="AP97" s="709">
        <f>SUM(AP96)</f>
        <v>0</v>
      </c>
      <c r="AQ97" s="710"/>
      <c r="AR97" s="686">
        <f>SUM(AR96)</f>
        <v>0</v>
      </c>
      <c r="AS97" s="709">
        <f>SUM(AS96)</f>
        <v>0</v>
      </c>
      <c r="AT97" s="710"/>
      <c r="AU97" s="686">
        <f>SUM(AU96)</f>
        <v>0</v>
      </c>
      <c r="AV97" s="709">
        <f>SUM(AV96)</f>
        <v>0</v>
      </c>
      <c r="AW97" s="710"/>
      <c r="AX97" s="686">
        <f>SUM(AX96)</f>
        <v>0</v>
      </c>
      <c r="AY97" s="709">
        <f>SUM(AY96)</f>
        <v>0</v>
      </c>
      <c r="AZ97" s="710"/>
      <c r="BA97" s="686">
        <f>SUM(BA96)</f>
        <v>0</v>
      </c>
      <c r="BB97" s="709">
        <f>SUM(BB96)</f>
        <v>0</v>
      </c>
      <c r="BC97" s="710"/>
      <c r="BD97" s="686">
        <f>SUM(BD96)</f>
        <v>0</v>
      </c>
      <c r="BE97" s="709">
        <f>SUM(BE96)</f>
        <v>0</v>
      </c>
      <c r="BF97" s="710"/>
      <c r="BG97" s="686">
        <f>SUM(BG96)</f>
        <v>0</v>
      </c>
      <c r="BH97" s="709">
        <f>SUM(BH96)</f>
        <v>0</v>
      </c>
      <c r="BI97" s="710"/>
      <c r="BJ97" s="686">
        <f>SUM(BJ96)</f>
        <v>0</v>
      </c>
      <c r="BK97" s="709">
        <f>SUM(BK96)</f>
        <v>0</v>
      </c>
      <c r="BL97" s="710"/>
      <c r="BM97" s="686">
        <f>SUM(BM96)</f>
        <v>0</v>
      </c>
      <c r="BN97" s="709">
        <f>SUM(BN96)</f>
        <v>0</v>
      </c>
      <c r="BO97" s="710"/>
      <c r="BP97" s="686">
        <f>SUM(BP96)</f>
        <v>0</v>
      </c>
      <c r="BQ97" s="709">
        <f>SUM(BQ96)</f>
        <v>0</v>
      </c>
      <c r="BR97" s="710"/>
      <c r="BS97" s="686">
        <f>SUM(BS96)</f>
        <v>0</v>
      </c>
      <c r="BT97" s="709">
        <f>SUM(BT96)</f>
        <v>0</v>
      </c>
      <c r="BU97" s="710"/>
      <c r="BV97" s="686">
        <f>SUM(BV96)</f>
        <v>0</v>
      </c>
    </row>
    <row r="98" spans="1:74" s="439" customFormat="1" x14ac:dyDescent="0.2">
      <c r="A98" s="439" t="s">
        <v>153</v>
      </c>
      <c r="B98" s="439" t="s">
        <v>76</v>
      </c>
      <c r="C98" s="706">
        <f>(ROUND((C38+C63)*C$80,0))-C122</f>
        <v>0</v>
      </c>
      <c r="D98" s="436">
        <v>1.1000000000000001E-3</v>
      </c>
      <c r="E98" s="685">
        <f t="shared" si="0"/>
        <v>0</v>
      </c>
      <c r="F98" s="706">
        <f>(ROUND((F38+F63)*F$80,0))-F122</f>
        <v>0</v>
      </c>
      <c r="G98" s="436">
        <v>1.1000000000000001E-3</v>
      </c>
      <c r="H98" s="685">
        <f>ROUND(F98*G98*H$8,0)</f>
        <v>0</v>
      </c>
      <c r="I98" s="706">
        <f>(ROUND((I38+I63)*I$80,0))-I122</f>
        <v>0</v>
      </c>
      <c r="J98" s="436">
        <v>1.1000000000000001E-3</v>
      </c>
      <c r="K98" s="685">
        <f>ROUND(I98*J98*K$8,0)</f>
        <v>0</v>
      </c>
      <c r="L98" s="706">
        <f>(ROUND((L38+L63)*L$80,0))-L122</f>
        <v>0</v>
      </c>
      <c r="M98" s="436">
        <v>1.1000000000000001E-3</v>
      </c>
      <c r="N98" s="708">
        <f>ROUND(L98*M98*N$8,0)</f>
        <v>0</v>
      </c>
      <c r="O98" s="706">
        <f>(ROUND((O38+O63)*O$80,0))-O122</f>
        <v>0</v>
      </c>
      <c r="P98" s="436">
        <v>1.1000000000000001E-3</v>
      </c>
      <c r="Q98" s="685">
        <f>ROUND(O98*P98*Q$8,0)</f>
        <v>0</v>
      </c>
      <c r="R98" s="706">
        <f>(ROUND((R38+R63)*R$80,0))-R122</f>
        <v>0</v>
      </c>
      <c r="S98" s="436">
        <v>1.1000000000000001E-3</v>
      </c>
      <c r="T98" s="685">
        <f>ROUND(R98*S98*T$8,0)</f>
        <v>0</v>
      </c>
      <c r="U98" s="706">
        <f>(ROUND((U38+U63)*U$80,0))-U122</f>
        <v>0</v>
      </c>
      <c r="V98" s="436">
        <v>1.1000000000000001E-3</v>
      </c>
      <c r="W98" s="685">
        <f>ROUND(U98*V98*W$8,0)</f>
        <v>0</v>
      </c>
      <c r="X98" s="706">
        <f>(ROUND((X38+X63)*X$80,0))-X122</f>
        <v>0</v>
      </c>
      <c r="Y98" s="436">
        <v>1.1000000000000001E-3</v>
      </c>
      <c r="Z98" s="685">
        <f>ROUND(X98*Y98*Z$8,0)</f>
        <v>0</v>
      </c>
      <c r="AA98" s="706">
        <f>(ROUND((AA38+AA63)*AA$80,0))-AA122</f>
        <v>0</v>
      </c>
      <c r="AB98" s="436">
        <v>1.1000000000000001E-3</v>
      </c>
      <c r="AC98" s="685">
        <f>ROUND(AA98*AB98*AC$8,0)</f>
        <v>0</v>
      </c>
      <c r="AD98" s="706">
        <f>(ROUND((AD38+AD63)*AD$80,0))-AD122</f>
        <v>0</v>
      </c>
      <c r="AE98" s="436">
        <v>1.1000000000000001E-3</v>
      </c>
      <c r="AF98" s="685">
        <f>ROUND(AD98*AE98*AF$8,0)</f>
        <v>0</v>
      </c>
      <c r="AG98" s="706">
        <f>(ROUND((AG38+AG63)*AG$80,0))-AG122</f>
        <v>0</v>
      </c>
      <c r="AH98" s="436">
        <v>1.1000000000000001E-3</v>
      </c>
      <c r="AI98" s="685">
        <f>ROUND(AG98*AH98*AI$8,0)</f>
        <v>0</v>
      </c>
      <c r="AJ98" s="706">
        <f>(ROUND((AJ38+AJ63)*AJ$80,0))-AJ122</f>
        <v>0</v>
      </c>
      <c r="AK98" s="436">
        <v>1.1000000000000001E-3</v>
      </c>
      <c r="AL98" s="685">
        <f>ROUND(AJ98*AK98*AL$8,0)</f>
        <v>0</v>
      </c>
      <c r="AM98" s="706">
        <f>ROUND((AM38+AM63)*AM$80,0)</f>
        <v>0</v>
      </c>
      <c r="AN98" s="707">
        <v>1.1000000000000001E-3</v>
      </c>
      <c r="AO98" s="685">
        <f>ROUND(AM98*AN98*AO$8,0)</f>
        <v>0</v>
      </c>
      <c r="AP98" s="706">
        <f>ROUND((AP38+AP63)*AP$80,0)</f>
        <v>0</v>
      </c>
      <c r="AQ98" s="707">
        <v>1.1000000000000001E-3</v>
      </c>
      <c r="AR98" s="685">
        <f>ROUND(AP98*AQ98*AR$8,0)</f>
        <v>0</v>
      </c>
      <c r="AS98" s="706">
        <f>ROUND((AS38+AS63)*AS$80,0)</f>
        <v>0</v>
      </c>
      <c r="AT98" s="707">
        <v>1.1000000000000001E-3</v>
      </c>
      <c r="AU98" s="685">
        <f>ROUND(AS98*AT98*AU$8,0)</f>
        <v>0</v>
      </c>
      <c r="AV98" s="706">
        <f>ROUND((AV38+AV63)*AV$80,0)</f>
        <v>0</v>
      </c>
      <c r="AW98" s="707">
        <v>1.1000000000000001E-3</v>
      </c>
      <c r="AX98" s="685">
        <f>ROUND(AV98*AW98*AX$8,0)</f>
        <v>0</v>
      </c>
      <c r="AY98" s="706">
        <f>ROUND((AY38+AY63)*AY$80,0)</f>
        <v>0</v>
      </c>
      <c r="AZ98" s="707">
        <v>1.1000000000000001E-3</v>
      </c>
      <c r="BA98" s="685">
        <f>ROUND(AY98*AZ98*BA$8,0)</f>
        <v>0</v>
      </c>
      <c r="BB98" s="706">
        <f>ROUND((BB38+BB63)*BB$80,0)</f>
        <v>0</v>
      </c>
      <c r="BC98" s="707">
        <v>1.1000000000000001E-3</v>
      </c>
      <c r="BD98" s="685">
        <f>ROUND(BB98*BC98*BD$8,0)</f>
        <v>0</v>
      </c>
      <c r="BE98" s="706">
        <f>ROUND((BE38+BE63)*BE$80,0)</f>
        <v>0</v>
      </c>
      <c r="BF98" s="707">
        <v>1.1000000000000001E-3</v>
      </c>
      <c r="BG98" s="685">
        <f>ROUND(BE98*BF98*BG$8,0)</f>
        <v>0</v>
      </c>
      <c r="BH98" s="706">
        <f>ROUND((BH38+BH63)*BH$80,0)</f>
        <v>0</v>
      </c>
      <c r="BI98" s="707">
        <v>1.1000000000000001E-3</v>
      </c>
      <c r="BJ98" s="685">
        <f>ROUND(BH98*BI98*BJ$8,0)</f>
        <v>0</v>
      </c>
      <c r="BK98" s="706">
        <f>ROUND((BK38+BK63)*BK$80,0)</f>
        <v>0</v>
      </c>
      <c r="BL98" s="707">
        <v>1.1000000000000001E-3</v>
      </c>
      <c r="BM98" s="685">
        <f>ROUND(BK98*BL98*BM$8,0)</f>
        <v>0</v>
      </c>
      <c r="BN98" s="706">
        <f>ROUND((BN38+BN63)*BN$80,0)</f>
        <v>0</v>
      </c>
      <c r="BO98" s="707">
        <v>1.1000000000000001E-3</v>
      </c>
      <c r="BP98" s="685">
        <f>ROUND(BN98*BO98*BP$8,0)</f>
        <v>0</v>
      </c>
      <c r="BQ98" s="706">
        <f>ROUND((BQ38+BQ63)*BQ$80,0)</f>
        <v>0</v>
      </c>
      <c r="BR98" s="707">
        <v>1.1000000000000001E-3</v>
      </c>
      <c r="BS98" s="685">
        <f>ROUND(BQ98*BR98*BS$8,0)</f>
        <v>0</v>
      </c>
      <c r="BT98" s="706">
        <f>ROUND((BT38+BT63)*BT$80,0)</f>
        <v>0</v>
      </c>
      <c r="BU98" s="707">
        <v>1.1000000000000001E-3</v>
      </c>
      <c r="BV98" s="685">
        <f>ROUND(BT98*BU98*BV$8,0)</f>
        <v>0</v>
      </c>
    </row>
    <row r="99" spans="1:74" s="439" customFormat="1" x14ac:dyDescent="0.2">
      <c r="A99" s="439" t="s">
        <v>154</v>
      </c>
      <c r="B99" s="439" t="s">
        <v>76</v>
      </c>
      <c r="C99" s="706">
        <f>(ROUND((C39+C64)*C$80,0))-C123</f>
        <v>477600</v>
      </c>
      <c r="D99" s="436">
        <v>1.1000000000000001E-3</v>
      </c>
      <c r="E99" s="685">
        <f t="shared" si="0"/>
        <v>16286</v>
      </c>
      <c r="F99" s="706">
        <f>(ROUND((F39+F64)*F$80,0))-F123</f>
        <v>487550</v>
      </c>
      <c r="G99" s="436">
        <v>1.1000000000000001E-3</v>
      </c>
      <c r="H99" s="685">
        <f>ROUND(F99*G99*H$8,0)</f>
        <v>15017</v>
      </c>
      <c r="I99" s="706">
        <f>(ROUND((I39+I64)*I$80,0))-I123</f>
        <v>453625</v>
      </c>
      <c r="J99" s="436">
        <v>1.1000000000000001E-3</v>
      </c>
      <c r="K99" s="685">
        <f>ROUND(I99*J99*K$8,0)</f>
        <v>15469</v>
      </c>
      <c r="L99" s="706">
        <f>(ROUND((L39+L64)*L$80,0))-L123</f>
        <v>439300</v>
      </c>
      <c r="M99" s="436">
        <v>1.1000000000000001E-3</v>
      </c>
      <c r="N99" s="708">
        <f>ROUND(L99*M99*N$8,0)</f>
        <v>14497</v>
      </c>
      <c r="O99" s="706">
        <f>(ROUND((O39+O64)*O$80,0))-O123</f>
        <v>410650</v>
      </c>
      <c r="P99" s="436">
        <v>1.1000000000000001E-3</v>
      </c>
      <c r="Q99" s="685">
        <f>ROUND(O99*P99*Q$8,0)</f>
        <v>14003</v>
      </c>
      <c r="R99" s="706">
        <f>(ROUND((R39+R64)*R$80,0))-R123</f>
        <v>405875</v>
      </c>
      <c r="S99" s="436">
        <v>1.1000000000000001E-3</v>
      </c>
      <c r="T99" s="685">
        <f>ROUND(R99*S99*T$8,0)</f>
        <v>13394</v>
      </c>
      <c r="U99" s="706">
        <f>(ROUND((U39+U64)*U$80,0))-U123</f>
        <v>453625</v>
      </c>
      <c r="V99" s="436">
        <v>1.1000000000000001E-3</v>
      </c>
      <c r="W99" s="685">
        <f>ROUND(U99*V99*W$8,0)</f>
        <v>15469</v>
      </c>
      <c r="X99" s="706">
        <f>(ROUND((X39+X64)*X$80,0))-X123</f>
        <v>429750</v>
      </c>
      <c r="Y99" s="436">
        <v>1.1000000000000001E-3</v>
      </c>
      <c r="Z99" s="685">
        <f>ROUND(X99*Y99*Z$8,0)</f>
        <v>14654</v>
      </c>
      <c r="AA99" s="706">
        <f>(ROUND((AA39+AA64)*AA$80,0))-AA123</f>
        <v>434525</v>
      </c>
      <c r="AB99" s="436">
        <v>1.1000000000000001E-3</v>
      </c>
      <c r="AC99" s="685">
        <f>ROUND(AA99*AB99*AC$8,0)</f>
        <v>14339</v>
      </c>
      <c r="AD99" s="706">
        <f>(ROUND((AD39+AD64)*AD$80,0))-AD123</f>
        <v>439300</v>
      </c>
      <c r="AE99" s="436">
        <v>1.1000000000000001E-3</v>
      </c>
      <c r="AF99" s="685">
        <f>ROUND(AD99*AE99*AF$8,0)</f>
        <v>14980</v>
      </c>
      <c r="AG99" s="706">
        <f>(ROUND((AG39+AG64)*AG$80,0))-AG123</f>
        <v>414960</v>
      </c>
      <c r="AH99" s="436">
        <v>1.1000000000000001E-3</v>
      </c>
      <c r="AI99" s="685">
        <f>ROUND(AG99*AH99*AI$8,0)</f>
        <v>13694</v>
      </c>
      <c r="AJ99" s="706">
        <f>(ROUND((AJ39+AJ64)*AJ$80,0))-AJ123</f>
        <v>419520</v>
      </c>
      <c r="AK99" s="436">
        <v>1.1000000000000001E-3</v>
      </c>
      <c r="AL99" s="685">
        <f>ROUND(AJ99*AK99*AL$8,0)</f>
        <v>14306</v>
      </c>
      <c r="AM99" s="706">
        <f>ROUND((AM39+AM64)*AM$80,0)</f>
        <v>0</v>
      </c>
      <c r="AN99" s="707">
        <v>1.2999999999999999E-3</v>
      </c>
      <c r="AO99" s="685">
        <f>ROUND(AM99*AN99*AO$8,0)</f>
        <v>0</v>
      </c>
      <c r="AP99" s="706">
        <f>ROUND((AP39+AP64)*AP$80,0)</f>
        <v>0</v>
      </c>
      <c r="AQ99" s="707">
        <v>1.1000000000000001E-3</v>
      </c>
      <c r="AR99" s="685">
        <f>ROUND(AP99*AQ99*AR$8,0)</f>
        <v>0</v>
      </c>
      <c r="AS99" s="706">
        <f>ROUND((AS39+AS64)*AS$80,0)</f>
        <v>0</v>
      </c>
      <c r="AT99" s="707">
        <v>1.1000000000000001E-3</v>
      </c>
      <c r="AU99" s="685">
        <f>ROUND(AS99*AT99*AU$8,0)</f>
        <v>0</v>
      </c>
      <c r="AV99" s="706">
        <f>ROUND((AV39+AV64)*AV$80,0)</f>
        <v>0</v>
      </c>
      <c r="AW99" s="707">
        <v>1.1000000000000001E-3</v>
      </c>
      <c r="AX99" s="685">
        <f>ROUND(AV99*AW99*AX$8,0)</f>
        <v>0</v>
      </c>
      <c r="AY99" s="706">
        <f>ROUND((AY39+AY64)*AY$80,0)</f>
        <v>0</v>
      </c>
      <c r="AZ99" s="707">
        <v>1.1000000000000001E-3</v>
      </c>
      <c r="BA99" s="685">
        <f>ROUND(AY99*AZ99*BA$8,0)</f>
        <v>0</v>
      </c>
      <c r="BB99" s="706">
        <f>ROUND((BB39+BB64)*BB$80,0)</f>
        <v>0</v>
      </c>
      <c r="BC99" s="707">
        <v>1.1000000000000001E-3</v>
      </c>
      <c r="BD99" s="685">
        <f>ROUND(BB99*BC99*BD$8,0)</f>
        <v>0</v>
      </c>
      <c r="BE99" s="706">
        <f>ROUND((BE39+BE64)*BE$80,0)</f>
        <v>0</v>
      </c>
      <c r="BF99" s="707">
        <v>1.1000000000000001E-3</v>
      </c>
      <c r="BG99" s="685">
        <f>ROUND(BE99*BF99*BG$8,0)</f>
        <v>0</v>
      </c>
      <c r="BH99" s="706">
        <f>ROUND((BH39+BH64)*BH$80,0)</f>
        <v>0</v>
      </c>
      <c r="BI99" s="707">
        <v>1.1000000000000001E-3</v>
      </c>
      <c r="BJ99" s="685">
        <f>ROUND(BH99*BI99*BJ$8,0)</f>
        <v>0</v>
      </c>
      <c r="BK99" s="706">
        <f>ROUND((BK39+BK64)*BK$80,0)</f>
        <v>0</v>
      </c>
      <c r="BL99" s="707">
        <v>1.1000000000000001E-3</v>
      </c>
      <c r="BM99" s="685">
        <f>ROUND(BK99*BL99*BM$8,0)</f>
        <v>0</v>
      </c>
      <c r="BN99" s="706">
        <f>ROUND((BN39+BN64)*BN$80,0)</f>
        <v>0</v>
      </c>
      <c r="BO99" s="707">
        <v>1.1000000000000001E-3</v>
      </c>
      <c r="BP99" s="685">
        <f>ROUND(BN99*BO99*BP$8,0)</f>
        <v>0</v>
      </c>
      <c r="BQ99" s="706">
        <f>ROUND((BQ39+BQ64)*BQ$80,0)</f>
        <v>0</v>
      </c>
      <c r="BR99" s="707">
        <v>1.1000000000000001E-3</v>
      </c>
      <c r="BS99" s="685">
        <f>ROUND(BQ99*BR99*BS$8,0)</f>
        <v>0</v>
      </c>
      <c r="BT99" s="706">
        <f>ROUND((BT39+BT64)*BT$80,0)</f>
        <v>0</v>
      </c>
      <c r="BU99" s="707">
        <v>1.1000000000000001E-3</v>
      </c>
      <c r="BV99" s="685">
        <f>ROUND(BT99*BU99*BV$8,0)</f>
        <v>0</v>
      </c>
    </row>
    <row r="100" spans="1:74" s="373" customFormat="1" x14ac:dyDescent="0.2">
      <c r="A100" s="373" t="s">
        <v>129</v>
      </c>
      <c r="C100" s="709">
        <f>SUM(C98:C99)</f>
        <v>477600</v>
      </c>
      <c r="D100" s="437"/>
      <c r="E100" s="686">
        <f>SUM(E98:E99)</f>
        <v>16286</v>
      </c>
      <c r="F100" s="709">
        <f>SUM(F98:F99)</f>
        <v>487550</v>
      </c>
      <c r="G100" s="437"/>
      <c r="H100" s="686">
        <f>SUM(H98:H99)</f>
        <v>15017</v>
      </c>
      <c r="I100" s="709">
        <f>SUM(I98:I99)</f>
        <v>453625</v>
      </c>
      <c r="J100" s="437"/>
      <c r="K100" s="686">
        <f>SUM(K98:K99)</f>
        <v>15469</v>
      </c>
      <c r="L100" s="709">
        <f>SUM(L98:L99)</f>
        <v>439300</v>
      </c>
      <c r="M100" s="437"/>
      <c r="N100" s="711">
        <f>SUM(N98:N99)</f>
        <v>14497</v>
      </c>
      <c r="O100" s="709">
        <f>SUM(O98:O99)</f>
        <v>410650</v>
      </c>
      <c r="P100" s="437"/>
      <c r="Q100" s="686">
        <f>SUM(Q98:Q99)</f>
        <v>14003</v>
      </c>
      <c r="R100" s="709">
        <f>SUM(R98:R99)</f>
        <v>405875</v>
      </c>
      <c r="S100" s="437"/>
      <c r="T100" s="686">
        <f>SUM(T98:T99)</f>
        <v>13394</v>
      </c>
      <c r="U100" s="709">
        <f>SUM(U98:U99)</f>
        <v>453625</v>
      </c>
      <c r="V100" s="437"/>
      <c r="W100" s="686">
        <f>SUM(W98:W99)</f>
        <v>15469</v>
      </c>
      <c r="X100" s="709">
        <f>SUM(X98:X99)</f>
        <v>429750</v>
      </c>
      <c r="Y100" s="437"/>
      <c r="Z100" s="686">
        <f>SUM(Z98:Z99)</f>
        <v>14654</v>
      </c>
      <c r="AA100" s="709">
        <f>SUM(AA98:AA99)</f>
        <v>434525</v>
      </c>
      <c r="AB100" s="437"/>
      <c r="AC100" s="686">
        <f>SUM(AC98:AC99)</f>
        <v>14339</v>
      </c>
      <c r="AD100" s="709">
        <f>SUM(AD98:AD99)</f>
        <v>439300</v>
      </c>
      <c r="AE100" s="437"/>
      <c r="AF100" s="686">
        <f>SUM(AF98:AF99)</f>
        <v>14980</v>
      </c>
      <c r="AG100" s="709">
        <f>SUM(AG98:AG99)</f>
        <v>414960</v>
      </c>
      <c r="AH100" s="437"/>
      <c r="AI100" s="686">
        <f>SUM(AI98:AI99)</f>
        <v>13694</v>
      </c>
      <c r="AJ100" s="709">
        <f>SUM(AJ98:AJ99)</f>
        <v>419520</v>
      </c>
      <c r="AK100" s="437"/>
      <c r="AL100" s="686">
        <f>SUM(AL98:AL99)</f>
        <v>14306</v>
      </c>
      <c r="AM100" s="709">
        <f>SUM(AM98:AM99)</f>
        <v>0</v>
      </c>
      <c r="AN100" s="710"/>
      <c r="AO100" s="686">
        <f>SUM(AO98:AO99)</f>
        <v>0</v>
      </c>
      <c r="AP100" s="709">
        <f>SUM(AP98:AP99)</f>
        <v>0</v>
      </c>
      <c r="AQ100" s="710"/>
      <c r="AR100" s="686">
        <f>SUM(AR98:AR99)</f>
        <v>0</v>
      </c>
      <c r="AS100" s="709">
        <f>SUM(AS98:AS99)</f>
        <v>0</v>
      </c>
      <c r="AT100" s="710"/>
      <c r="AU100" s="686">
        <f>SUM(AU98:AU99)</f>
        <v>0</v>
      </c>
      <c r="AV100" s="709">
        <f>SUM(AV98:AV99)</f>
        <v>0</v>
      </c>
      <c r="AW100" s="710"/>
      <c r="AX100" s="686">
        <f>SUM(AX98:AX99)</f>
        <v>0</v>
      </c>
      <c r="AY100" s="709">
        <f>SUM(AY98:AY99)</f>
        <v>0</v>
      </c>
      <c r="AZ100" s="710"/>
      <c r="BA100" s="686">
        <f>SUM(BA98:BA99)</f>
        <v>0</v>
      </c>
      <c r="BB100" s="709">
        <f>SUM(BB98:BB99)</f>
        <v>0</v>
      </c>
      <c r="BC100" s="710"/>
      <c r="BD100" s="686">
        <f>SUM(BD98:BD99)</f>
        <v>0</v>
      </c>
      <c r="BE100" s="709">
        <f>SUM(BE98:BE99)</f>
        <v>0</v>
      </c>
      <c r="BF100" s="710"/>
      <c r="BG100" s="686">
        <f>SUM(BG98:BG99)</f>
        <v>0</v>
      </c>
      <c r="BH100" s="709">
        <f>SUM(BH98:BH99)</f>
        <v>0</v>
      </c>
      <c r="BI100" s="710"/>
      <c r="BJ100" s="686">
        <f>SUM(BJ98:BJ99)</f>
        <v>0</v>
      </c>
      <c r="BK100" s="709">
        <f>SUM(BK98:BK99)</f>
        <v>0</v>
      </c>
      <c r="BL100" s="710"/>
      <c r="BM100" s="686">
        <f>SUM(BM98:BM99)</f>
        <v>0</v>
      </c>
      <c r="BN100" s="709">
        <f>SUM(BN98:BN99)</f>
        <v>0</v>
      </c>
      <c r="BO100" s="710"/>
      <c r="BP100" s="686">
        <f>SUM(BP98:BP99)</f>
        <v>0</v>
      </c>
      <c r="BQ100" s="709">
        <f>SUM(BQ98:BQ99)</f>
        <v>0</v>
      </c>
      <c r="BR100" s="710"/>
      <c r="BS100" s="686">
        <f>SUM(BS98:BS99)</f>
        <v>0</v>
      </c>
      <c r="BT100" s="709">
        <f>SUM(BT98:BT99)</f>
        <v>0</v>
      </c>
      <c r="BU100" s="710"/>
      <c r="BV100" s="686">
        <f>SUM(BV98:BV99)</f>
        <v>0</v>
      </c>
    </row>
    <row r="101" spans="1:74" s="439" customFormat="1" x14ac:dyDescent="0.2">
      <c r="A101" s="439" t="s">
        <v>155</v>
      </c>
      <c r="B101" s="439" t="s">
        <v>76</v>
      </c>
      <c r="C101" s="706">
        <f>(ROUND((C41+C66)*C$81,0))-C125</f>
        <v>357825</v>
      </c>
      <c r="D101" s="436">
        <v>2.8500000000000001E-2</v>
      </c>
      <c r="E101" s="685">
        <f t="shared" si="0"/>
        <v>316138</v>
      </c>
      <c r="F101" s="706">
        <f>(ROUND((F41+F66)*F$81,0))-F125</f>
        <v>346815</v>
      </c>
      <c r="G101" s="436">
        <v>2.8500000000000001E-2</v>
      </c>
      <c r="H101" s="685">
        <f>ROUND(F101*G101*H$8,0)</f>
        <v>276758</v>
      </c>
      <c r="I101" s="706">
        <f>(ROUND((I41+I66)*I$81,0))-I125</f>
        <v>330300</v>
      </c>
      <c r="J101" s="436">
        <v>2.8500000000000001E-2</v>
      </c>
      <c r="K101" s="685">
        <f>ROUND(I101*J101*K$8,0)</f>
        <v>291820</v>
      </c>
      <c r="L101" s="706">
        <f>(ROUND((L41+L66)*L$81,0))-L125</f>
        <v>297270</v>
      </c>
      <c r="M101" s="436">
        <v>2.8500000000000001E-2</v>
      </c>
      <c r="N101" s="708">
        <f>ROUND(L101*M101*N$8,0)</f>
        <v>254166</v>
      </c>
      <c r="O101" s="706">
        <f>(ROUND((O41+O66)*O$81,0))-O125</f>
        <v>297270</v>
      </c>
      <c r="P101" s="436">
        <v>2.8500000000000001E-2</v>
      </c>
      <c r="Q101" s="685">
        <f>ROUND(O101*P101*Q$8,0)</f>
        <v>262638</v>
      </c>
      <c r="R101" s="706">
        <f>(ROUND((R41+R66)*R$81,0))-R125</f>
        <v>435045</v>
      </c>
      <c r="S101" s="436">
        <v>2.8500000000000001E-2</v>
      </c>
      <c r="T101" s="685">
        <f>ROUND(R101*S101*T$8,0)</f>
        <v>371963</v>
      </c>
      <c r="U101" s="706">
        <f>(ROUND((U41+U66)*U$81,0))-U125</f>
        <v>469350</v>
      </c>
      <c r="V101" s="436">
        <v>2.8500000000000001E-2</v>
      </c>
      <c r="W101" s="685">
        <f>ROUND(U101*V101*W$8,0)</f>
        <v>414671</v>
      </c>
      <c r="X101" s="706">
        <f>(ROUND((X41+X66)*X$81,0))-X125</f>
        <v>449235</v>
      </c>
      <c r="Y101" s="436">
        <v>2.8500000000000001E-2</v>
      </c>
      <c r="Z101" s="685">
        <f>ROUND(X101*Y101*Z$8,0)</f>
        <v>396899</v>
      </c>
      <c r="AA101" s="706">
        <f>(ROUND((AA41+AA66)*AA$81,0))-AA125</f>
        <v>469350</v>
      </c>
      <c r="AB101" s="436">
        <v>2.8500000000000001E-2</v>
      </c>
      <c r="AC101" s="685">
        <f>ROUND(AA101*AB101*AC$8,0)</f>
        <v>401294</v>
      </c>
      <c r="AD101" s="706">
        <f>(ROUND((AD41+AD66)*AD$81,0))-AD125</f>
        <v>476055</v>
      </c>
      <c r="AE101" s="436">
        <v>2.8500000000000001E-2</v>
      </c>
      <c r="AF101" s="685">
        <f>ROUND(AD101*AE101*AF$8,0)</f>
        <v>420595</v>
      </c>
      <c r="AG101" s="706">
        <f>(ROUND((AG41+AG66)*AG$81,0))-AG125</f>
        <v>493240</v>
      </c>
      <c r="AH101" s="436">
        <v>2.8500000000000001E-2</v>
      </c>
      <c r="AI101" s="685">
        <f>ROUND(AG101*AH101*AI$8,0)</f>
        <v>421720</v>
      </c>
      <c r="AJ101" s="706">
        <f>(ROUND((AJ41+AJ66)*AJ$81,0))-AJ125</f>
        <v>454300</v>
      </c>
      <c r="AK101" s="436">
        <v>2.8500000000000001E-2</v>
      </c>
      <c r="AL101" s="685">
        <f>ROUND(AJ101*AK101*AL$8,0)</f>
        <v>401374</v>
      </c>
      <c r="AM101" s="706">
        <f>ROUND((AM41+AM66)*AM$81,0)</f>
        <v>0</v>
      </c>
      <c r="AN101" s="707">
        <v>2.86E-2</v>
      </c>
      <c r="AO101" s="685">
        <f>ROUND(AM101*AN101*AO$8,0)</f>
        <v>0</v>
      </c>
      <c r="AP101" s="706">
        <f>ROUND((AP41+AP66)*AP$81,0)</f>
        <v>0</v>
      </c>
      <c r="AQ101" s="707">
        <v>2.46E-2</v>
      </c>
      <c r="AR101" s="685">
        <f>ROUND(AP101*AQ101*AR$8,0)</f>
        <v>0</v>
      </c>
      <c r="AS101" s="706">
        <f>ROUND((AS41+AS66)*AS$81,0)</f>
        <v>0</v>
      </c>
      <c r="AT101" s="707">
        <v>2.46E-2</v>
      </c>
      <c r="AU101" s="685">
        <f>ROUND(AS101*AT101*AU$8,0)</f>
        <v>0</v>
      </c>
      <c r="AV101" s="706">
        <f>ROUND((AV41+AV66)*AV$81,0)</f>
        <v>0</v>
      </c>
      <c r="AW101" s="707">
        <v>2.46E-2</v>
      </c>
      <c r="AX101" s="685">
        <f>ROUND(AV101*AW101*AX$8,0)</f>
        <v>0</v>
      </c>
      <c r="AY101" s="706">
        <f>ROUND((AY41+AY66)*AY$81,0)</f>
        <v>0</v>
      </c>
      <c r="AZ101" s="707">
        <v>2.46E-2</v>
      </c>
      <c r="BA101" s="685">
        <f>ROUND(AY101*AZ101*BA$8,0)</f>
        <v>0</v>
      </c>
      <c r="BB101" s="706">
        <f>ROUND((BB41+BB66)*BB$81,0)</f>
        <v>0</v>
      </c>
      <c r="BC101" s="707">
        <v>2.46E-2</v>
      </c>
      <c r="BD101" s="685">
        <f>ROUND(BB101*BC101*BD$8,0)</f>
        <v>0</v>
      </c>
      <c r="BE101" s="706">
        <f>ROUND((BE41+BE66)*BE$81,0)</f>
        <v>0</v>
      </c>
      <c r="BF101" s="707">
        <v>2.46E-2</v>
      </c>
      <c r="BG101" s="685">
        <f>ROUND(BE101*BF101*BG$8,0)</f>
        <v>0</v>
      </c>
      <c r="BH101" s="706">
        <f>ROUND((BH41+BH66)*BH$81,0)</f>
        <v>0</v>
      </c>
      <c r="BI101" s="707">
        <v>2.46E-2</v>
      </c>
      <c r="BJ101" s="685">
        <f>ROUND(BH101*BI101*BJ$8,0)</f>
        <v>0</v>
      </c>
      <c r="BK101" s="706">
        <f>ROUND((BK41+BK66)*BK$81,0)</f>
        <v>0</v>
      </c>
      <c r="BL101" s="707">
        <v>2.46E-2</v>
      </c>
      <c r="BM101" s="685">
        <f>ROUND(BK101*BL101*BM$8,0)</f>
        <v>0</v>
      </c>
      <c r="BN101" s="706">
        <f>ROUND((BN41+BN66)*BN$81,0)</f>
        <v>0</v>
      </c>
      <c r="BO101" s="707">
        <v>2.46E-2</v>
      </c>
      <c r="BP101" s="685">
        <f>ROUND(BN101*BO101*BP$8,0)</f>
        <v>0</v>
      </c>
      <c r="BQ101" s="706">
        <f>ROUND((BQ41+BQ66)*BQ$81,0)</f>
        <v>0</v>
      </c>
      <c r="BR101" s="707">
        <v>2.46E-2</v>
      </c>
      <c r="BS101" s="685">
        <f>ROUND(BQ101*BR101*BS$8,0)</f>
        <v>0</v>
      </c>
      <c r="BT101" s="706">
        <f>ROUND((BT41+BT66)*BT$81,0)</f>
        <v>0</v>
      </c>
      <c r="BU101" s="707">
        <v>2.46E-2</v>
      </c>
      <c r="BV101" s="685">
        <f>ROUND(BT101*BU101*BV$8,0)</f>
        <v>0</v>
      </c>
    </row>
    <row r="102" spans="1:74" s="439" customFormat="1" x14ac:dyDescent="0.2">
      <c r="A102" s="439" t="s">
        <v>156</v>
      </c>
      <c r="B102" s="439" t="s">
        <v>76</v>
      </c>
      <c r="C102" s="706">
        <f>(ROUND((C42+C67)*C$82,0))-C126</f>
        <v>51600</v>
      </c>
      <c r="D102" s="436">
        <v>1.8499999999999999E-2</v>
      </c>
      <c r="E102" s="685">
        <f t="shared" si="0"/>
        <v>29593</v>
      </c>
      <c r="F102" s="706">
        <f>(ROUND((F42+F67)*F$82,0))-F126</f>
        <v>52200</v>
      </c>
      <c r="G102" s="436">
        <v>1.8499999999999999E-2</v>
      </c>
      <c r="H102" s="685">
        <f>ROUND(F102*G102*H$8,0)</f>
        <v>27040</v>
      </c>
      <c r="I102" s="706">
        <f>(ROUND((I42+I67)*I$82,0))-I126</f>
        <v>56400</v>
      </c>
      <c r="J102" s="436">
        <v>1.8499999999999999E-2</v>
      </c>
      <c r="K102" s="685">
        <f>ROUND(I102*J102*K$8,0)</f>
        <v>32345</v>
      </c>
      <c r="L102" s="706">
        <f>(ROUND((L42+L67)*L$82,0))-L126</f>
        <v>49200</v>
      </c>
      <c r="M102" s="436">
        <v>1.8499999999999999E-2</v>
      </c>
      <c r="N102" s="708">
        <f>ROUND(L102*M102*N$8,0)</f>
        <v>27306</v>
      </c>
      <c r="O102" s="706">
        <f>(ROUND((O42+O67)*O$82,0))-O126</f>
        <v>52200</v>
      </c>
      <c r="P102" s="436">
        <v>1.8499999999999999E-2</v>
      </c>
      <c r="Q102" s="685">
        <f>ROUND(O102*P102*Q$8,0)</f>
        <v>29937</v>
      </c>
      <c r="R102" s="706">
        <f>(ROUND((R42+R67)*R$82,0))-R126</f>
        <v>55200</v>
      </c>
      <c r="S102" s="436">
        <v>1.8499999999999999E-2</v>
      </c>
      <c r="T102" s="685">
        <f>ROUND(R102*S102*T$8,0)</f>
        <v>30636</v>
      </c>
      <c r="U102" s="706">
        <f>(ROUND((U42+U67)*U$82,0))-U126</f>
        <v>54600</v>
      </c>
      <c r="V102" s="436">
        <v>1.8499999999999999E-2</v>
      </c>
      <c r="W102" s="685">
        <f>ROUND(U102*V102*W$8,0)</f>
        <v>31313</v>
      </c>
      <c r="X102" s="706">
        <f>(ROUND((X42+X67)*X$82,0))-X126</f>
        <v>56400</v>
      </c>
      <c r="Y102" s="436">
        <v>1.8499999999999999E-2</v>
      </c>
      <c r="Z102" s="685">
        <f>ROUND(X102*Y102*Z$8,0)</f>
        <v>32345</v>
      </c>
      <c r="AA102" s="706">
        <f>(ROUND((AA42+AA67)*AA$82,0))-AA126</f>
        <v>52200</v>
      </c>
      <c r="AB102" s="436">
        <v>1.8499999999999999E-2</v>
      </c>
      <c r="AC102" s="685">
        <f>ROUND(AA102*AB102*AC$8,0)</f>
        <v>28971</v>
      </c>
      <c r="AD102" s="706">
        <f>(ROUND((AD42+AD67)*AD$82,0))-AD126</f>
        <v>56400</v>
      </c>
      <c r="AE102" s="436">
        <v>1.8499999999999999E-2</v>
      </c>
      <c r="AF102" s="685">
        <f>ROUND(AD102*AE102*AF$8,0)</f>
        <v>32345</v>
      </c>
      <c r="AG102" s="706">
        <f>(ROUND((AG42+AG67)*AG$82,0))-AG126</f>
        <v>58800</v>
      </c>
      <c r="AH102" s="436">
        <v>1.8499999999999999E-2</v>
      </c>
      <c r="AI102" s="685">
        <f>ROUND(AG102*AH102*AI$8,0)</f>
        <v>32634</v>
      </c>
      <c r="AJ102" s="706">
        <f>(ROUND((AJ42+AJ67)*AJ$82,0))-AJ126</f>
        <v>59400</v>
      </c>
      <c r="AK102" s="436">
        <v>1.8499999999999999E-2</v>
      </c>
      <c r="AL102" s="685">
        <f>ROUND(AJ102*AK102*AL$8,0)</f>
        <v>34066</v>
      </c>
      <c r="AM102" s="706">
        <f>ROUND((AM42+AM67)*AM$82,0)</f>
        <v>0</v>
      </c>
      <c r="AN102" s="707">
        <v>1.8599999999999998E-2</v>
      </c>
      <c r="AO102" s="685">
        <f>ROUND(AM102*AN102*AO$8,0)</f>
        <v>0</v>
      </c>
      <c r="AP102" s="706">
        <f>ROUND((AP42+AP67)*AP$82,0)</f>
        <v>0</v>
      </c>
      <c r="AQ102" s="707">
        <v>1.8599999999999998E-2</v>
      </c>
      <c r="AR102" s="685">
        <f>ROUND(AP102*AQ102*AR$8,0)</f>
        <v>0</v>
      </c>
      <c r="AS102" s="706">
        <f>ROUND((AS42+AS67)*AS$82,0)</f>
        <v>0</v>
      </c>
      <c r="AT102" s="707">
        <v>1.8599999999999998E-2</v>
      </c>
      <c r="AU102" s="685">
        <f>ROUND(AS102*AT102*AU$8,0)</f>
        <v>0</v>
      </c>
      <c r="AV102" s="706">
        <f>ROUND((AV42+AV67)*AV$82,0)</f>
        <v>0</v>
      </c>
      <c r="AW102" s="707">
        <v>1.8599999999999998E-2</v>
      </c>
      <c r="AX102" s="685">
        <f>ROUND(AV102*AW102*AX$8,0)</f>
        <v>0</v>
      </c>
      <c r="AY102" s="706">
        <f>ROUND((AY42+AY67)*AY$82,0)</f>
        <v>0</v>
      </c>
      <c r="AZ102" s="707">
        <v>1.8599999999999998E-2</v>
      </c>
      <c r="BA102" s="685">
        <f>ROUND(AY102*AZ102*BA$8,0)</f>
        <v>0</v>
      </c>
      <c r="BB102" s="706">
        <f>ROUND((BB42+BB67)*BB$82,0)</f>
        <v>0</v>
      </c>
      <c r="BC102" s="707">
        <v>1.8599999999999998E-2</v>
      </c>
      <c r="BD102" s="685">
        <f>ROUND(BB102*BC102*BD$8,0)</f>
        <v>0</v>
      </c>
      <c r="BE102" s="706">
        <f>ROUND((BE42+BE67)*BE$82,0)</f>
        <v>0</v>
      </c>
      <c r="BF102" s="707">
        <v>1.8599999999999998E-2</v>
      </c>
      <c r="BG102" s="685">
        <f>ROUND(BE102*BF102*BG$8,0)</f>
        <v>0</v>
      </c>
      <c r="BH102" s="706">
        <f>ROUND((BH42+BH67)*BH$82,0)</f>
        <v>0</v>
      </c>
      <c r="BI102" s="707">
        <v>1.8599999999999998E-2</v>
      </c>
      <c r="BJ102" s="685">
        <f>ROUND(BH102*BI102*BJ$8,0)</f>
        <v>0</v>
      </c>
      <c r="BK102" s="706">
        <f>ROUND((BK42+BK67)*BK$82,0)</f>
        <v>0</v>
      </c>
      <c r="BL102" s="707">
        <v>1.8599999999999998E-2</v>
      </c>
      <c r="BM102" s="685">
        <f>ROUND(BK102*BL102*BM$8,0)</f>
        <v>0</v>
      </c>
      <c r="BN102" s="706">
        <f>ROUND((BN42+BN67)*BN$82,0)</f>
        <v>0</v>
      </c>
      <c r="BO102" s="707">
        <v>1.8599999999999998E-2</v>
      </c>
      <c r="BP102" s="685">
        <f>ROUND(BN102*BO102*BP$8,0)</f>
        <v>0</v>
      </c>
      <c r="BQ102" s="706">
        <f>ROUND((BQ42+BQ67)*BQ$82,0)</f>
        <v>0</v>
      </c>
      <c r="BR102" s="707">
        <v>1.8599999999999998E-2</v>
      </c>
      <c r="BS102" s="685">
        <f>ROUND(BQ102*BR102*BS$8,0)</f>
        <v>0</v>
      </c>
      <c r="BT102" s="706">
        <f>ROUND((BT42+BT67)*BT$82,0)</f>
        <v>0</v>
      </c>
      <c r="BU102" s="707">
        <v>1.8599999999999998E-2</v>
      </c>
      <c r="BV102" s="685">
        <f>ROUND(BT102*BU102*BV$8,0)</f>
        <v>0</v>
      </c>
    </row>
    <row r="103" spans="1:74" s="439" customFormat="1" x14ac:dyDescent="0.2">
      <c r="A103" s="439" t="s">
        <v>157</v>
      </c>
      <c r="B103" s="439" t="s">
        <v>76</v>
      </c>
      <c r="C103" s="706">
        <f>(ROUND((C43+C68)*C$82,0))-C127</f>
        <v>181546</v>
      </c>
      <c r="D103" s="436">
        <v>1.8499999999999999E-2</v>
      </c>
      <c r="E103" s="685">
        <f t="shared" si="0"/>
        <v>104117</v>
      </c>
      <c r="F103" s="706">
        <f>(ROUND((F43+F68)*F$82,0))-F127</f>
        <v>183657</v>
      </c>
      <c r="G103" s="436">
        <v>1.8499999999999999E-2</v>
      </c>
      <c r="H103" s="685">
        <f>ROUND(F103*G103*H$8,0)</f>
        <v>95134</v>
      </c>
      <c r="I103" s="706">
        <f>(ROUND((I43+I68)*I$82,0))-I127</f>
        <v>217234</v>
      </c>
      <c r="J103" s="436">
        <v>1.8499999999999999E-2</v>
      </c>
      <c r="K103" s="685">
        <f>ROUND(I103*J103*K$8,0)</f>
        <v>124584</v>
      </c>
      <c r="L103" s="706">
        <f>(ROUND((L43+L68)*L$82,0))-L127</f>
        <v>189502</v>
      </c>
      <c r="M103" s="436">
        <v>1.8499999999999999E-2</v>
      </c>
      <c r="N103" s="708">
        <f>ROUND(L103*M103*N$8,0)</f>
        <v>105174</v>
      </c>
      <c r="O103" s="706">
        <f>(ROUND((O43+O68)*O$82,0))-O127</f>
        <v>201057</v>
      </c>
      <c r="P103" s="436">
        <v>1.8499999999999999E-2</v>
      </c>
      <c r="Q103" s="685">
        <f>ROUND(O103*P103*Q$8,0)</f>
        <v>115306</v>
      </c>
      <c r="R103" s="706">
        <f>(ROUND((R43+R68)*R$82,0))-R127</f>
        <v>212612</v>
      </c>
      <c r="S103" s="436">
        <v>1.8499999999999999E-2</v>
      </c>
      <c r="T103" s="685">
        <f>ROUND(R103*S103*T$8,0)</f>
        <v>118000</v>
      </c>
      <c r="U103" s="706">
        <f>(ROUND((U43+U68)*U$82,0))-U127</f>
        <v>210301</v>
      </c>
      <c r="V103" s="436">
        <v>1.8499999999999999E-2</v>
      </c>
      <c r="W103" s="685">
        <f>ROUND(U103*V103*W$8,0)</f>
        <v>120608</v>
      </c>
      <c r="X103" s="706">
        <f>(ROUND((X43+X68)*X$82,0))-X127</f>
        <v>217234</v>
      </c>
      <c r="Y103" s="436">
        <v>1.8499999999999999E-2</v>
      </c>
      <c r="Z103" s="685">
        <f>ROUND(X103*Y103*Z$8,0)</f>
        <v>124584</v>
      </c>
      <c r="AA103" s="706">
        <f>(ROUND((AA43+AA68)*AA$82,0))-AA127</f>
        <v>201057</v>
      </c>
      <c r="AB103" s="436">
        <v>1.8499999999999999E-2</v>
      </c>
      <c r="AC103" s="685">
        <f>ROUND(AA103*AB103*AC$8,0)</f>
        <v>111587</v>
      </c>
      <c r="AD103" s="706">
        <f>(ROUND((AD43+AD68)*AD$82,0))-AD127</f>
        <v>217234</v>
      </c>
      <c r="AE103" s="436">
        <v>1.8499999999999999E-2</v>
      </c>
      <c r="AF103" s="685">
        <f>ROUND(AD103*AE103*AF$8,0)</f>
        <v>124584</v>
      </c>
      <c r="AG103" s="706">
        <f>(ROUND((AG43+AG68)*AG$82,0))-AG127</f>
        <v>247548</v>
      </c>
      <c r="AH103" s="436">
        <v>1.8499999999999999E-2</v>
      </c>
      <c r="AI103" s="685">
        <f>ROUND(AG103*AH103*AI$8,0)</f>
        <v>137389</v>
      </c>
      <c r="AJ103" s="706">
        <f>(ROUND((AJ43+AJ68)*AJ$82,0))-AJ127</f>
        <v>250074</v>
      </c>
      <c r="AK103" s="436">
        <v>1.8499999999999999E-2</v>
      </c>
      <c r="AL103" s="685">
        <f>ROUND(AJ103*AK103*AL$8,0)</f>
        <v>143417</v>
      </c>
      <c r="AM103" s="706">
        <f>ROUND((AM43+AM68)*AM$82,0)</f>
        <v>0</v>
      </c>
      <c r="AN103" s="707">
        <v>1.8599999999999998E-2</v>
      </c>
      <c r="AO103" s="685">
        <f>ROUND(AM103*AN103*AO$8,0)</f>
        <v>0</v>
      </c>
      <c r="AP103" s="706">
        <f>ROUND((AP43+AP68)*AP$82,0)</f>
        <v>0</v>
      </c>
      <c r="AQ103" s="707">
        <v>1.8599999999999998E-2</v>
      </c>
      <c r="AR103" s="685">
        <f>ROUND(AP103*AQ103*AR$8,0)</f>
        <v>0</v>
      </c>
      <c r="AS103" s="706">
        <f>ROUND((AS43+AS68)*AS$82,0)</f>
        <v>0</v>
      </c>
      <c r="AT103" s="707">
        <v>1.8599999999999998E-2</v>
      </c>
      <c r="AU103" s="685">
        <f>ROUND(AS103*AT103*AU$8,0)</f>
        <v>0</v>
      </c>
      <c r="AV103" s="706">
        <f>ROUND((AV43+AV68)*AV$82,0)</f>
        <v>0</v>
      </c>
      <c r="AW103" s="707">
        <v>1.8599999999999998E-2</v>
      </c>
      <c r="AX103" s="685">
        <f>ROUND(AV103*AW103*AX$8,0)</f>
        <v>0</v>
      </c>
      <c r="AY103" s="706">
        <f>ROUND((AY43+AY68)*AY$82,0)</f>
        <v>0</v>
      </c>
      <c r="AZ103" s="707">
        <v>1.8599999999999998E-2</v>
      </c>
      <c r="BA103" s="685">
        <f>ROUND(AY103*AZ103*BA$8,0)</f>
        <v>0</v>
      </c>
      <c r="BB103" s="706">
        <f>ROUND((BB43+BB68)*BB$82,0)</f>
        <v>0</v>
      </c>
      <c r="BC103" s="707">
        <v>1.8599999999999998E-2</v>
      </c>
      <c r="BD103" s="685">
        <f>ROUND(BB103*BC103*BD$8,0)</f>
        <v>0</v>
      </c>
      <c r="BE103" s="706">
        <f>ROUND((BE43+BE68)*BE$82,0)</f>
        <v>0</v>
      </c>
      <c r="BF103" s="707">
        <v>1.8599999999999998E-2</v>
      </c>
      <c r="BG103" s="685">
        <f>ROUND(BE103*BF103*BG$8,0)</f>
        <v>0</v>
      </c>
      <c r="BH103" s="706">
        <f>ROUND((BH43+BH68)*BH$82,0)</f>
        <v>0</v>
      </c>
      <c r="BI103" s="707">
        <v>1.8599999999999998E-2</v>
      </c>
      <c r="BJ103" s="685">
        <f>ROUND(BH103*BI103*BJ$8,0)</f>
        <v>0</v>
      </c>
      <c r="BK103" s="706">
        <f>ROUND((BK43+BK68)*BK$82,0)</f>
        <v>0</v>
      </c>
      <c r="BL103" s="707">
        <v>1.8599999999999998E-2</v>
      </c>
      <c r="BM103" s="685">
        <f>ROUND(BK103*BL103*BM$8,0)</f>
        <v>0</v>
      </c>
      <c r="BN103" s="706">
        <f>ROUND((BN43+BN68)*BN$82,0)</f>
        <v>0</v>
      </c>
      <c r="BO103" s="707">
        <v>1.8599999999999998E-2</v>
      </c>
      <c r="BP103" s="685">
        <f>ROUND(BN103*BO103*BP$8,0)</f>
        <v>0</v>
      </c>
      <c r="BQ103" s="706">
        <f>ROUND((BQ43+BQ68)*BQ$82,0)</f>
        <v>0</v>
      </c>
      <c r="BR103" s="707">
        <v>1.8599999999999998E-2</v>
      </c>
      <c r="BS103" s="685">
        <f>ROUND(BQ103*BR103*BS$8,0)</f>
        <v>0</v>
      </c>
      <c r="BT103" s="706">
        <f>ROUND((BT43+BT68)*BT$82,0)</f>
        <v>0</v>
      </c>
      <c r="BU103" s="707">
        <v>1.8599999999999998E-2</v>
      </c>
      <c r="BV103" s="685">
        <f>ROUND(BT103*BU103*BV$8,0)</f>
        <v>0</v>
      </c>
    </row>
    <row r="104" spans="1:74" s="439" customFormat="1" x14ac:dyDescent="0.2">
      <c r="A104" s="439" t="s">
        <v>158</v>
      </c>
      <c r="B104" s="439" t="s">
        <v>76</v>
      </c>
      <c r="C104" s="706">
        <f>(ROUND((C44+C69)*C$83,0))-C128</f>
        <v>426650</v>
      </c>
      <c r="D104" s="436">
        <v>2.0799999999999999E-2</v>
      </c>
      <c r="E104" s="685">
        <f t="shared" si="0"/>
        <v>275104</v>
      </c>
      <c r="F104" s="706">
        <f>(ROUND((F44+F69)*F$83,0))-F128</f>
        <v>437250</v>
      </c>
      <c r="G104" s="436">
        <v>2.0799999999999999E-2</v>
      </c>
      <c r="H104" s="685">
        <f>ROUND(F104*G104*H$8,0)</f>
        <v>254654</v>
      </c>
      <c r="I104" s="706">
        <f>(ROUND((I44+I69)*I$83,0))-I128</f>
        <v>392000</v>
      </c>
      <c r="J104" s="436">
        <v>2.0799999999999999E-2</v>
      </c>
      <c r="K104" s="685">
        <f>ROUND(I104*J104*K$8,0)</f>
        <v>252762</v>
      </c>
      <c r="L104" s="706">
        <f>(ROUND((L44+L69)*L$83,0))-L128</f>
        <v>372400</v>
      </c>
      <c r="M104" s="436">
        <v>2.0799999999999999E-2</v>
      </c>
      <c r="N104" s="708">
        <f>ROUND(L104*M104*N$8,0)</f>
        <v>232378</v>
      </c>
      <c r="O104" s="706">
        <f>(ROUND((O44+O69)*O$83,0))-O128</f>
        <v>357700</v>
      </c>
      <c r="P104" s="436">
        <v>2.0799999999999999E-2</v>
      </c>
      <c r="Q104" s="685">
        <f>ROUND(O104*P104*Q$8,0)</f>
        <v>230645</v>
      </c>
      <c r="R104" s="706">
        <f>(ROUND((R44+R69)*R$83,0))-R128</f>
        <v>367500</v>
      </c>
      <c r="S104" s="436">
        <v>2.0799999999999999E-2</v>
      </c>
      <c r="T104" s="685">
        <f>ROUND(R104*S104*T$8,0)</f>
        <v>229320</v>
      </c>
      <c r="U104" s="706">
        <f>(ROUND((U44+U69)*U$83,0))-U128</f>
        <v>365050</v>
      </c>
      <c r="V104" s="436">
        <v>2.0799999999999999E-2</v>
      </c>
      <c r="W104" s="685">
        <f>ROUND(U104*V104*W$8,0)</f>
        <v>235384</v>
      </c>
      <c r="X104" s="706">
        <f>(ROUND((X44+X69)*X$83,0))-X128</f>
        <v>392000</v>
      </c>
      <c r="Y104" s="436">
        <v>2.0799999999999999E-2</v>
      </c>
      <c r="Z104" s="685">
        <f>ROUND(X104*Y104*Z$8,0)</f>
        <v>252762</v>
      </c>
      <c r="AA104" s="706">
        <f>(ROUND((AA44+AA69)*AA$83,0))-AA128</f>
        <v>387100</v>
      </c>
      <c r="AB104" s="436">
        <v>2.0799999999999999E-2</v>
      </c>
      <c r="AC104" s="685">
        <f>ROUND(AA104*AB104*AC$8,0)</f>
        <v>241550</v>
      </c>
      <c r="AD104" s="706">
        <f>(ROUND((AD44+AD69)*AD$83,0))-AD128</f>
        <v>367500</v>
      </c>
      <c r="AE104" s="436">
        <v>2.0799999999999999E-2</v>
      </c>
      <c r="AF104" s="685">
        <f>ROUND(AD104*AE104*AF$8,0)</f>
        <v>236964</v>
      </c>
      <c r="AG104" s="706">
        <f>(ROUND((AG44+AG69)*AG$83,0))-AG128</f>
        <v>274400</v>
      </c>
      <c r="AH104" s="436">
        <v>2.0799999999999999E-2</v>
      </c>
      <c r="AI104" s="685">
        <f>ROUND(AG104*AH104*AI$8,0)</f>
        <v>171226</v>
      </c>
      <c r="AJ104" s="706">
        <f>(ROUND((AJ44+AJ69)*AJ$83,0))-AJ128</f>
        <v>306250</v>
      </c>
      <c r="AK104" s="436">
        <v>2.0799999999999999E-2</v>
      </c>
      <c r="AL104" s="685">
        <f>ROUND(AJ104*AK104*AL$8,0)</f>
        <v>197470</v>
      </c>
      <c r="AM104" s="706">
        <f>ROUND((AM44+AM69)*AM$83,0)</f>
        <v>0</v>
      </c>
      <c r="AN104" s="707">
        <v>2.1000000000000001E-2</v>
      </c>
      <c r="AO104" s="685">
        <f>ROUND(AM104*AN104*AO$8,0)</f>
        <v>0</v>
      </c>
      <c r="AP104" s="706">
        <f>ROUND((AP44+AP69)*AP$83,0)</f>
        <v>0</v>
      </c>
      <c r="AQ104" s="707">
        <v>1.7500000000000002E-2</v>
      </c>
      <c r="AR104" s="685">
        <f>ROUND(AP104*AQ104*AR$8,0)</f>
        <v>0</v>
      </c>
      <c r="AS104" s="706">
        <f>ROUND((AS44+AS69)*AS$83,0)</f>
        <v>0</v>
      </c>
      <c r="AT104" s="707">
        <v>1.7500000000000002E-2</v>
      </c>
      <c r="AU104" s="685">
        <f>ROUND(AS104*AT104*AU$8,0)</f>
        <v>0</v>
      </c>
      <c r="AV104" s="706">
        <f>ROUND((AV44+AV69)*AV$83,0)</f>
        <v>0</v>
      </c>
      <c r="AW104" s="707">
        <v>1.7500000000000002E-2</v>
      </c>
      <c r="AX104" s="685">
        <f>ROUND(AV104*AW104*AX$8,0)</f>
        <v>0</v>
      </c>
      <c r="AY104" s="706">
        <f>ROUND((AY44+AY69)*AY$83,0)</f>
        <v>0</v>
      </c>
      <c r="AZ104" s="707">
        <v>1.7500000000000002E-2</v>
      </c>
      <c r="BA104" s="685">
        <f>ROUND(AY104*AZ104*BA$8,0)</f>
        <v>0</v>
      </c>
      <c r="BB104" s="706">
        <f>ROUND((BB44+BB69)*BB$83,0)</f>
        <v>0</v>
      </c>
      <c r="BC104" s="707">
        <v>1.7500000000000002E-2</v>
      </c>
      <c r="BD104" s="685">
        <f>ROUND(BB104*BC104*BD$8,0)</f>
        <v>0</v>
      </c>
      <c r="BE104" s="706">
        <f>ROUND((BE44+BE69)*BE$83,0)</f>
        <v>0</v>
      </c>
      <c r="BF104" s="707">
        <v>1.7500000000000002E-2</v>
      </c>
      <c r="BG104" s="685">
        <f>ROUND(BE104*BF104*BG$8,0)</f>
        <v>0</v>
      </c>
      <c r="BH104" s="706">
        <f>ROUND((BH44+BH69)*BH$83,0)</f>
        <v>0</v>
      </c>
      <c r="BI104" s="707">
        <v>1.7500000000000002E-2</v>
      </c>
      <c r="BJ104" s="685">
        <f>ROUND(BH104*BI104*BJ$8,0)</f>
        <v>0</v>
      </c>
      <c r="BK104" s="706">
        <f>ROUND((BK44+BK69)*BK$83,0)</f>
        <v>0</v>
      </c>
      <c r="BL104" s="707">
        <v>1.7500000000000002E-2</v>
      </c>
      <c r="BM104" s="685">
        <f>ROUND(BK104*BL104*BM$8,0)</f>
        <v>0</v>
      </c>
      <c r="BN104" s="706">
        <f>ROUND((BN44+BN69)*BN$83,0)</f>
        <v>0</v>
      </c>
      <c r="BO104" s="707">
        <v>1.7500000000000002E-2</v>
      </c>
      <c r="BP104" s="685">
        <f>ROUND(BN104*BO104*BP$8,0)</f>
        <v>0</v>
      </c>
      <c r="BQ104" s="706">
        <f>ROUND((BQ44+BQ69)*BQ$83,0)</f>
        <v>0</v>
      </c>
      <c r="BR104" s="707">
        <v>1.7500000000000002E-2</v>
      </c>
      <c r="BS104" s="685">
        <f>ROUND(BQ104*BR104*BS$8,0)</f>
        <v>0</v>
      </c>
      <c r="BT104" s="706">
        <f>ROUND((BT44+BT69)*BT$83,0)</f>
        <v>0</v>
      </c>
      <c r="BU104" s="707">
        <v>1.7500000000000002E-2</v>
      </c>
      <c r="BV104" s="685">
        <f>ROUND(BT104*BU104*BV$8,0)</f>
        <v>0</v>
      </c>
    </row>
    <row r="105" spans="1:74" s="439" customFormat="1" x14ac:dyDescent="0.2">
      <c r="A105" s="439" t="s">
        <v>159</v>
      </c>
      <c r="B105" s="439" t="s">
        <v>76</v>
      </c>
      <c r="C105" s="706">
        <f>(ROUND((C45+C70)*C$83,0))-C129</f>
        <v>2093</v>
      </c>
      <c r="D105" s="436">
        <v>1.7399999999999999E-2</v>
      </c>
      <c r="E105" s="685">
        <f t="shared" si="0"/>
        <v>1129</v>
      </c>
      <c r="F105" s="706">
        <f>(ROUND((F45+F70)*F$83,0))-F129</f>
        <v>2145</v>
      </c>
      <c r="G105" s="436">
        <v>1.7399999999999999E-2</v>
      </c>
      <c r="H105" s="685">
        <f>ROUND(F105*G105*H$8,0)</f>
        <v>1045</v>
      </c>
      <c r="I105" s="706">
        <f>(ROUND((I45+I70)*I$83,0))-I129</f>
        <v>2080</v>
      </c>
      <c r="J105" s="436">
        <v>1.7399999999999999E-2</v>
      </c>
      <c r="K105" s="685">
        <f>ROUND(I105*J105*K$8,0)</f>
        <v>1122</v>
      </c>
      <c r="L105" s="706">
        <f>(ROUND((L45+L70)*L$83,0))-L129</f>
        <v>1976</v>
      </c>
      <c r="M105" s="436">
        <v>1.7399999999999999E-2</v>
      </c>
      <c r="N105" s="708">
        <f>ROUND(L105*M105*N$8,0)</f>
        <v>1031</v>
      </c>
      <c r="O105" s="706">
        <f>(ROUND((O45+O70)*O$83,0))-O129</f>
        <v>1898</v>
      </c>
      <c r="P105" s="436">
        <v>1.7399999999999999E-2</v>
      </c>
      <c r="Q105" s="685">
        <f>ROUND(O105*P105*Q$8,0)</f>
        <v>1024</v>
      </c>
      <c r="R105" s="706">
        <f>(ROUND((R45+R70)*R$83,0))-R129</f>
        <v>1950</v>
      </c>
      <c r="S105" s="436">
        <v>1.7399999999999999E-2</v>
      </c>
      <c r="T105" s="685">
        <f>ROUND(R105*S105*T$8,0)</f>
        <v>1018</v>
      </c>
      <c r="U105" s="706">
        <f>(ROUND((U45+U70)*U$83,0))-U129</f>
        <v>1937</v>
      </c>
      <c r="V105" s="436">
        <v>1.7399999999999999E-2</v>
      </c>
      <c r="W105" s="685">
        <f>ROUND(U105*V105*W$8,0)</f>
        <v>1045</v>
      </c>
      <c r="X105" s="706">
        <f>(ROUND((X45+X70)*X$83,0))-X129</f>
        <v>2080</v>
      </c>
      <c r="Y105" s="436">
        <v>1.7399999999999999E-2</v>
      </c>
      <c r="Z105" s="685">
        <f>ROUND(X105*Y105*Z$8,0)</f>
        <v>1122</v>
      </c>
      <c r="AA105" s="706">
        <f>(ROUND((AA45+AA70)*AA$83,0))-AA129</f>
        <v>2054</v>
      </c>
      <c r="AB105" s="436">
        <v>1.7399999999999999E-2</v>
      </c>
      <c r="AC105" s="685">
        <f>ROUND(AA105*AB105*AC$8,0)</f>
        <v>1072</v>
      </c>
      <c r="AD105" s="706">
        <f>(ROUND((AD45+AD70)*AD$83,0))-AD129</f>
        <v>1950</v>
      </c>
      <c r="AE105" s="436">
        <v>1.7399999999999999E-2</v>
      </c>
      <c r="AF105" s="685">
        <f>ROUND(AD105*AE105*AF$8,0)</f>
        <v>1052</v>
      </c>
      <c r="AG105" s="706">
        <f>(ROUND((AG45+AG70)*AG$83,0))-AG129</f>
        <v>1456</v>
      </c>
      <c r="AH105" s="436">
        <v>1.7399999999999999E-2</v>
      </c>
      <c r="AI105" s="685">
        <f>ROUND(AG105*AH105*AI$8,0)</f>
        <v>760</v>
      </c>
      <c r="AJ105" s="706">
        <f>(ROUND((AJ45+AJ70)*AJ$83,0))-AJ129</f>
        <v>1625</v>
      </c>
      <c r="AK105" s="436">
        <v>1.7399999999999999E-2</v>
      </c>
      <c r="AL105" s="685">
        <f>ROUND(AJ105*AK105*AL$8,0)</f>
        <v>877</v>
      </c>
      <c r="AM105" s="706">
        <f>ROUND((AM45+AM70)*AM$83,0)</f>
        <v>0</v>
      </c>
      <c r="AN105" s="707">
        <v>1.7500000000000002E-2</v>
      </c>
      <c r="AO105" s="685">
        <f>ROUND(AM105*AN105*AO$8,0)</f>
        <v>0</v>
      </c>
      <c r="AP105" s="706">
        <f>ROUND((AP45+AP70)*AP$83,0)</f>
        <v>0</v>
      </c>
      <c r="AQ105" s="707">
        <v>1.7500000000000002E-2</v>
      </c>
      <c r="AR105" s="685">
        <f>ROUND(AP105*AQ105*AR$8,0)</f>
        <v>0</v>
      </c>
      <c r="AS105" s="706">
        <f>ROUND((AS45+AS70)*AS$83,0)</f>
        <v>0</v>
      </c>
      <c r="AT105" s="707">
        <v>1.7500000000000002E-2</v>
      </c>
      <c r="AU105" s="685">
        <f>ROUND(AS105*AT105*AU$8,0)</f>
        <v>0</v>
      </c>
      <c r="AV105" s="706">
        <f>ROUND((AV45+AV70)*AV$83,0)</f>
        <v>0</v>
      </c>
      <c r="AW105" s="707">
        <v>1.7500000000000002E-2</v>
      </c>
      <c r="AX105" s="685">
        <f>ROUND(AV105*AW105*AX$8,0)</f>
        <v>0</v>
      </c>
      <c r="AY105" s="706">
        <f>ROUND((AY45+AY70)*AY$83,0)</f>
        <v>0</v>
      </c>
      <c r="AZ105" s="707">
        <v>1.7500000000000002E-2</v>
      </c>
      <c r="BA105" s="685">
        <f>ROUND(AY105*AZ105*BA$8,0)</f>
        <v>0</v>
      </c>
      <c r="BB105" s="706">
        <f>ROUND((BB45+BB70)*BB$83,0)</f>
        <v>0</v>
      </c>
      <c r="BC105" s="707">
        <v>1.7500000000000002E-2</v>
      </c>
      <c r="BD105" s="685">
        <f>ROUND(BB105*BC105*BD$8,0)</f>
        <v>0</v>
      </c>
      <c r="BE105" s="706">
        <f>ROUND((BE45+BE70)*BE$83,0)</f>
        <v>0</v>
      </c>
      <c r="BF105" s="707">
        <v>1.7500000000000002E-2</v>
      </c>
      <c r="BG105" s="685">
        <f>ROUND(BE105*BF105*BG$8,0)</f>
        <v>0</v>
      </c>
      <c r="BH105" s="706">
        <f>ROUND((BH45+BH70)*BH$83,0)</f>
        <v>0</v>
      </c>
      <c r="BI105" s="707">
        <v>1.7500000000000002E-2</v>
      </c>
      <c r="BJ105" s="685">
        <f>ROUND(BH105*BI105*BJ$8,0)</f>
        <v>0</v>
      </c>
      <c r="BK105" s="706">
        <f>ROUND((BK45+BK70)*BK$83,0)</f>
        <v>0</v>
      </c>
      <c r="BL105" s="707">
        <v>1.7500000000000002E-2</v>
      </c>
      <c r="BM105" s="685">
        <f>ROUND(BK105*BL105*BM$8,0)</f>
        <v>0</v>
      </c>
      <c r="BN105" s="706">
        <f>ROUND((BN45+BN70)*BN$83,0)</f>
        <v>0</v>
      </c>
      <c r="BO105" s="707">
        <v>1.7500000000000002E-2</v>
      </c>
      <c r="BP105" s="685">
        <f>ROUND(BN105*BO105*BP$8,0)</f>
        <v>0</v>
      </c>
      <c r="BQ105" s="706">
        <f>ROUND((BQ45+BQ70)*BQ$83,0)</f>
        <v>0</v>
      </c>
      <c r="BR105" s="707">
        <v>1.7500000000000002E-2</v>
      </c>
      <c r="BS105" s="685">
        <f>ROUND(BQ105*BR105*BS$8,0)</f>
        <v>0</v>
      </c>
      <c r="BT105" s="706">
        <f>ROUND((BT45+BT70)*BT$83,0)</f>
        <v>0</v>
      </c>
      <c r="BU105" s="707">
        <v>1.7500000000000002E-2</v>
      </c>
      <c r="BV105" s="685">
        <f>ROUND(BT105*BU105*BV$8,0)</f>
        <v>0</v>
      </c>
    </row>
    <row r="106" spans="1:74" s="373" customFormat="1" x14ac:dyDescent="0.2">
      <c r="A106" s="373" t="s">
        <v>92</v>
      </c>
      <c r="C106" s="709">
        <f>SUM(C101:C105)</f>
        <v>1019714</v>
      </c>
      <c r="D106" s="437"/>
      <c r="E106" s="686">
        <f>SUM(E101:E105)</f>
        <v>726081</v>
      </c>
      <c r="F106" s="709">
        <f>SUM(F101:F105)</f>
        <v>1022067</v>
      </c>
      <c r="G106" s="437"/>
      <c r="H106" s="686">
        <f>SUM(H101:H105)</f>
        <v>654631</v>
      </c>
      <c r="I106" s="709">
        <f>SUM(I101:I105)</f>
        <v>998014</v>
      </c>
      <c r="J106" s="710"/>
      <c r="K106" s="686">
        <f>SUM(K101:K105)</f>
        <v>702633</v>
      </c>
      <c r="L106" s="709">
        <f>SUM(L101:L105)</f>
        <v>910348</v>
      </c>
      <c r="M106" s="710"/>
      <c r="N106" s="711">
        <f>SUM(N101:N105)</f>
        <v>620055</v>
      </c>
      <c r="O106" s="709">
        <f>SUM(O101:O105)</f>
        <v>910125</v>
      </c>
      <c r="P106" s="710"/>
      <c r="Q106" s="686">
        <f>SUM(Q101:Q105)</f>
        <v>639550</v>
      </c>
      <c r="R106" s="709">
        <f>SUM(R101:R105)</f>
        <v>1072307</v>
      </c>
      <c r="S106" s="710"/>
      <c r="T106" s="686">
        <f>SUM(T101:T105)</f>
        <v>750937</v>
      </c>
      <c r="U106" s="709">
        <f>SUM(U101:U105)</f>
        <v>1101238</v>
      </c>
      <c r="V106" s="710"/>
      <c r="W106" s="686">
        <f>SUM(W101:W105)</f>
        <v>803021</v>
      </c>
      <c r="X106" s="709">
        <f>SUM(X101:X105)</f>
        <v>1116949</v>
      </c>
      <c r="Y106" s="710"/>
      <c r="Z106" s="686">
        <f>SUM(Z101:Z105)</f>
        <v>807712</v>
      </c>
      <c r="AA106" s="709">
        <f>SUM(AA101:AA105)</f>
        <v>1111761</v>
      </c>
      <c r="AB106" s="710"/>
      <c r="AC106" s="686">
        <f>SUM(AC101:AC105)</f>
        <v>784474</v>
      </c>
      <c r="AD106" s="709">
        <f>SUM(AD101:AD105)</f>
        <v>1119139</v>
      </c>
      <c r="AE106" s="710"/>
      <c r="AF106" s="686">
        <f>SUM(AF101:AF105)</f>
        <v>815540</v>
      </c>
      <c r="AG106" s="709">
        <f>SUM(AG101:AG105)</f>
        <v>1075444</v>
      </c>
      <c r="AH106" s="710"/>
      <c r="AI106" s="686">
        <f>SUM(AI101:AI105)</f>
        <v>763729</v>
      </c>
      <c r="AJ106" s="709">
        <f>SUM(AJ101:AJ105)</f>
        <v>1071649</v>
      </c>
      <c r="AK106" s="710"/>
      <c r="AL106" s="686">
        <f>SUM(AL101:AL105)</f>
        <v>777204</v>
      </c>
      <c r="AM106" s="709">
        <f>SUM(AM101:AM105)</f>
        <v>0</v>
      </c>
      <c r="AN106" s="710"/>
      <c r="AO106" s="686">
        <f>SUM(AO101:AO105)</f>
        <v>0</v>
      </c>
      <c r="AP106" s="709">
        <f>SUM(AP101:AP105)</f>
        <v>0</v>
      </c>
      <c r="AQ106" s="710"/>
      <c r="AR106" s="686">
        <f>SUM(AR101:AR105)</f>
        <v>0</v>
      </c>
      <c r="AS106" s="709">
        <f>SUM(AS101:AS105)</f>
        <v>0</v>
      </c>
      <c r="AT106" s="710"/>
      <c r="AU106" s="686">
        <f>SUM(AU101:AU105)</f>
        <v>0</v>
      </c>
      <c r="AV106" s="709">
        <f>SUM(AV101:AV105)</f>
        <v>0</v>
      </c>
      <c r="AW106" s="710"/>
      <c r="AX106" s="686">
        <f>SUM(AX101:AX105)</f>
        <v>0</v>
      </c>
      <c r="AY106" s="709">
        <f>SUM(AY101:AY105)</f>
        <v>0</v>
      </c>
      <c r="AZ106" s="710"/>
      <c r="BA106" s="686">
        <f>SUM(BA101:BA105)</f>
        <v>0</v>
      </c>
      <c r="BB106" s="709">
        <f>SUM(BB101:BB105)</f>
        <v>0</v>
      </c>
      <c r="BC106" s="710"/>
      <c r="BD106" s="686">
        <f>SUM(BD101:BD105)</f>
        <v>0</v>
      </c>
      <c r="BE106" s="709">
        <f>SUM(BE101:BE105)</f>
        <v>0</v>
      </c>
      <c r="BF106" s="710"/>
      <c r="BG106" s="686">
        <f>SUM(BG101:BG105)</f>
        <v>0</v>
      </c>
      <c r="BH106" s="709">
        <f>SUM(BH101:BH105)</f>
        <v>0</v>
      </c>
      <c r="BI106" s="710"/>
      <c r="BJ106" s="686">
        <f>SUM(BJ101:BJ105)</f>
        <v>0</v>
      </c>
      <c r="BK106" s="709">
        <f>SUM(BK101:BK105)</f>
        <v>0</v>
      </c>
      <c r="BL106" s="710"/>
      <c r="BM106" s="686">
        <f>SUM(BM101:BM105)</f>
        <v>0</v>
      </c>
      <c r="BN106" s="709">
        <f>SUM(BN101:BN105)</f>
        <v>0</v>
      </c>
      <c r="BO106" s="710"/>
      <c r="BP106" s="686">
        <f>SUM(BP101:BP105)</f>
        <v>0</v>
      </c>
      <c r="BQ106" s="709">
        <f>SUM(BQ101:BQ105)</f>
        <v>0</v>
      </c>
      <c r="BR106" s="710"/>
      <c r="BS106" s="686">
        <f>SUM(BS101:BS105)</f>
        <v>0</v>
      </c>
      <c r="BT106" s="709">
        <f>SUM(BT101:BT105)</f>
        <v>0</v>
      </c>
      <c r="BU106" s="710"/>
      <c r="BV106" s="686">
        <f>SUM(BV101:BV105)</f>
        <v>0</v>
      </c>
    </row>
    <row r="107" spans="1:74" x14ac:dyDescent="0.2">
      <c r="A107" s="42"/>
      <c r="C107" s="661"/>
      <c r="D107" s="51"/>
      <c r="E107" s="678"/>
      <c r="F107" s="117"/>
      <c r="G107" s="42"/>
      <c r="H107" s="59"/>
      <c r="I107" s="51"/>
      <c r="J107" s="51"/>
      <c r="K107" s="59"/>
      <c r="L107" s="51"/>
      <c r="M107" s="51"/>
      <c r="N107" s="51"/>
      <c r="O107" s="115"/>
      <c r="P107" s="118"/>
      <c r="Q107" s="393"/>
      <c r="R107" s="41"/>
      <c r="S107" s="41"/>
      <c r="T107" s="401"/>
      <c r="U107" s="42"/>
      <c r="V107" s="41"/>
      <c r="W107" s="393"/>
      <c r="X107" s="41"/>
      <c r="Y107" s="41"/>
      <c r="Z107" s="393"/>
      <c r="AA107" s="41"/>
      <c r="AB107" s="41"/>
    </row>
    <row r="108" spans="1:74" x14ac:dyDescent="0.2">
      <c r="A108" s="42"/>
      <c r="C108" s="661"/>
      <c r="D108" s="51"/>
      <c r="E108" s="678"/>
      <c r="F108" s="117"/>
      <c r="G108" s="42"/>
      <c r="H108" s="59"/>
      <c r="I108" s="51"/>
      <c r="J108" s="51"/>
      <c r="K108" s="59"/>
      <c r="L108" s="51"/>
      <c r="M108" s="51"/>
      <c r="N108" s="51"/>
      <c r="O108" s="115"/>
      <c r="P108" s="118"/>
      <c r="Q108" s="393"/>
      <c r="R108" s="41"/>
      <c r="S108" s="41"/>
      <c r="T108" s="401"/>
      <c r="U108" s="42"/>
      <c r="V108" s="41"/>
      <c r="W108" s="393"/>
      <c r="X108" s="41"/>
      <c r="Y108" s="41"/>
      <c r="Z108" s="393"/>
      <c r="AA108" s="41"/>
      <c r="AB108" s="41"/>
    </row>
    <row r="109" spans="1:74" s="61" customFormat="1" x14ac:dyDescent="0.2">
      <c r="C109" s="662"/>
      <c r="D109" s="375"/>
      <c r="E109" s="679"/>
      <c r="F109" s="375"/>
      <c r="G109" s="375"/>
      <c r="H109" s="376"/>
      <c r="I109" s="375"/>
      <c r="J109" s="375"/>
      <c r="K109" s="376"/>
      <c r="L109" s="375"/>
      <c r="M109" s="375"/>
      <c r="N109" s="375"/>
      <c r="O109" s="448"/>
      <c r="P109" s="377"/>
      <c r="Q109" s="404"/>
      <c r="T109" s="404"/>
      <c r="W109" s="404"/>
      <c r="Z109" s="404"/>
      <c r="AC109" s="404"/>
      <c r="AF109" s="404"/>
      <c r="AI109" s="404"/>
      <c r="AL109" s="404"/>
      <c r="AO109" s="404"/>
      <c r="AR109" s="404"/>
      <c r="AU109" s="404"/>
      <c r="AX109" s="404"/>
      <c r="BA109" s="404"/>
      <c r="BD109" s="404"/>
      <c r="BG109" s="404"/>
      <c r="BJ109" s="404"/>
      <c r="BM109" s="404"/>
      <c r="BP109" s="404"/>
      <c r="BS109" s="404"/>
      <c r="BV109" s="404"/>
    </row>
    <row r="110" spans="1:74" s="389" customFormat="1" x14ac:dyDescent="0.2">
      <c r="A110" s="423" t="s">
        <v>763</v>
      </c>
      <c r="B110" s="418" t="s">
        <v>445</v>
      </c>
      <c r="C110" s="664"/>
      <c r="D110" s="384"/>
      <c r="E110" s="681"/>
      <c r="F110" s="384"/>
      <c r="G110" s="384"/>
      <c r="H110" s="385"/>
      <c r="I110" s="384"/>
      <c r="J110" s="384"/>
      <c r="K110" s="385"/>
      <c r="L110" s="384"/>
      <c r="M110" s="384"/>
      <c r="N110" s="384"/>
      <c r="O110" s="697"/>
      <c r="P110" s="381" t="s">
        <v>224</v>
      </c>
      <c r="Q110" s="405" t="s">
        <v>225</v>
      </c>
      <c r="T110" s="405" t="s">
        <v>225</v>
      </c>
      <c r="W110" s="405" t="s">
        <v>225</v>
      </c>
      <c r="Z110" s="405" t="s">
        <v>225</v>
      </c>
      <c r="AC110" s="405"/>
      <c r="AF110" s="405"/>
      <c r="AI110" s="405"/>
      <c r="AL110" s="405"/>
      <c r="AO110" s="405"/>
      <c r="AR110" s="405"/>
      <c r="AU110" s="405"/>
      <c r="AX110" s="405"/>
      <c r="BA110" s="405"/>
      <c r="BD110" s="405"/>
      <c r="BG110" s="405"/>
      <c r="BJ110" s="405"/>
      <c r="BM110" s="405"/>
      <c r="BP110" s="405"/>
      <c r="BS110" s="405"/>
      <c r="BV110" s="405"/>
    </row>
    <row r="111" spans="1:74" s="389" customFormat="1" x14ac:dyDescent="0.2">
      <c r="A111" s="381" t="s">
        <v>594</v>
      </c>
      <c r="B111" s="418" t="s">
        <v>677</v>
      </c>
      <c r="C111" s="664" t="s">
        <v>224</v>
      </c>
      <c r="D111" s="384" t="s">
        <v>224</v>
      </c>
      <c r="E111" s="681" t="s">
        <v>224</v>
      </c>
      <c r="F111" s="384" t="s">
        <v>224</v>
      </c>
      <c r="G111" s="384" t="s">
        <v>224</v>
      </c>
      <c r="H111" s="385" t="s">
        <v>224</v>
      </c>
      <c r="I111" s="384" t="s">
        <v>224</v>
      </c>
      <c r="J111" s="384" t="s">
        <v>224</v>
      </c>
      <c r="K111" s="385" t="s">
        <v>224</v>
      </c>
      <c r="L111" s="384" t="s">
        <v>224</v>
      </c>
      <c r="M111" s="384" t="s">
        <v>224</v>
      </c>
      <c r="N111" s="384" t="s">
        <v>224</v>
      </c>
      <c r="O111" s="699" t="s">
        <v>224</v>
      </c>
      <c r="P111" s="384" t="s">
        <v>224</v>
      </c>
      <c r="Q111" s="385" t="s">
        <v>224</v>
      </c>
      <c r="R111" s="384" t="s">
        <v>224</v>
      </c>
      <c r="S111" s="384" t="s">
        <v>224</v>
      </c>
      <c r="T111" s="385" t="s">
        <v>224</v>
      </c>
      <c r="U111" s="384" t="s">
        <v>224</v>
      </c>
      <c r="V111" s="384" t="s">
        <v>224</v>
      </c>
      <c r="W111" s="385" t="s">
        <v>224</v>
      </c>
      <c r="X111" s="384" t="s">
        <v>224</v>
      </c>
      <c r="Y111" s="384" t="s">
        <v>224</v>
      </c>
      <c r="Z111" s="385" t="s">
        <v>224</v>
      </c>
      <c r="AA111" s="384" t="s">
        <v>224</v>
      </c>
      <c r="AB111" s="384" t="s">
        <v>224</v>
      </c>
      <c r="AC111" s="385" t="s">
        <v>224</v>
      </c>
      <c r="AD111" s="384" t="s">
        <v>224</v>
      </c>
      <c r="AE111" s="384" t="s">
        <v>224</v>
      </c>
      <c r="AF111" s="385" t="s">
        <v>224</v>
      </c>
      <c r="AG111" s="384" t="s">
        <v>224</v>
      </c>
      <c r="AH111" s="384" t="s">
        <v>224</v>
      </c>
      <c r="AI111" s="385" t="s">
        <v>224</v>
      </c>
      <c r="AJ111" s="384" t="s">
        <v>224</v>
      </c>
      <c r="AK111" s="384" t="s">
        <v>224</v>
      </c>
      <c r="AL111" s="385" t="s">
        <v>224</v>
      </c>
      <c r="AM111" s="384" t="s">
        <v>224</v>
      </c>
      <c r="AO111" s="405"/>
      <c r="AR111" s="405"/>
      <c r="AU111" s="405"/>
      <c r="AX111" s="405"/>
      <c r="BA111" s="405"/>
      <c r="BD111" s="405"/>
      <c r="BG111" s="405"/>
      <c r="BJ111" s="405"/>
      <c r="BM111" s="405"/>
      <c r="BP111" s="405"/>
      <c r="BS111" s="405"/>
      <c r="BV111" s="405"/>
    </row>
    <row r="112" spans="1:74" s="41" customFormat="1" x14ac:dyDescent="0.2">
      <c r="A112" s="41" t="s">
        <v>148</v>
      </c>
      <c r="B112" s="48" t="s">
        <v>77</v>
      </c>
      <c r="C112" s="861">
        <f>IT!D11</f>
        <v>35200</v>
      </c>
      <c r="D112" s="985">
        <f>IF(C112&gt;0,E112/C112/E$8,0)</f>
        <v>3.0000000000000002E-2</v>
      </c>
      <c r="E112" s="678">
        <f>IT!F11+Stretch!K78</f>
        <v>32736</v>
      </c>
      <c r="F112" s="861">
        <f>IT!G11</f>
        <v>23900</v>
      </c>
      <c r="G112" s="985">
        <f>IF(F112&gt;0,H112/F112/H$8,0)</f>
        <v>0.03</v>
      </c>
      <c r="H112" s="678">
        <f>IT!I11+Stretch!N78</f>
        <v>20076</v>
      </c>
      <c r="I112" s="861">
        <f>IT!J11</f>
        <v>26400</v>
      </c>
      <c r="J112" s="985">
        <f>IF(I112&gt;0,K112/I112/K$8,0)</f>
        <v>3.0000000000000002E-2</v>
      </c>
      <c r="K112" s="678">
        <f>IT!L11+Stretch!Q78</f>
        <v>24552</v>
      </c>
      <c r="L112" s="861">
        <f>IT!M11</f>
        <v>23900</v>
      </c>
      <c r="M112" s="985">
        <f>IF(L112&gt;0,N112/L112/N$8,0)</f>
        <v>3.0000000000000002E-2</v>
      </c>
      <c r="N112" s="678">
        <f>IT!O11+Stretch!T78</f>
        <v>21510</v>
      </c>
      <c r="O112" s="861">
        <f>IT!P11</f>
        <v>20000</v>
      </c>
      <c r="P112" s="985">
        <f>IF(O112&gt;0,Q112/O112/Q$8,0)</f>
        <v>3.0000000000000002E-2</v>
      </c>
      <c r="Q112" s="678">
        <f>IT!R11+Stretch!W78</f>
        <v>18600</v>
      </c>
      <c r="R112" s="861">
        <f>IT!S11</f>
        <v>23900</v>
      </c>
      <c r="S112" s="985">
        <f>IF(R112&gt;0,T112/R112/T$8,0)</f>
        <v>3.0000000000000002E-2</v>
      </c>
      <c r="T112" s="678">
        <f>IT!U11+Stretch!Z78</f>
        <v>21510</v>
      </c>
      <c r="U112" s="861">
        <f>IT!V11</f>
        <v>22800</v>
      </c>
      <c r="V112" s="985">
        <f>IF(U112&gt;0,W112/U112/W$8,0)</f>
        <v>0.19506225240520655</v>
      </c>
      <c r="W112" s="678">
        <f>IT!X11+Stretch!AC78</f>
        <v>137870</v>
      </c>
      <c r="X112" s="861">
        <f>IT!Y11</f>
        <v>12200</v>
      </c>
      <c r="Y112" s="985">
        <f>IF(X112&gt;0,Z112/X112/Z$8,0)</f>
        <v>0.3384769962982549</v>
      </c>
      <c r="Z112" s="678">
        <f>IT!AA11+Stretch!AF78</f>
        <v>128012</v>
      </c>
      <c r="AA112" s="861">
        <f>IT!AB11</f>
        <v>20200</v>
      </c>
      <c r="AB112" s="985">
        <f>IF(AA112&gt;0,AC112/AA112/AC$8,0)</f>
        <v>0.2225181518151815</v>
      </c>
      <c r="AC112" s="678">
        <f>IT!AD11+Stretch!AI78</f>
        <v>134846</v>
      </c>
      <c r="AD112" s="861">
        <f>IT!AE11</f>
        <v>10600</v>
      </c>
      <c r="AE112" s="985">
        <f>IF(AD112&gt;0,AF112/AD112/AF$8,0)</f>
        <v>0.38503956177723675</v>
      </c>
      <c r="AF112" s="678">
        <f>IT!AG11+Stretch!AL78</f>
        <v>126524</v>
      </c>
      <c r="AG112" s="861">
        <f>IT!AH11</f>
        <v>13800</v>
      </c>
      <c r="AH112" s="985">
        <f>IF(AG112&gt;0,AI112/AG112/AI$8,0)</f>
        <v>0.31180193236714976</v>
      </c>
      <c r="AI112" s="678">
        <f>IT!AJ11+Stretch!AO78</f>
        <v>129086</v>
      </c>
      <c r="AJ112" s="861">
        <f>IT!AK11</f>
        <v>27300</v>
      </c>
      <c r="AK112" s="985">
        <f>IF(AJ112&gt;0,AL112/AJ112/AL$8,0)</f>
        <v>0.1678589152782701</v>
      </c>
      <c r="AL112" s="678">
        <f>IT!AM11+Stretch!AR78</f>
        <v>142059</v>
      </c>
      <c r="AO112" s="678">
        <f>AM112*AN112*AO$8</f>
        <v>0</v>
      </c>
      <c r="AR112" s="678">
        <f>AP112*AQ112*AR$8</f>
        <v>0</v>
      </c>
      <c r="AU112" s="678">
        <f>AS112*AT112*AU$8</f>
        <v>0</v>
      </c>
      <c r="AX112" s="678">
        <f>AV112*AW112*AX$8</f>
        <v>0</v>
      </c>
      <c r="BA112" s="678">
        <f>AY112*AZ112*BA$8</f>
        <v>0</v>
      </c>
      <c r="BD112" s="678">
        <f>BB112*BC112*BD$8</f>
        <v>0</v>
      </c>
      <c r="BG112" s="678">
        <f>BE112*BF112*BG$8</f>
        <v>0</v>
      </c>
      <c r="BJ112" s="678">
        <f>BH112*BI112*BJ$8</f>
        <v>0</v>
      </c>
      <c r="BM112" s="678">
        <f>BK112*BL112*BM$8</f>
        <v>0</v>
      </c>
      <c r="BP112" s="678">
        <f>BN112*BO112*BP$8</f>
        <v>0</v>
      </c>
      <c r="BS112" s="678">
        <f>BQ112*BR112*BS$8</f>
        <v>0</v>
      </c>
      <c r="BV112" s="678">
        <f>BT112*BU112*BV$8</f>
        <v>0</v>
      </c>
    </row>
    <row r="113" spans="1:74" s="41" customFormat="1" x14ac:dyDescent="0.2">
      <c r="A113" s="41" t="s">
        <v>149</v>
      </c>
      <c r="B113" s="48" t="s">
        <v>77</v>
      </c>
      <c r="C113" s="861">
        <f>IT!D12</f>
        <v>0</v>
      </c>
      <c r="D113" s="985">
        <f>IF(C113&gt;0,E113/C113/E$8,0)</f>
        <v>0</v>
      </c>
      <c r="E113" s="678">
        <f>IT!F12+Stretch!K79</f>
        <v>0</v>
      </c>
      <c r="F113" s="861">
        <f>IT!G12</f>
        <v>0</v>
      </c>
      <c r="G113" s="985">
        <f>IF(F113&gt;0,H113/F113/H$8,0)</f>
        <v>0</v>
      </c>
      <c r="H113" s="678">
        <f>IT!I12+Stretch!N79</f>
        <v>0</v>
      </c>
      <c r="I113" s="861">
        <f>IT!J12</f>
        <v>0</v>
      </c>
      <c r="J113" s="985">
        <f>IF(I113&gt;0,K113/I113/K$8,0)</f>
        <v>0</v>
      </c>
      <c r="K113" s="678">
        <f>IT!L12+Stretch!Q79</f>
        <v>0</v>
      </c>
      <c r="L113" s="861">
        <f>IT!M12</f>
        <v>0</v>
      </c>
      <c r="M113" s="985">
        <f>IF(L113&gt;0,N113/L113/N$8,0)</f>
        <v>0</v>
      </c>
      <c r="N113" s="678">
        <f>IT!O12+Stretch!T79</f>
        <v>0</v>
      </c>
      <c r="O113" s="861">
        <f>IT!P12</f>
        <v>0</v>
      </c>
      <c r="P113" s="985">
        <f>IF(O113&gt;0,Q113/O113/Q$8,0)</f>
        <v>0</v>
      </c>
      <c r="Q113" s="678">
        <f>IT!R12+Stretch!W79</f>
        <v>0</v>
      </c>
      <c r="R113" s="861">
        <f>IT!S12</f>
        <v>0</v>
      </c>
      <c r="S113" s="985">
        <f>IF(R113&gt;0,T113/R113/T$8,0)</f>
        <v>0</v>
      </c>
      <c r="T113" s="678">
        <f>IT!U12+Stretch!Z79</f>
        <v>0</v>
      </c>
      <c r="U113" s="861">
        <f>IT!V12</f>
        <v>0</v>
      </c>
      <c r="V113" s="985">
        <f>IF(U113&gt;0,W113/U113/W$8,0)</f>
        <v>0</v>
      </c>
      <c r="W113" s="678">
        <f>IT!X12+Stretch!AC79</f>
        <v>0</v>
      </c>
      <c r="X113" s="861">
        <f>IT!Y12</f>
        <v>0</v>
      </c>
      <c r="Y113" s="985">
        <f>IF(X113&gt;0,Z113/X113/Z$8,0)</f>
        <v>0</v>
      </c>
      <c r="Z113" s="678">
        <f>IT!AA12+Stretch!AF79</f>
        <v>0</v>
      </c>
      <c r="AA113" s="861">
        <f>IT!AB12</f>
        <v>0</v>
      </c>
      <c r="AB113" s="985">
        <f>IF(AA113&gt;0,AC113/AA113/AC$8,0)</f>
        <v>0</v>
      </c>
      <c r="AC113" s="678">
        <f>IT!AD12+Stretch!AI79</f>
        <v>0</v>
      </c>
      <c r="AD113" s="861">
        <f>IT!AE12</f>
        <v>0</v>
      </c>
      <c r="AE113" s="985">
        <f>IF(AD113&gt;0,AF113/AD113/AF$8,0)</f>
        <v>0</v>
      </c>
      <c r="AF113" s="678">
        <f>IT!AG12+Stretch!AL79</f>
        <v>0</v>
      </c>
      <c r="AG113" s="861">
        <f>IT!AH12</f>
        <v>0</v>
      </c>
      <c r="AH113" s="985">
        <f>IF(AG113&gt;0,AI113/AG113/AI$8,0)</f>
        <v>0</v>
      </c>
      <c r="AI113" s="678">
        <f>IT!AJ12+Stretch!AO79</f>
        <v>0</v>
      </c>
      <c r="AJ113" s="861">
        <f>IT!AK12</f>
        <v>0</v>
      </c>
      <c r="AK113" s="985">
        <f>IF(AJ113&gt;0,AL113/AJ113/AL$8,0)</f>
        <v>0</v>
      </c>
      <c r="AL113" s="678">
        <f>IT!AM12+Stretch!AR79</f>
        <v>0</v>
      </c>
      <c r="AO113" s="678">
        <f t="shared" ref="AO113:AO129" si="1">AM113*AN113*AO$8</f>
        <v>0</v>
      </c>
      <c r="AR113" s="678">
        <f t="shared" ref="AR113:AR129" si="2">AP113*AQ113*AR$8</f>
        <v>0</v>
      </c>
      <c r="AU113" s="678">
        <f t="shared" ref="AU113:AU129" si="3">AS113*AT113*AU$8</f>
        <v>0</v>
      </c>
      <c r="AX113" s="678">
        <f t="shared" ref="AX113:AX129" si="4">AV113*AW113*AX$8</f>
        <v>0</v>
      </c>
      <c r="BA113" s="678">
        <f t="shared" ref="BA113:BA129" si="5">AY113*AZ113*BA$8</f>
        <v>0</v>
      </c>
      <c r="BD113" s="678">
        <f t="shared" ref="BD113:BD129" si="6">BB113*BC113*BD$8</f>
        <v>0</v>
      </c>
      <c r="BG113" s="678">
        <f t="shared" ref="BG113:BG129" si="7">BE113*BF113*BG$8</f>
        <v>0</v>
      </c>
      <c r="BJ113" s="678">
        <f t="shared" ref="BJ113:BJ129" si="8">BH113*BI113*BJ$8</f>
        <v>0</v>
      </c>
      <c r="BM113" s="678">
        <f t="shared" ref="BM113:BM129" si="9">BK113*BL113*BM$8</f>
        <v>0</v>
      </c>
      <c r="BP113" s="678">
        <f t="shared" ref="BP113:BP129" si="10">BN113*BO113*BP$8</f>
        <v>0</v>
      </c>
      <c r="BS113" s="678">
        <f t="shared" ref="BS113:BS129" si="11">BQ113*BR113*BS$8</f>
        <v>0</v>
      </c>
      <c r="BV113" s="678">
        <f t="shared" ref="BV113:BV129" si="12">BT113*BU113*BV$8</f>
        <v>0</v>
      </c>
    </row>
    <row r="114" spans="1:74" s="41" customFormat="1" x14ac:dyDescent="0.2">
      <c r="A114" s="41" t="s">
        <v>150</v>
      </c>
      <c r="B114" s="48" t="s">
        <v>77</v>
      </c>
      <c r="C114" s="861">
        <f>IT!D13</f>
        <v>1900</v>
      </c>
      <c r="D114" s="985">
        <f>IF(C114&gt;0,E114/C114/E$8,0)</f>
        <v>0.02</v>
      </c>
      <c r="E114" s="678">
        <f>IT!F13+Stretch!K80</f>
        <v>1178</v>
      </c>
      <c r="F114" s="861">
        <f>IT!G13</f>
        <v>1800</v>
      </c>
      <c r="G114" s="985">
        <f>IF(F114&gt;0,H114/F114/H$8,0)</f>
        <v>0.02</v>
      </c>
      <c r="H114" s="678">
        <f>IT!I13+Stretch!N80</f>
        <v>1008</v>
      </c>
      <c r="I114" s="861">
        <f>IT!J13</f>
        <v>2500</v>
      </c>
      <c r="J114" s="985">
        <f>IF(I114&gt;0,K114/I114/K$8,0)</f>
        <v>0.02</v>
      </c>
      <c r="K114" s="678">
        <f>IT!L13+Stretch!Q80</f>
        <v>1550</v>
      </c>
      <c r="L114" s="861">
        <f>IT!M13</f>
        <v>8000</v>
      </c>
      <c r="M114" s="985">
        <f>IF(L114&gt;0,N114/L114/N$8,0)</f>
        <v>0.02</v>
      </c>
      <c r="N114" s="678">
        <f>IT!O13+Stretch!T80</f>
        <v>4800</v>
      </c>
      <c r="O114" s="861">
        <f>IT!P13</f>
        <v>7000</v>
      </c>
      <c r="P114" s="985">
        <f>IF(O114&gt;0,Q114/O114/Q$8,0)</f>
        <v>0.02</v>
      </c>
      <c r="Q114" s="678">
        <f>IT!R13+Stretch!W80</f>
        <v>4340</v>
      </c>
      <c r="R114" s="861">
        <f>IT!S13</f>
        <v>20600</v>
      </c>
      <c r="S114" s="985">
        <f>IF(R114&gt;0,T114/R114/T$8,0)</f>
        <v>0.02</v>
      </c>
      <c r="T114" s="678">
        <f>IT!U13+Stretch!Z80</f>
        <v>12360</v>
      </c>
      <c r="U114" s="861">
        <f>IT!V13</f>
        <v>1900</v>
      </c>
      <c r="V114" s="985">
        <f>IF(U114&gt;0,W114/U114/W$8,0)</f>
        <v>0.02</v>
      </c>
      <c r="W114" s="678">
        <f>IT!X13+Stretch!AC80</f>
        <v>1178</v>
      </c>
      <c r="X114" s="861">
        <f>IT!Y13</f>
        <v>1800</v>
      </c>
      <c r="Y114" s="985">
        <f>IF(X114&gt;0,Z114/X114/Z$8,0)</f>
        <v>0.02</v>
      </c>
      <c r="Z114" s="678">
        <f>IT!AA13+Stretch!AF80</f>
        <v>1116</v>
      </c>
      <c r="AA114" s="861">
        <f>IT!AB13</f>
        <v>2500</v>
      </c>
      <c r="AB114" s="985">
        <f>IF(AA114&gt;0,AC114/AA114/AC$8,0)</f>
        <v>0.02</v>
      </c>
      <c r="AC114" s="678">
        <f>IT!AD13+Stretch!AI80</f>
        <v>1500</v>
      </c>
      <c r="AD114" s="861">
        <f>IT!AE13</f>
        <v>8000</v>
      </c>
      <c r="AE114" s="985">
        <f>IF(AD114&gt;0,AF114/AD114/AF$8,0)</f>
        <v>0.02</v>
      </c>
      <c r="AF114" s="678">
        <f>IT!AG13+Stretch!AL80</f>
        <v>4960</v>
      </c>
      <c r="AG114" s="861">
        <f>IT!AH13</f>
        <v>7000</v>
      </c>
      <c r="AH114" s="985">
        <f>IF(AG114&gt;0,AI114/AG114/AI$8,0)</f>
        <v>0.02</v>
      </c>
      <c r="AI114" s="678">
        <f>IT!AJ13+Stretch!AO80</f>
        <v>4200</v>
      </c>
      <c r="AJ114" s="861">
        <f>IT!AK13</f>
        <v>20600</v>
      </c>
      <c r="AK114" s="985">
        <f>IF(AJ114&gt;0,AL114/AJ114/AL$8,0)</f>
        <v>0.02</v>
      </c>
      <c r="AL114" s="678">
        <f>IT!AM13+Stretch!AR80</f>
        <v>12772</v>
      </c>
      <c r="AM114" s="41">
        <v>0</v>
      </c>
      <c r="AN114" s="41">
        <v>0</v>
      </c>
      <c r="AO114" s="678">
        <f t="shared" si="1"/>
        <v>0</v>
      </c>
      <c r="AP114" s="41">
        <v>0</v>
      </c>
      <c r="AQ114" s="41">
        <v>0</v>
      </c>
      <c r="AR114" s="678">
        <f t="shared" si="2"/>
        <v>0</v>
      </c>
      <c r="AU114" s="678">
        <f t="shared" si="3"/>
        <v>0</v>
      </c>
      <c r="AX114" s="678">
        <f t="shared" si="4"/>
        <v>0</v>
      </c>
      <c r="BA114" s="678">
        <f t="shared" si="5"/>
        <v>0</v>
      </c>
      <c r="BD114" s="678">
        <f t="shared" si="6"/>
        <v>0</v>
      </c>
      <c r="BG114" s="678">
        <f t="shared" si="7"/>
        <v>0</v>
      </c>
      <c r="BJ114" s="678">
        <f t="shared" si="8"/>
        <v>0</v>
      </c>
      <c r="BM114" s="678">
        <f t="shared" si="9"/>
        <v>0</v>
      </c>
      <c r="BP114" s="678">
        <f t="shared" si="10"/>
        <v>0</v>
      </c>
      <c r="BS114" s="678">
        <f t="shared" si="11"/>
        <v>0</v>
      </c>
      <c r="BV114" s="678">
        <f t="shared" si="12"/>
        <v>0</v>
      </c>
    </row>
    <row r="115" spans="1:74" s="41" customFormat="1" x14ac:dyDescent="0.2">
      <c r="A115" s="41" t="s">
        <v>151</v>
      </c>
      <c r="B115" s="48" t="s">
        <v>77</v>
      </c>
      <c r="C115" s="861">
        <f>IT!D14</f>
        <v>0</v>
      </c>
      <c r="D115" s="985">
        <f>IF(C115&gt;0,E115/C115/E$8,0)</f>
        <v>0</v>
      </c>
      <c r="E115" s="678">
        <f>IT!F14+Stretch!K81</f>
        <v>0</v>
      </c>
      <c r="F115" s="861">
        <f>IT!G14</f>
        <v>0</v>
      </c>
      <c r="G115" s="985">
        <f>IF(F115&gt;0,H115/F115/H$8,0)</f>
        <v>0</v>
      </c>
      <c r="H115" s="678">
        <f>IT!I14+Stretch!N81</f>
        <v>0</v>
      </c>
      <c r="I115" s="861">
        <f>IT!J14</f>
        <v>0</v>
      </c>
      <c r="J115" s="985">
        <f>IF(I115&gt;0,K115/I115/K$8,0)</f>
        <v>0</v>
      </c>
      <c r="K115" s="678">
        <f>IT!L14+Stretch!Q81</f>
        <v>0</v>
      </c>
      <c r="L115" s="861">
        <f>IT!M14</f>
        <v>0</v>
      </c>
      <c r="M115" s="985">
        <f>IF(L115&gt;0,N115/L115/N$8,0)</f>
        <v>0</v>
      </c>
      <c r="N115" s="678">
        <f>IT!O14+Stretch!T81</f>
        <v>0</v>
      </c>
      <c r="O115" s="861">
        <f>IT!P14</f>
        <v>0</v>
      </c>
      <c r="P115" s="985">
        <f>IF(O115&gt;0,Q115/O115/Q$8,0)</f>
        <v>0</v>
      </c>
      <c r="Q115" s="678">
        <f>IT!R14+Stretch!W81</f>
        <v>0</v>
      </c>
      <c r="R115" s="861">
        <f>IT!S14</f>
        <v>0</v>
      </c>
      <c r="S115" s="985">
        <f>IF(R115&gt;0,T115/R115/T$8,0)</f>
        <v>0</v>
      </c>
      <c r="T115" s="678">
        <f>IT!U14+Stretch!Z81</f>
        <v>0</v>
      </c>
      <c r="U115" s="861">
        <f>IT!V14</f>
        <v>0</v>
      </c>
      <c r="V115" s="985">
        <f>IF(U115&gt;0,W115/U115/W$8,0)</f>
        <v>0</v>
      </c>
      <c r="W115" s="678">
        <f>IT!X14+Stretch!AC81</f>
        <v>0</v>
      </c>
      <c r="X115" s="861">
        <f>IT!Y14</f>
        <v>0</v>
      </c>
      <c r="Y115" s="985">
        <f>IF(X115&gt;0,Z115/X115/Z$8,0)</f>
        <v>0</v>
      </c>
      <c r="Z115" s="678">
        <f>IT!AA14+Stretch!AF81</f>
        <v>0</v>
      </c>
      <c r="AA115" s="861">
        <f>IT!AB14</f>
        <v>0</v>
      </c>
      <c r="AB115" s="985">
        <f>IF(AA115&gt;0,AC115/AA115/AC$8,0)</f>
        <v>0</v>
      </c>
      <c r="AC115" s="678">
        <f>IT!AD14+Stretch!AI81</f>
        <v>0</v>
      </c>
      <c r="AD115" s="861">
        <f>IT!AE14</f>
        <v>0</v>
      </c>
      <c r="AE115" s="985">
        <f>IF(AD115&gt;0,AF115/AD115/AF$8,0)</f>
        <v>0</v>
      </c>
      <c r="AF115" s="678">
        <f>IT!AG14+Stretch!AL81</f>
        <v>0</v>
      </c>
      <c r="AG115" s="861">
        <f>IT!AH14</f>
        <v>0</v>
      </c>
      <c r="AH115" s="985">
        <f>IF(AG115&gt;0,AI115/AG115/AI$8,0)</f>
        <v>0</v>
      </c>
      <c r="AI115" s="678">
        <f>IT!AJ14+Stretch!AO81</f>
        <v>0</v>
      </c>
      <c r="AJ115" s="861">
        <f>IT!AK14</f>
        <v>0</v>
      </c>
      <c r="AK115" s="985">
        <f>IF(AJ115&gt;0,AL115/AJ115/AL$8,0)</f>
        <v>0</v>
      </c>
      <c r="AL115" s="678">
        <f>IT!AM14+Stretch!AR81</f>
        <v>0</v>
      </c>
      <c r="AO115" s="678">
        <f t="shared" si="1"/>
        <v>0</v>
      </c>
      <c r="AR115" s="678">
        <f t="shared" si="2"/>
        <v>0</v>
      </c>
      <c r="AU115" s="678">
        <f t="shared" si="3"/>
        <v>0</v>
      </c>
      <c r="AX115" s="678">
        <f t="shared" si="4"/>
        <v>0</v>
      </c>
      <c r="BA115" s="678">
        <f t="shared" si="5"/>
        <v>0</v>
      </c>
      <c r="BD115" s="678">
        <f t="shared" si="6"/>
        <v>0</v>
      </c>
      <c r="BG115" s="678">
        <f t="shared" si="7"/>
        <v>0</v>
      </c>
      <c r="BJ115" s="678">
        <f t="shared" si="8"/>
        <v>0</v>
      </c>
      <c r="BM115" s="678">
        <f t="shared" si="9"/>
        <v>0</v>
      </c>
      <c r="BP115" s="678">
        <f t="shared" si="10"/>
        <v>0</v>
      </c>
      <c r="BS115" s="678">
        <f t="shared" si="11"/>
        <v>0</v>
      </c>
      <c r="BV115" s="678">
        <f t="shared" si="12"/>
        <v>0</v>
      </c>
    </row>
    <row r="116" spans="1:74" s="41" customFormat="1" x14ac:dyDescent="0.2">
      <c r="A116" s="41" t="s">
        <v>152</v>
      </c>
      <c r="B116" s="48" t="s">
        <v>77</v>
      </c>
      <c r="C116" s="861">
        <f>IT!D15</f>
        <v>0</v>
      </c>
      <c r="D116" s="985">
        <f>IF(C116&gt;0,E116/C116/E$8,0)</f>
        <v>0</v>
      </c>
      <c r="E116" s="678">
        <f>IT!F15+Stretch!K82</f>
        <v>0</v>
      </c>
      <c r="F116" s="861">
        <f>IT!G15</f>
        <v>0</v>
      </c>
      <c r="G116" s="985">
        <f>IF(F116&gt;0,H116/F116/H$8,0)</f>
        <v>0</v>
      </c>
      <c r="H116" s="678">
        <f>IT!I15+Stretch!N82</f>
        <v>0</v>
      </c>
      <c r="I116" s="861">
        <f>IT!J15</f>
        <v>0</v>
      </c>
      <c r="J116" s="985">
        <f>IF(I116&gt;0,K116/I116/K$8,0)</f>
        <v>0</v>
      </c>
      <c r="K116" s="678">
        <f>IT!L15+Stretch!Q82</f>
        <v>0</v>
      </c>
      <c r="L116" s="861">
        <f>IT!M15</f>
        <v>0</v>
      </c>
      <c r="M116" s="985">
        <f>IF(L116&gt;0,N116/L116/N$8,0)</f>
        <v>0</v>
      </c>
      <c r="N116" s="678">
        <f>IT!O15+Stretch!T82</f>
        <v>0</v>
      </c>
      <c r="O116" s="861">
        <f>IT!P15</f>
        <v>0</v>
      </c>
      <c r="P116" s="985">
        <f>IF(O116&gt;0,Q116/O116/Q$8,0)</f>
        <v>0</v>
      </c>
      <c r="Q116" s="678">
        <f>IT!R15+Stretch!W82</f>
        <v>0</v>
      </c>
      <c r="R116" s="861">
        <f>IT!S15</f>
        <v>0</v>
      </c>
      <c r="S116" s="985">
        <f>IF(R116&gt;0,T116/R116/T$8,0)</f>
        <v>0</v>
      </c>
      <c r="T116" s="678">
        <f>IT!U15+Stretch!Z82</f>
        <v>0</v>
      </c>
      <c r="U116" s="861">
        <f>IT!V15</f>
        <v>0</v>
      </c>
      <c r="V116" s="985">
        <f>IF(U116&gt;0,W116/U116/W$8,0)</f>
        <v>0</v>
      </c>
      <c r="W116" s="678">
        <f>IT!X15+Stretch!AC82</f>
        <v>0</v>
      </c>
      <c r="X116" s="861">
        <f>IT!Y15</f>
        <v>0</v>
      </c>
      <c r="Y116" s="985">
        <f>IF(X116&gt;0,Z116/X116/Z$8,0)</f>
        <v>0</v>
      </c>
      <c r="Z116" s="678">
        <f>IT!AA15+Stretch!AF82</f>
        <v>0</v>
      </c>
      <c r="AA116" s="861">
        <f>IT!AB15</f>
        <v>0</v>
      </c>
      <c r="AB116" s="985">
        <f>IF(AA116&gt;0,AC116/AA116/AC$8,0)</f>
        <v>0</v>
      </c>
      <c r="AC116" s="678">
        <f>IT!AD15+Stretch!AI82</f>
        <v>0</v>
      </c>
      <c r="AD116" s="861">
        <f>IT!AE15</f>
        <v>0</v>
      </c>
      <c r="AE116" s="985">
        <f>IF(AD116&gt;0,AF116/AD116/AF$8,0)</f>
        <v>0</v>
      </c>
      <c r="AF116" s="678">
        <f>IT!AG15+Stretch!AL82</f>
        <v>0</v>
      </c>
      <c r="AG116" s="861">
        <f>IT!AH15</f>
        <v>0</v>
      </c>
      <c r="AH116" s="985">
        <f>IF(AG116&gt;0,AI116/AG116/AI$8,0)</f>
        <v>0</v>
      </c>
      <c r="AI116" s="678">
        <f>IT!AJ15+Stretch!AO82</f>
        <v>0</v>
      </c>
      <c r="AJ116" s="861">
        <f>IT!AK15</f>
        <v>0</v>
      </c>
      <c r="AK116" s="985">
        <f>IF(AJ116&gt;0,AL116/AJ116/AL$8,0)</f>
        <v>0</v>
      </c>
      <c r="AL116" s="678">
        <f>IT!AM15+Stretch!AR82</f>
        <v>0</v>
      </c>
      <c r="AO116" s="678">
        <f t="shared" si="1"/>
        <v>0</v>
      </c>
      <c r="AR116" s="678">
        <f t="shared" si="2"/>
        <v>0</v>
      </c>
      <c r="AU116" s="678">
        <f t="shared" si="3"/>
        <v>0</v>
      </c>
      <c r="AX116" s="678">
        <f t="shared" si="4"/>
        <v>0</v>
      </c>
      <c r="BA116" s="678">
        <f t="shared" si="5"/>
        <v>0</v>
      </c>
      <c r="BD116" s="678">
        <f t="shared" si="6"/>
        <v>0</v>
      </c>
      <c r="BG116" s="678">
        <f t="shared" si="7"/>
        <v>0</v>
      </c>
      <c r="BJ116" s="678">
        <f t="shared" si="8"/>
        <v>0</v>
      </c>
      <c r="BM116" s="678">
        <f t="shared" si="9"/>
        <v>0</v>
      </c>
      <c r="BP116" s="678">
        <f t="shared" si="10"/>
        <v>0</v>
      </c>
      <c r="BS116" s="678">
        <f t="shared" si="11"/>
        <v>0</v>
      </c>
      <c r="BV116" s="678">
        <f t="shared" si="12"/>
        <v>0</v>
      </c>
    </row>
    <row r="117" spans="1:74" s="117" customFormat="1" x14ac:dyDescent="0.2">
      <c r="A117" s="117" t="s">
        <v>86</v>
      </c>
      <c r="B117" s="112"/>
      <c r="C117" s="863"/>
      <c r="D117" s="994"/>
      <c r="E117" s="727">
        <f>SUM(E112:E116)</f>
        <v>33914</v>
      </c>
      <c r="F117" s="863"/>
      <c r="G117" s="994"/>
      <c r="H117" s="727">
        <f>SUM(H112:H116)</f>
        <v>21084</v>
      </c>
      <c r="I117" s="863"/>
      <c r="J117" s="994"/>
      <c r="K117" s="727">
        <f>SUM(K112:K116)</f>
        <v>26102</v>
      </c>
      <c r="L117" s="863"/>
      <c r="M117" s="994"/>
      <c r="N117" s="727">
        <f>SUM(N112:N116)</f>
        <v>26310</v>
      </c>
      <c r="O117" s="863"/>
      <c r="P117" s="994"/>
      <c r="Q117" s="727">
        <f>SUM(Q112:Q116)</f>
        <v>22940</v>
      </c>
      <c r="R117" s="863"/>
      <c r="S117" s="994"/>
      <c r="T117" s="727">
        <f>SUM(T112:T116)</f>
        <v>33870</v>
      </c>
      <c r="U117" s="863"/>
      <c r="V117" s="994"/>
      <c r="W117" s="727">
        <f>SUM(W112:W116)</f>
        <v>139048</v>
      </c>
      <c r="X117" s="863"/>
      <c r="Y117" s="994"/>
      <c r="Z117" s="727">
        <f>SUM(Z112:Z116)</f>
        <v>129128</v>
      </c>
      <c r="AA117" s="863"/>
      <c r="AB117" s="994"/>
      <c r="AC117" s="727">
        <f>SUM(AC112:AC116)</f>
        <v>136346</v>
      </c>
      <c r="AD117" s="863"/>
      <c r="AE117" s="994"/>
      <c r="AF117" s="727">
        <f>SUM(AF112:AF116)</f>
        <v>131484</v>
      </c>
      <c r="AG117" s="863"/>
      <c r="AH117" s="994"/>
      <c r="AI117" s="727">
        <f>SUM(AI112:AI116)</f>
        <v>133286</v>
      </c>
      <c r="AJ117" s="863"/>
      <c r="AK117" s="994"/>
      <c r="AL117" s="727">
        <f>SUM(AL112:AL116)</f>
        <v>154831</v>
      </c>
      <c r="AO117" s="727">
        <f>SUM(AO112:AO116)</f>
        <v>0</v>
      </c>
      <c r="AR117" s="727">
        <f>SUM(AR112:AR116)</f>
        <v>0</v>
      </c>
      <c r="AU117" s="727">
        <f>SUM(AU112:AU116)</f>
        <v>0</v>
      </c>
      <c r="AX117" s="727">
        <f>SUM(AX112:AX116)</f>
        <v>0</v>
      </c>
      <c r="BA117" s="727">
        <f>SUM(BA112:BA116)</f>
        <v>0</v>
      </c>
      <c r="BD117" s="727">
        <f>SUM(BD112:BD116)</f>
        <v>0</v>
      </c>
      <c r="BG117" s="727">
        <f>SUM(BG112:BG116)</f>
        <v>0</v>
      </c>
      <c r="BJ117" s="727">
        <f>SUM(BJ112:BJ116)</f>
        <v>0</v>
      </c>
      <c r="BM117" s="727">
        <f>SUM(BM112:BM116)</f>
        <v>0</v>
      </c>
      <c r="BP117" s="727">
        <f>SUM(BP112:BP116)</f>
        <v>0</v>
      </c>
      <c r="BS117" s="727">
        <f>SUM(BS112:BS116)</f>
        <v>0</v>
      </c>
      <c r="BV117" s="727">
        <f>SUM(BV112:BV116)</f>
        <v>0</v>
      </c>
    </row>
    <row r="118" spans="1:74" s="41" customFormat="1" x14ac:dyDescent="0.2">
      <c r="A118" s="41" t="s">
        <v>217</v>
      </c>
      <c r="B118" s="48" t="s">
        <v>77</v>
      </c>
      <c r="C118" s="861">
        <f>IT!D17</f>
        <v>129800</v>
      </c>
      <c r="D118" s="985">
        <f>IF(C118&gt;0,E118/C118/E$8,0)</f>
        <v>1.5000000000000001E-2</v>
      </c>
      <c r="E118" s="678">
        <f>IT!F17+Stretch!K84</f>
        <v>60357</v>
      </c>
      <c r="F118" s="861">
        <f>IT!G17</f>
        <v>53200</v>
      </c>
      <c r="G118" s="985">
        <f>IF(F118&gt;0,H118/F118/H$8,0)</f>
        <v>1.4999999999999999E-2</v>
      </c>
      <c r="H118" s="678">
        <f>IT!I17+Stretch!N84</f>
        <v>22344</v>
      </c>
      <c r="I118" s="861">
        <f>IT!J17</f>
        <v>55600</v>
      </c>
      <c r="J118" s="985">
        <f>IF(I118&gt;0,K118/I118/K$8,0)</f>
        <v>1.5000000000000001E-2</v>
      </c>
      <c r="K118" s="678">
        <f>IT!L17+Stretch!Q84</f>
        <v>25854</v>
      </c>
      <c r="L118" s="861">
        <f>IT!M17</f>
        <v>85000</v>
      </c>
      <c r="M118" s="985">
        <f>IF(L118&gt;0,N118/L118/N$8,0)</f>
        <v>0.05</v>
      </c>
      <c r="N118" s="678">
        <f>IT!O17+Stretch!T84</f>
        <v>127500</v>
      </c>
      <c r="O118" s="861">
        <f>IT!P17</f>
        <v>116400</v>
      </c>
      <c r="P118" s="985">
        <f>IF(O118&gt;0,Q118/O118/Q$8,0)</f>
        <v>0.05</v>
      </c>
      <c r="Q118" s="678">
        <f>IT!R17+Stretch!W84</f>
        <v>180420</v>
      </c>
      <c r="R118" s="861">
        <f>IT!S17</f>
        <v>148000</v>
      </c>
      <c r="S118" s="985">
        <f>IF(R118&gt;0,T118/R118/T$8,0)</f>
        <v>0.05</v>
      </c>
      <c r="T118" s="678">
        <f>IT!U17+Stretch!Z84</f>
        <v>222000</v>
      </c>
      <c r="U118" s="861">
        <f>IT!V17</f>
        <v>114000</v>
      </c>
      <c r="V118" s="985">
        <f>IF(U118&gt;0,W118/U118/W$8,0)</f>
        <v>0.05</v>
      </c>
      <c r="W118" s="678">
        <f>IT!X17+Stretch!AC84</f>
        <v>176700</v>
      </c>
      <c r="X118" s="861">
        <f>IT!Y17</f>
        <v>107800</v>
      </c>
      <c r="Y118" s="985">
        <f>IF(X118&gt;0,Z118/X118/Z$8,0)</f>
        <v>0.05</v>
      </c>
      <c r="Z118" s="678">
        <f>IT!AA17+Stretch!AF84</f>
        <v>167090</v>
      </c>
      <c r="AA118" s="861">
        <f>IT!AB17</f>
        <v>86000</v>
      </c>
      <c r="AB118" s="985">
        <f>IF(AA118&gt;0,AC118/AA118/AC$8,0)</f>
        <v>0.05</v>
      </c>
      <c r="AC118" s="678">
        <f>IT!AD17+Stretch!AI84</f>
        <v>129000</v>
      </c>
      <c r="AD118" s="861">
        <f>IT!AE17</f>
        <v>26000</v>
      </c>
      <c r="AE118" s="985">
        <f>IF(AD118&gt;0,AF118/AD118/AF$8,0)</f>
        <v>0.05</v>
      </c>
      <c r="AF118" s="678">
        <f>IT!AG17+Stretch!AL84</f>
        <v>40300</v>
      </c>
      <c r="AG118" s="861">
        <f>IT!AH17</f>
        <v>26000</v>
      </c>
      <c r="AH118" s="985">
        <f>IF(AG118&gt;0,AI118/AG118/AI$8,0)</f>
        <v>1.5000000000000001E-2</v>
      </c>
      <c r="AI118" s="678">
        <f>IT!AJ17+Stretch!AO84</f>
        <v>11700</v>
      </c>
      <c r="AJ118" s="861">
        <f>IT!AK17</f>
        <v>102100</v>
      </c>
      <c r="AK118" s="985">
        <f>IF(AJ118&gt;0,AL118/AJ118/AL$8,0)</f>
        <v>1.5000000000000001E-2</v>
      </c>
      <c r="AL118" s="678">
        <f>IT!AM17+Stretch!AR84</f>
        <v>47476.5</v>
      </c>
      <c r="AO118" s="678">
        <f t="shared" si="1"/>
        <v>0</v>
      </c>
      <c r="AR118" s="678">
        <f t="shared" si="2"/>
        <v>0</v>
      </c>
      <c r="AU118" s="678">
        <f t="shared" si="3"/>
        <v>0</v>
      </c>
      <c r="AX118" s="678">
        <f t="shared" si="4"/>
        <v>0</v>
      </c>
      <c r="BA118" s="678">
        <f t="shared" si="5"/>
        <v>0</v>
      </c>
      <c r="BD118" s="678">
        <f t="shared" si="6"/>
        <v>0</v>
      </c>
      <c r="BG118" s="678">
        <f t="shared" si="7"/>
        <v>0</v>
      </c>
      <c r="BJ118" s="678">
        <f t="shared" si="8"/>
        <v>0</v>
      </c>
      <c r="BM118" s="678">
        <f t="shared" si="9"/>
        <v>0</v>
      </c>
      <c r="BP118" s="678">
        <f t="shared" si="10"/>
        <v>0</v>
      </c>
      <c r="BS118" s="678">
        <f t="shared" si="11"/>
        <v>0</v>
      </c>
      <c r="BV118" s="678">
        <f t="shared" si="12"/>
        <v>0</v>
      </c>
    </row>
    <row r="119" spans="1:74" s="117" customFormat="1" x14ac:dyDescent="0.2">
      <c r="A119" s="117" t="s">
        <v>88</v>
      </c>
      <c r="B119" s="112"/>
      <c r="C119" s="863"/>
      <c r="D119" s="994"/>
      <c r="E119" s="727">
        <f>SUM(E118)</f>
        <v>60357</v>
      </c>
      <c r="F119" s="863"/>
      <c r="G119" s="994"/>
      <c r="H119" s="727">
        <f>SUM(H118)</f>
        <v>22344</v>
      </c>
      <c r="I119" s="863"/>
      <c r="J119" s="994"/>
      <c r="K119" s="727">
        <f>SUM(K118)</f>
        <v>25854</v>
      </c>
      <c r="L119" s="863"/>
      <c r="M119" s="994"/>
      <c r="N119" s="727">
        <f>SUM(N118)</f>
        <v>127500</v>
      </c>
      <c r="O119" s="863"/>
      <c r="P119" s="994"/>
      <c r="Q119" s="727">
        <f>SUM(Q118)</f>
        <v>180420</v>
      </c>
      <c r="R119" s="863"/>
      <c r="S119" s="994"/>
      <c r="T119" s="727">
        <f>SUM(T118)</f>
        <v>222000</v>
      </c>
      <c r="U119" s="863"/>
      <c r="V119" s="994"/>
      <c r="W119" s="727">
        <f>SUM(W118)</f>
        <v>176700</v>
      </c>
      <c r="X119" s="863"/>
      <c r="Y119" s="994"/>
      <c r="Z119" s="727">
        <f>SUM(Z118)</f>
        <v>167090</v>
      </c>
      <c r="AA119" s="863"/>
      <c r="AB119" s="994"/>
      <c r="AC119" s="727">
        <f>SUM(AC118)</f>
        <v>129000</v>
      </c>
      <c r="AD119" s="863"/>
      <c r="AE119" s="994"/>
      <c r="AF119" s="727">
        <f>SUM(AF118)</f>
        <v>40300</v>
      </c>
      <c r="AG119" s="863"/>
      <c r="AH119" s="994"/>
      <c r="AI119" s="727">
        <f>SUM(AI118)</f>
        <v>11700</v>
      </c>
      <c r="AJ119" s="863"/>
      <c r="AK119" s="994"/>
      <c r="AL119" s="727">
        <f>SUM(AL118)</f>
        <v>47476.5</v>
      </c>
      <c r="AO119" s="727">
        <f>SUM(AO118)</f>
        <v>0</v>
      </c>
      <c r="AR119" s="727">
        <f>SUM(AR118)</f>
        <v>0</v>
      </c>
      <c r="AU119" s="727">
        <f>SUM(AU118)</f>
        <v>0</v>
      </c>
      <c r="AX119" s="727">
        <f>SUM(AX118)</f>
        <v>0</v>
      </c>
      <c r="BA119" s="727">
        <f>SUM(BA118)</f>
        <v>0</v>
      </c>
      <c r="BD119" s="727">
        <f>SUM(BD118)</f>
        <v>0</v>
      </c>
      <c r="BG119" s="727">
        <f>SUM(BG118)</f>
        <v>0</v>
      </c>
      <c r="BJ119" s="727">
        <f>SUM(BJ118)</f>
        <v>0</v>
      </c>
      <c r="BM119" s="727">
        <f>SUM(BM118)</f>
        <v>0</v>
      </c>
      <c r="BP119" s="727">
        <f>SUM(BP118)</f>
        <v>0</v>
      </c>
      <c r="BS119" s="727">
        <f>SUM(BS118)</f>
        <v>0</v>
      </c>
      <c r="BV119" s="727">
        <f>SUM(BV118)</f>
        <v>0</v>
      </c>
    </row>
    <row r="120" spans="1:74" s="41" customFormat="1" x14ac:dyDescent="0.2">
      <c r="A120" s="41" t="s">
        <v>218</v>
      </c>
      <c r="B120" s="48" t="s">
        <v>77</v>
      </c>
      <c r="C120" s="861">
        <f>IT!D19</f>
        <v>8700</v>
      </c>
      <c r="D120" s="985">
        <f>IF(C120&gt;0,E120/C120/E$8,0)</f>
        <v>1.5000000000000001E-2</v>
      </c>
      <c r="E120" s="678">
        <f>IT!F19+Stretch!K86</f>
        <v>4045.5</v>
      </c>
      <c r="F120" s="861">
        <f>IT!G19</f>
        <v>6700</v>
      </c>
      <c r="G120" s="985">
        <f>IF(F120&gt;0,H120/F120/H$8,0)</f>
        <v>1.4999999999999999E-2</v>
      </c>
      <c r="H120" s="678">
        <f>IT!I19+Stretch!N86</f>
        <v>2814</v>
      </c>
      <c r="I120" s="861">
        <f>IT!J19</f>
        <v>14100</v>
      </c>
      <c r="J120" s="985">
        <f>IF(I120&gt;0,K120/I120/K$8,0)</f>
        <v>1.5000000000000001E-2</v>
      </c>
      <c r="K120" s="678">
        <f>IT!L19+Stretch!Q86</f>
        <v>6556.5</v>
      </c>
      <c r="L120" s="861">
        <f>IT!M19</f>
        <v>12800</v>
      </c>
      <c r="M120" s="985">
        <f>IF(L120&gt;0,N120/L120/N$8,0)</f>
        <v>0.05</v>
      </c>
      <c r="N120" s="678">
        <f>IT!O19+Stretch!T86</f>
        <v>19200</v>
      </c>
      <c r="O120" s="861">
        <f>IT!P19</f>
        <v>29400</v>
      </c>
      <c r="P120" s="985">
        <f>IF(O120&gt;0,Q120/O120/Q$8,0)</f>
        <v>0.05</v>
      </c>
      <c r="Q120" s="678">
        <f>IT!R19+Stretch!W86</f>
        <v>45570</v>
      </c>
      <c r="R120" s="861">
        <f>IT!S19</f>
        <v>22700</v>
      </c>
      <c r="S120" s="985">
        <f>IF(R120&gt;0,T120/R120/T$8,0)</f>
        <v>0.05</v>
      </c>
      <c r="T120" s="678">
        <f>IT!U19+Stretch!Z86</f>
        <v>34050</v>
      </c>
      <c r="U120" s="861">
        <f>IT!V19</f>
        <v>5000</v>
      </c>
      <c r="V120" s="985">
        <f>IF(U120&gt;0,W120/U120/W$8,0)</f>
        <v>0.05</v>
      </c>
      <c r="W120" s="678">
        <f>IT!X19+Stretch!AC86</f>
        <v>7750</v>
      </c>
      <c r="X120" s="861">
        <f>IT!Y19</f>
        <v>7600</v>
      </c>
      <c r="Y120" s="985">
        <f>IF(X120&gt;0,Z120/X120/Z$8,0)</f>
        <v>0.05</v>
      </c>
      <c r="Z120" s="678">
        <f>IT!AA19+Stretch!AF86</f>
        <v>11780</v>
      </c>
      <c r="AA120" s="861">
        <f>IT!AB19</f>
        <v>7200</v>
      </c>
      <c r="AB120" s="985">
        <f>IF(AA120&gt;0,AC120/AA120/AC$8,0)</f>
        <v>0.05</v>
      </c>
      <c r="AC120" s="678">
        <f>IT!AD19+Stretch!AI86</f>
        <v>10800</v>
      </c>
      <c r="AD120" s="861">
        <f>IT!AE19</f>
        <v>43000</v>
      </c>
      <c r="AE120" s="985">
        <f>IF(AD120&gt;0,AF120/AD120/AF$8,0)</f>
        <v>0.05</v>
      </c>
      <c r="AF120" s="678">
        <f>IT!AG19+Stretch!AL86</f>
        <v>66650</v>
      </c>
      <c r="AG120" s="861">
        <f>IT!AH19</f>
        <v>43000</v>
      </c>
      <c r="AH120" s="985">
        <f>IF(AG120&gt;0,AI120/AG120/AI$8,0)</f>
        <v>1.5000000000000001E-2</v>
      </c>
      <c r="AI120" s="678">
        <f>IT!AJ19+Stretch!AO86</f>
        <v>19350</v>
      </c>
      <c r="AJ120" s="861">
        <f>IT!AK19</f>
        <v>11700</v>
      </c>
      <c r="AK120" s="985">
        <f>IF(AJ120&gt;0,AL120/AJ120/AL$8,0)</f>
        <v>1.5000000000000001E-2</v>
      </c>
      <c r="AL120" s="678">
        <f>IT!AM19+Stretch!AR86</f>
        <v>5440.5</v>
      </c>
      <c r="AO120" s="678">
        <f t="shared" si="1"/>
        <v>0</v>
      </c>
      <c r="AR120" s="678">
        <f t="shared" si="2"/>
        <v>0</v>
      </c>
      <c r="AU120" s="678">
        <f t="shared" si="3"/>
        <v>0</v>
      </c>
      <c r="AX120" s="678">
        <f t="shared" si="4"/>
        <v>0</v>
      </c>
      <c r="BA120" s="678">
        <f t="shared" si="5"/>
        <v>0</v>
      </c>
      <c r="BD120" s="678">
        <f t="shared" si="6"/>
        <v>0</v>
      </c>
      <c r="BG120" s="678">
        <f t="shared" si="7"/>
        <v>0</v>
      </c>
      <c r="BJ120" s="678">
        <f t="shared" si="8"/>
        <v>0</v>
      </c>
      <c r="BM120" s="678">
        <f t="shared" si="9"/>
        <v>0</v>
      </c>
      <c r="BP120" s="678">
        <f t="shared" si="10"/>
        <v>0</v>
      </c>
      <c r="BS120" s="678">
        <f t="shared" si="11"/>
        <v>0</v>
      </c>
      <c r="BV120" s="678">
        <f t="shared" si="12"/>
        <v>0</v>
      </c>
    </row>
    <row r="121" spans="1:74" s="117" customFormat="1" x14ac:dyDescent="0.2">
      <c r="A121" s="117" t="s">
        <v>90</v>
      </c>
      <c r="B121" s="112"/>
      <c r="C121" s="863"/>
      <c r="D121" s="994"/>
      <c r="E121" s="727">
        <f>SUM(E120)</f>
        <v>4045.5</v>
      </c>
      <c r="F121" s="863"/>
      <c r="G121" s="994"/>
      <c r="H121" s="727">
        <f>SUM(H120)</f>
        <v>2814</v>
      </c>
      <c r="I121" s="863"/>
      <c r="J121" s="994"/>
      <c r="K121" s="727">
        <f>SUM(K120)</f>
        <v>6556.5</v>
      </c>
      <c r="L121" s="863"/>
      <c r="M121" s="994"/>
      <c r="N121" s="727">
        <f>SUM(N120)</f>
        <v>19200</v>
      </c>
      <c r="O121" s="863"/>
      <c r="P121" s="994"/>
      <c r="Q121" s="727">
        <f>SUM(Q120)</f>
        <v>45570</v>
      </c>
      <c r="R121" s="863"/>
      <c r="S121" s="994"/>
      <c r="T121" s="727">
        <f>SUM(T120)</f>
        <v>34050</v>
      </c>
      <c r="U121" s="863"/>
      <c r="V121" s="994"/>
      <c r="W121" s="727">
        <f>SUM(W120)</f>
        <v>7750</v>
      </c>
      <c r="X121" s="863"/>
      <c r="Y121" s="994"/>
      <c r="Z121" s="727">
        <f>SUM(Z120)</f>
        <v>11780</v>
      </c>
      <c r="AA121" s="863"/>
      <c r="AB121" s="994"/>
      <c r="AC121" s="727">
        <f>SUM(AC120)</f>
        <v>10800</v>
      </c>
      <c r="AD121" s="863"/>
      <c r="AE121" s="994"/>
      <c r="AF121" s="727">
        <f>SUM(AF120)</f>
        <v>66650</v>
      </c>
      <c r="AG121" s="863"/>
      <c r="AH121" s="994"/>
      <c r="AI121" s="727">
        <f>SUM(AI120)</f>
        <v>19350</v>
      </c>
      <c r="AJ121" s="863"/>
      <c r="AK121" s="994"/>
      <c r="AL121" s="727">
        <f>SUM(AL120)</f>
        <v>5440.5</v>
      </c>
      <c r="AO121" s="727">
        <f>SUM(AO120)</f>
        <v>0</v>
      </c>
      <c r="AR121" s="727">
        <f>SUM(AR120)</f>
        <v>0</v>
      </c>
      <c r="AU121" s="727">
        <f>SUM(AU120)</f>
        <v>0</v>
      </c>
      <c r="AX121" s="727">
        <f>SUM(AX120)</f>
        <v>0</v>
      </c>
      <c r="BA121" s="727">
        <f>SUM(BA120)</f>
        <v>0</v>
      </c>
      <c r="BD121" s="727">
        <f>SUM(BD120)</f>
        <v>0</v>
      </c>
      <c r="BG121" s="727">
        <f>SUM(BG120)</f>
        <v>0</v>
      </c>
      <c r="BJ121" s="727">
        <f>SUM(BJ120)</f>
        <v>0</v>
      </c>
      <c r="BM121" s="727">
        <f>SUM(BM120)</f>
        <v>0</v>
      </c>
      <c r="BP121" s="727">
        <f>SUM(BP120)</f>
        <v>0</v>
      </c>
      <c r="BS121" s="727">
        <f>SUM(BS120)</f>
        <v>0</v>
      </c>
      <c r="BV121" s="727">
        <f>SUM(BV120)</f>
        <v>0</v>
      </c>
    </row>
    <row r="122" spans="1:74" s="41" customFormat="1" x14ac:dyDescent="0.2">
      <c r="A122" s="41" t="s">
        <v>153</v>
      </c>
      <c r="B122" s="48" t="s">
        <v>77</v>
      </c>
      <c r="C122" s="861">
        <f>IT!D21</f>
        <v>0</v>
      </c>
      <c r="D122" s="985">
        <f>IF(C122&gt;0,E122/C122/E$8,0)</f>
        <v>0</v>
      </c>
      <c r="E122" s="678">
        <f>IT!F21+Stretch!K88</f>
        <v>0</v>
      </c>
      <c r="F122" s="861">
        <f>IT!G21</f>
        <v>0</v>
      </c>
      <c r="G122" s="985">
        <f>IF(F122&gt;0,H122/F122/H$8,0)</f>
        <v>0</v>
      </c>
      <c r="H122" s="678">
        <f>IT!I21+Stretch!N88</f>
        <v>0</v>
      </c>
      <c r="I122" s="861">
        <f>IT!J21</f>
        <v>0</v>
      </c>
      <c r="J122" s="985">
        <f>IF(I122&gt;0,K122/I122/K$8,0)</f>
        <v>0</v>
      </c>
      <c r="K122" s="678">
        <f>IT!L21+Stretch!Q88</f>
        <v>0</v>
      </c>
      <c r="L122" s="861">
        <f>IT!M21</f>
        <v>0</v>
      </c>
      <c r="M122" s="985">
        <f>IF(L122&gt;0,N122/L122/N$8,0)</f>
        <v>0</v>
      </c>
      <c r="N122" s="678">
        <f>IT!O21+Stretch!T88</f>
        <v>0</v>
      </c>
      <c r="O122" s="861">
        <f>IT!P21</f>
        <v>0</v>
      </c>
      <c r="P122" s="985">
        <f>IF(O122&gt;0,Q122/O122/Q$8,0)</f>
        <v>0</v>
      </c>
      <c r="Q122" s="678">
        <f>IT!R21+Stretch!W88</f>
        <v>0</v>
      </c>
      <c r="R122" s="861">
        <f>IT!S21</f>
        <v>0</v>
      </c>
      <c r="S122" s="985">
        <f>IF(R122&gt;0,T122/R122/T$8,0)</f>
        <v>0</v>
      </c>
      <c r="T122" s="678">
        <f>IT!U21+Stretch!Z88</f>
        <v>0</v>
      </c>
      <c r="U122" s="861">
        <f>IT!V21</f>
        <v>0</v>
      </c>
      <c r="V122" s="985">
        <f>IF(U122&gt;0,W122/U122/W$8,0)</f>
        <v>0</v>
      </c>
      <c r="W122" s="678">
        <f>IT!X21+Stretch!AC88</f>
        <v>0</v>
      </c>
      <c r="X122" s="861">
        <f>IT!Y21</f>
        <v>0</v>
      </c>
      <c r="Y122" s="985">
        <f>IF(X122&gt;0,Z122/X122/Z$8,0)</f>
        <v>0</v>
      </c>
      <c r="Z122" s="678">
        <f>IT!AA21+Stretch!AF88</f>
        <v>0</v>
      </c>
      <c r="AA122" s="861">
        <f>IT!AB21</f>
        <v>0</v>
      </c>
      <c r="AB122" s="985">
        <f>IF(AA122&gt;0,AC122/AA122/AC$8,0)</f>
        <v>0</v>
      </c>
      <c r="AC122" s="678">
        <f>IT!AD21+Stretch!AI88</f>
        <v>0</v>
      </c>
      <c r="AD122" s="861">
        <f>IT!AE21</f>
        <v>0</v>
      </c>
      <c r="AE122" s="985">
        <f>IF(AD122&gt;0,AF122/AD122/AF$8,0)</f>
        <v>0</v>
      </c>
      <c r="AF122" s="678">
        <f>IT!AG21+Stretch!AL88</f>
        <v>0</v>
      </c>
      <c r="AG122" s="861">
        <f>IT!AH21</f>
        <v>0</v>
      </c>
      <c r="AH122" s="985">
        <f>IF(AG122&gt;0,AI122/AG122/AI$8,0)</f>
        <v>0</v>
      </c>
      <c r="AI122" s="678">
        <f>IT!AJ21+Stretch!AO88</f>
        <v>0</v>
      </c>
      <c r="AJ122" s="861">
        <f>IT!AK21</f>
        <v>0</v>
      </c>
      <c r="AK122" s="985">
        <f>IF(AJ122&gt;0,AL122/AJ122/AL$8,0)</f>
        <v>0</v>
      </c>
      <c r="AL122" s="678">
        <f>IT!AM21+Stretch!AR88</f>
        <v>0</v>
      </c>
      <c r="AO122" s="678">
        <f t="shared" si="1"/>
        <v>0</v>
      </c>
      <c r="AR122" s="678">
        <f t="shared" si="2"/>
        <v>0</v>
      </c>
      <c r="AU122" s="678">
        <f t="shared" si="3"/>
        <v>0</v>
      </c>
      <c r="AX122" s="678">
        <f t="shared" si="4"/>
        <v>0</v>
      </c>
      <c r="BA122" s="678">
        <f t="shared" si="5"/>
        <v>0</v>
      </c>
      <c r="BD122" s="678">
        <f t="shared" si="6"/>
        <v>0</v>
      </c>
      <c r="BG122" s="678">
        <f t="shared" si="7"/>
        <v>0</v>
      </c>
      <c r="BJ122" s="678">
        <f t="shared" si="8"/>
        <v>0</v>
      </c>
      <c r="BM122" s="678">
        <f t="shared" si="9"/>
        <v>0</v>
      </c>
      <c r="BP122" s="678">
        <f t="shared" si="10"/>
        <v>0</v>
      </c>
      <c r="BS122" s="678">
        <f t="shared" si="11"/>
        <v>0</v>
      </c>
      <c r="BV122" s="678">
        <f t="shared" si="12"/>
        <v>0</v>
      </c>
    </row>
    <row r="123" spans="1:74" s="41" customFormat="1" x14ac:dyDescent="0.2">
      <c r="A123" s="41" t="s">
        <v>154</v>
      </c>
      <c r="B123" s="48" t="s">
        <v>77</v>
      </c>
      <c r="C123" s="861">
        <f>IT!D22</f>
        <v>0</v>
      </c>
      <c r="D123" s="985">
        <f>IF(C123&gt;0,E123/C123/E$8,0)</f>
        <v>0</v>
      </c>
      <c r="E123" s="678">
        <f>IT!F22+Stretch!K89</f>
        <v>0</v>
      </c>
      <c r="F123" s="861">
        <f>IT!G22</f>
        <v>0</v>
      </c>
      <c r="G123" s="985">
        <f>IF(F123&gt;0,H123/F123/H$8,0)</f>
        <v>0</v>
      </c>
      <c r="H123" s="678">
        <f>IT!I22+Stretch!N89</f>
        <v>0</v>
      </c>
      <c r="I123" s="861">
        <f>IT!J22</f>
        <v>0</v>
      </c>
      <c r="J123" s="985">
        <f>IF(I123&gt;0,K123/I123/K$8,0)</f>
        <v>0</v>
      </c>
      <c r="K123" s="678">
        <f>IT!L22+Stretch!Q89</f>
        <v>0</v>
      </c>
      <c r="L123" s="861">
        <f>IT!M22</f>
        <v>0</v>
      </c>
      <c r="M123" s="985">
        <f>IF(L123&gt;0,N123/L123/N$8,0)</f>
        <v>0</v>
      </c>
      <c r="N123" s="678">
        <f>IT!O22+Stretch!T89</f>
        <v>0</v>
      </c>
      <c r="O123" s="861">
        <f>IT!P22</f>
        <v>0</v>
      </c>
      <c r="P123" s="985">
        <f>IF(O123&gt;0,Q123/O123/Q$8,0)</f>
        <v>0</v>
      </c>
      <c r="Q123" s="678">
        <f>IT!R22+Stretch!W89</f>
        <v>0</v>
      </c>
      <c r="R123" s="861">
        <f>IT!S22</f>
        <v>0</v>
      </c>
      <c r="S123" s="985">
        <f>IF(R123&gt;0,T123/R123/T$8,0)</f>
        <v>0</v>
      </c>
      <c r="T123" s="678">
        <f>IT!U22+Stretch!Z89</f>
        <v>0</v>
      </c>
      <c r="U123" s="861">
        <f>IT!V22</f>
        <v>0</v>
      </c>
      <c r="V123" s="985">
        <f>IF(U123&gt;0,W123/U123/W$8,0)</f>
        <v>0</v>
      </c>
      <c r="W123" s="678">
        <f>IT!X22+Stretch!AC89</f>
        <v>0</v>
      </c>
      <c r="X123" s="861">
        <f>IT!Y22</f>
        <v>0</v>
      </c>
      <c r="Y123" s="985">
        <f>IF(X123&gt;0,Z123/X123/Z$8,0)</f>
        <v>0</v>
      </c>
      <c r="Z123" s="678">
        <f>IT!AA22+Stretch!AF89</f>
        <v>0</v>
      </c>
      <c r="AA123" s="861">
        <f>IT!AB22</f>
        <v>0</v>
      </c>
      <c r="AB123" s="985">
        <f>IF(AA123&gt;0,AC123/AA123/AC$8,0)</f>
        <v>0</v>
      </c>
      <c r="AC123" s="678">
        <f>IT!AD22+Stretch!AI89</f>
        <v>0</v>
      </c>
      <c r="AD123" s="861">
        <f>IT!AE22</f>
        <v>0</v>
      </c>
      <c r="AE123" s="985">
        <f>IF(AD123&gt;0,AF123/AD123/AF$8,0)</f>
        <v>0</v>
      </c>
      <c r="AF123" s="678">
        <f>IT!AG22+Stretch!AL89</f>
        <v>0</v>
      </c>
      <c r="AG123" s="861">
        <f>IT!AH22</f>
        <v>0</v>
      </c>
      <c r="AH123" s="985">
        <f>IF(AG123&gt;0,AI123/AG123/AI$8,0)</f>
        <v>0</v>
      </c>
      <c r="AI123" s="678">
        <f>IT!AJ22+Stretch!AO89</f>
        <v>0</v>
      </c>
      <c r="AJ123" s="861">
        <f>IT!AK22</f>
        <v>0</v>
      </c>
      <c r="AK123" s="985">
        <f>IF(AJ123&gt;0,AL123/AJ123/AL$8,0)</f>
        <v>0</v>
      </c>
      <c r="AL123" s="678">
        <f>IT!AM22+Stretch!AR89</f>
        <v>0</v>
      </c>
      <c r="AO123" s="678">
        <f t="shared" si="1"/>
        <v>0</v>
      </c>
      <c r="AR123" s="678">
        <f t="shared" si="2"/>
        <v>0</v>
      </c>
      <c r="AU123" s="678">
        <f t="shared" si="3"/>
        <v>0</v>
      </c>
      <c r="AX123" s="678">
        <f t="shared" si="4"/>
        <v>0</v>
      </c>
      <c r="BA123" s="678">
        <f t="shared" si="5"/>
        <v>0</v>
      </c>
      <c r="BD123" s="678">
        <f t="shared" si="6"/>
        <v>0</v>
      </c>
      <c r="BG123" s="678">
        <f t="shared" si="7"/>
        <v>0</v>
      </c>
      <c r="BJ123" s="678">
        <f t="shared" si="8"/>
        <v>0</v>
      </c>
      <c r="BM123" s="678">
        <f t="shared" si="9"/>
        <v>0</v>
      </c>
      <c r="BP123" s="678">
        <f t="shared" si="10"/>
        <v>0</v>
      </c>
      <c r="BS123" s="678">
        <f t="shared" si="11"/>
        <v>0</v>
      </c>
      <c r="BV123" s="678">
        <f t="shared" si="12"/>
        <v>0</v>
      </c>
    </row>
    <row r="124" spans="1:74" s="117" customFormat="1" x14ac:dyDescent="0.2">
      <c r="A124" s="117" t="s">
        <v>129</v>
      </c>
      <c r="B124" s="112"/>
      <c r="C124" s="863"/>
      <c r="D124" s="994"/>
      <c r="E124" s="727">
        <f>SUM(E122:E123)</f>
        <v>0</v>
      </c>
      <c r="F124" s="863"/>
      <c r="G124" s="994"/>
      <c r="H124" s="727">
        <f>SUM(H122:H123)</f>
        <v>0</v>
      </c>
      <c r="I124" s="863"/>
      <c r="J124" s="994"/>
      <c r="K124" s="727">
        <f>SUM(K122:K123)</f>
        <v>0</v>
      </c>
      <c r="L124" s="863"/>
      <c r="M124" s="994"/>
      <c r="N124" s="727">
        <f>SUM(N122:N123)</f>
        <v>0</v>
      </c>
      <c r="O124" s="863"/>
      <c r="P124" s="994"/>
      <c r="Q124" s="727">
        <f>SUM(Q122:Q123)</f>
        <v>0</v>
      </c>
      <c r="R124" s="863"/>
      <c r="S124" s="994"/>
      <c r="T124" s="727">
        <f>SUM(T122:T123)</f>
        <v>0</v>
      </c>
      <c r="U124" s="863"/>
      <c r="V124" s="994"/>
      <c r="W124" s="727">
        <f>SUM(W122:W123)</f>
        <v>0</v>
      </c>
      <c r="X124" s="863"/>
      <c r="Y124" s="994"/>
      <c r="Z124" s="727">
        <f>SUM(Z122:Z123)</f>
        <v>0</v>
      </c>
      <c r="AA124" s="863"/>
      <c r="AB124" s="994"/>
      <c r="AC124" s="727">
        <f>SUM(AC122:AC123)</f>
        <v>0</v>
      </c>
      <c r="AD124" s="863"/>
      <c r="AE124" s="994"/>
      <c r="AF124" s="727">
        <f>SUM(AF122:AF123)</f>
        <v>0</v>
      </c>
      <c r="AG124" s="863"/>
      <c r="AH124" s="994"/>
      <c r="AI124" s="727">
        <f>SUM(AI122:AI123)</f>
        <v>0</v>
      </c>
      <c r="AJ124" s="863"/>
      <c r="AK124" s="994"/>
      <c r="AL124" s="727">
        <f>SUM(AL122:AL123)</f>
        <v>0</v>
      </c>
      <c r="AO124" s="727">
        <f>SUM(AO122:AO123)</f>
        <v>0</v>
      </c>
      <c r="AR124" s="727">
        <f>SUM(AR122:AR123)</f>
        <v>0</v>
      </c>
      <c r="AU124" s="727">
        <f>SUM(AU122:AU123)</f>
        <v>0</v>
      </c>
      <c r="AX124" s="727">
        <f>SUM(AX122:AX123)</f>
        <v>0</v>
      </c>
      <c r="BA124" s="727">
        <f>SUM(BA122:BA123)</f>
        <v>0</v>
      </c>
      <c r="BD124" s="727">
        <f>SUM(BD122:BD123)</f>
        <v>0</v>
      </c>
      <c r="BG124" s="727">
        <f>SUM(BG122:BG123)</f>
        <v>0</v>
      </c>
      <c r="BJ124" s="727">
        <f>SUM(BJ122:BJ123)</f>
        <v>0</v>
      </c>
      <c r="BM124" s="727">
        <f>SUM(BM122:BM123)</f>
        <v>0</v>
      </c>
      <c r="BP124" s="727">
        <f>SUM(BP122:BP123)</f>
        <v>0</v>
      </c>
      <c r="BS124" s="727">
        <f>SUM(BS122:BS123)</f>
        <v>0</v>
      </c>
      <c r="BV124" s="727">
        <f>SUM(BV122:BV123)</f>
        <v>0</v>
      </c>
    </row>
    <row r="125" spans="1:74" s="41" customFormat="1" x14ac:dyDescent="0.2">
      <c r="A125" s="41" t="s">
        <v>155</v>
      </c>
      <c r="B125" s="48" t="s">
        <v>77</v>
      </c>
      <c r="C125" s="861">
        <f>IT!D24</f>
        <v>0</v>
      </c>
      <c r="D125" s="985">
        <f>IF(C125&gt;0,E125/C125/E$8,0)</f>
        <v>0</v>
      </c>
      <c r="E125" s="678">
        <f>IT!F24+Stretch!K91</f>
        <v>0</v>
      </c>
      <c r="F125" s="861">
        <f>IT!G24</f>
        <v>0</v>
      </c>
      <c r="G125" s="985">
        <f>IF(F125&gt;0,H125/F125/H$8,0)</f>
        <v>0</v>
      </c>
      <c r="H125" s="678">
        <f>IT!I24+Stretch!N91</f>
        <v>0</v>
      </c>
      <c r="I125" s="861">
        <f>IT!J24</f>
        <v>0</v>
      </c>
      <c r="J125" s="985">
        <f>IF(I125&gt;0,K125/I125/K$8,0)</f>
        <v>0</v>
      </c>
      <c r="K125" s="678">
        <f>IT!L24+Stretch!Q91</f>
        <v>0</v>
      </c>
      <c r="L125" s="861">
        <f>IT!M24</f>
        <v>0</v>
      </c>
      <c r="M125" s="985">
        <f>IF(L125&gt;0,N125/L125/N$8,0)</f>
        <v>0</v>
      </c>
      <c r="N125" s="678">
        <f>IT!O24+Stretch!T91</f>
        <v>0</v>
      </c>
      <c r="O125" s="861">
        <f>IT!P24</f>
        <v>0</v>
      </c>
      <c r="P125" s="985">
        <f>IF(O125&gt;0,Q125/O125/Q$8,0)</f>
        <v>0</v>
      </c>
      <c r="Q125" s="678">
        <f>IT!R24+Stretch!W91</f>
        <v>0</v>
      </c>
      <c r="R125" s="861">
        <f>IT!S24</f>
        <v>0</v>
      </c>
      <c r="S125" s="985">
        <f>IF(R125&gt;0,T125/R125/T$8,0)</f>
        <v>0</v>
      </c>
      <c r="T125" s="678">
        <f>IT!U24+Stretch!Z91</f>
        <v>0</v>
      </c>
      <c r="U125" s="861">
        <f>IT!V24</f>
        <v>0</v>
      </c>
      <c r="V125" s="985">
        <f>IF(U125&gt;0,W125/U125/W$8,0)</f>
        <v>0</v>
      </c>
      <c r="W125" s="678">
        <f>IT!X24+Stretch!AC91</f>
        <v>0</v>
      </c>
      <c r="X125" s="861">
        <f>IT!Y24</f>
        <v>0</v>
      </c>
      <c r="Y125" s="985">
        <f>IF(X125&gt;0,Z125/X125/Z$8,0)</f>
        <v>0</v>
      </c>
      <c r="Z125" s="678">
        <f>IT!AA24+Stretch!AF91</f>
        <v>0</v>
      </c>
      <c r="AA125" s="861">
        <f>IT!AB24</f>
        <v>0</v>
      </c>
      <c r="AB125" s="985">
        <f>IF(AA125&gt;0,AC125/AA125/AC$8,0)</f>
        <v>0</v>
      </c>
      <c r="AC125" s="678">
        <f>IT!AD24+Stretch!AI91</f>
        <v>0</v>
      </c>
      <c r="AD125" s="861">
        <f>IT!AE24</f>
        <v>0</v>
      </c>
      <c r="AE125" s="985">
        <f>IF(AD125&gt;0,AF125/AD125/AF$8,0)</f>
        <v>0</v>
      </c>
      <c r="AF125" s="678">
        <f>IT!AG24+Stretch!AL91</f>
        <v>0</v>
      </c>
      <c r="AG125" s="861">
        <f>IT!AH24</f>
        <v>0</v>
      </c>
      <c r="AH125" s="985">
        <f>IF(AG125&gt;0,AI125/AG125/AI$8,0)</f>
        <v>0</v>
      </c>
      <c r="AI125" s="678">
        <f>IT!AJ24+Stretch!AO91</f>
        <v>0</v>
      </c>
      <c r="AJ125" s="861">
        <f>IT!AK24</f>
        <v>0</v>
      </c>
      <c r="AK125" s="985">
        <f>IF(AJ125&gt;0,AL125/AJ125/AL$8,0)</f>
        <v>0</v>
      </c>
      <c r="AL125" s="678">
        <f>IT!AM24+Stretch!AR91</f>
        <v>0</v>
      </c>
      <c r="AO125" s="678">
        <f t="shared" si="1"/>
        <v>0</v>
      </c>
      <c r="AR125" s="678">
        <f t="shared" si="2"/>
        <v>0</v>
      </c>
      <c r="AU125" s="678">
        <f t="shared" si="3"/>
        <v>0</v>
      </c>
      <c r="AX125" s="678">
        <f t="shared" si="4"/>
        <v>0</v>
      </c>
      <c r="BA125" s="678">
        <f t="shared" si="5"/>
        <v>0</v>
      </c>
      <c r="BD125" s="678">
        <f t="shared" si="6"/>
        <v>0</v>
      </c>
      <c r="BG125" s="678">
        <f t="shared" si="7"/>
        <v>0</v>
      </c>
      <c r="BJ125" s="678">
        <f t="shared" si="8"/>
        <v>0</v>
      </c>
      <c r="BM125" s="678">
        <f t="shared" si="9"/>
        <v>0</v>
      </c>
      <c r="BP125" s="678">
        <f t="shared" si="10"/>
        <v>0</v>
      </c>
      <c r="BS125" s="678">
        <f t="shared" si="11"/>
        <v>0</v>
      </c>
      <c r="BV125" s="678">
        <f t="shared" si="12"/>
        <v>0</v>
      </c>
    </row>
    <row r="126" spans="1:74" s="41" customFormat="1" x14ac:dyDescent="0.2">
      <c r="A126" s="41" t="s">
        <v>156</v>
      </c>
      <c r="B126" s="48" t="s">
        <v>77</v>
      </c>
      <c r="C126" s="861">
        <f>IT!D25</f>
        <v>0</v>
      </c>
      <c r="D126" s="985">
        <f>IF(C126&gt;0,E126/C126/E$8,0)</f>
        <v>0</v>
      </c>
      <c r="E126" s="678">
        <f>IT!F25+Stretch!K92</f>
        <v>0</v>
      </c>
      <c r="F126" s="861">
        <f>IT!G25</f>
        <v>0</v>
      </c>
      <c r="G126" s="985">
        <f>IF(F126&gt;0,H126/F126/H$8,0)</f>
        <v>0</v>
      </c>
      <c r="H126" s="678">
        <f>IT!I25+Stretch!N92</f>
        <v>0</v>
      </c>
      <c r="I126" s="861">
        <f>IT!J25</f>
        <v>0</v>
      </c>
      <c r="J126" s="985">
        <f>IF(I126&gt;0,K126/I126/K$8,0)</f>
        <v>0</v>
      </c>
      <c r="K126" s="678">
        <f>IT!L25+Stretch!Q92</f>
        <v>0</v>
      </c>
      <c r="L126" s="861">
        <f>IT!M25</f>
        <v>0</v>
      </c>
      <c r="M126" s="985">
        <f>IF(L126&gt;0,N126/L126/N$8,0)</f>
        <v>0</v>
      </c>
      <c r="N126" s="678">
        <f>IT!O25+Stretch!T92</f>
        <v>0</v>
      </c>
      <c r="O126" s="861">
        <f>IT!P25</f>
        <v>0</v>
      </c>
      <c r="P126" s="985">
        <f>IF(O126&gt;0,Q126/O126/Q$8,0)</f>
        <v>0</v>
      </c>
      <c r="Q126" s="678">
        <f>IT!R25+Stretch!W92</f>
        <v>0</v>
      </c>
      <c r="R126" s="861">
        <f>IT!S25</f>
        <v>0</v>
      </c>
      <c r="S126" s="985">
        <f>IF(R126&gt;0,T126/R126/T$8,0)</f>
        <v>0</v>
      </c>
      <c r="T126" s="678">
        <f>IT!U25+Stretch!Z92</f>
        <v>0</v>
      </c>
      <c r="U126" s="861">
        <f>IT!V25</f>
        <v>0</v>
      </c>
      <c r="V126" s="985">
        <f>IF(U126&gt;0,W126/U126/W$8,0)</f>
        <v>0</v>
      </c>
      <c r="W126" s="678">
        <f>IT!X25+Stretch!AC92</f>
        <v>0</v>
      </c>
      <c r="X126" s="861">
        <f>IT!Y25</f>
        <v>0</v>
      </c>
      <c r="Y126" s="985">
        <f>IF(X126&gt;0,Z126/X126/Z$8,0)</f>
        <v>0</v>
      </c>
      <c r="Z126" s="678">
        <f>IT!AA25+Stretch!AF92</f>
        <v>0</v>
      </c>
      <c r="AA126" s="861">
        <f>IT!AB25</f>
        <v>0</v>
      </c>
      <c r="AB126" s="985">
        <f>IF(AA126&gt;0,AC126/AA126/AC$8,0)</f>
        <v>0</v>
      </c>
      <c r="AC126" s="678">
        <f>IT!AD25+Stretch!AI92</f>
        <v>0</v>
      </c>
      <c r="AD126" s="861">
        <f>IT!AE25</f>
        <v>0</v>
      </c>
      <c r="AE126" s="985">
        <f>IF(AD126&gt;0,AF126/AD126/AF$8,0)</f>
        <v>0</v>
      </c>
      <c r="AF126" s="678">
        <f>IT!AG25+Stretch!AL92</f>
        <v>0</v>
      </c>
      <c r="AG126" s="861">
        <f>IT!AH25</f>
        <v>0</v>
      </c>
      <c r="AH126" s="985">
        <f>IF(AG126&gt;0,AI126/AG126/AI$8,0)</f>
        <v>0</v>
      </c>
      <c r="AI126" s="678">
        <f>IT!AJ25+Stretch!AO92</f>
        <v>0</v>
      </c>
      <c r="AJ126" s="861">
        <f>IT!AK25</f>
        <v>0</v>
      </c>
      <c r="AK126" s="985">
        <f>IF(AJ126&gt;0,AL126/AJ126/AL$8,0)</f>
        <v>0</v>
      </c>
      <c r="AL126" s="678">
        <f>IT!AM25+Stretch!AR92</f>
        <v>0</v>
      </c>
      <c r="AO126" s="678">
        <f t="shared" si="1"/>
        <v>0</v>
      </c>
      <c r="AR126" s="678">
        <f t="shared" si="2"/>
        <v>0</v>
      </c>
      <c r="AU126" s="678">
        <f t="shared" si="3"/>
        <v>0</v>
      </c>
      <c r="AX126" s="678">
        <f t="shared" si="4"/>
        <v>0</v>
      </c>
      <c r="BA126" s="678">
        <f t="shared" si="5"/>
        <v>0</v>
      </c>
      <c r="BD126" s="678">
        <f t="shared" si="6"/>
        <v>0</v>
      </c>
      <c r="BG126" s="678">
        <f t="shared" si="7"/>
        <v>0</v>
      </c>
      <c r="BJ126" s="678">
        <f t="shared" si="8"/>
        <v>0</v>
      </c>
      <c r="BM126" s="678">
        <f t="shared" si="9"/>
        <v>0</v>
      </c>
      <c r="BP126" s="678">
        <f t="shared" si="10"/>
        <v>0</v>
      </c>
      <c r="BS126" s="678">
        <f t="shared" si="11"/>
        <v>0</v>
      </c>
      <c r="BV126" s="678">
        <f t="shared" si="12"/>
        <v>0</v>
      </c>
    </row>
    <row r="127" spans="1:74" s="41" customFormat="1" x14ac:dyDescent="0.2">
      <c r="A127" s="41" t="s">
        <v>157</v>
      </c>
      <c r="B127" s="48" t="s">
        <v>77</v>
      </c>
      <c r="C127" s="861">
        <f>IT!D26</f>
        <v>0</v>
      </c>
      <c r="D127" s="985">
        <f>IF(C127&gt;0,E127/C127/E$8,0)</f>
        <v>0</v>
      </c>
      <c r="E127" s="678">
        <f>IT!F26+Stretch!K93</f>
        <v>0</v>
      </c>
      <c r="F127" s="861">
        <f>IT!G26</f>
        <v>0</v>
      </c>
      <c r="G127" s="985">
        <f>IF(F127&gt;0,H127/F127/H$8,0)</f>
        <v>0</v>
      </c>
      <c r="H127" s="678">
        <f>IT!I26+Stretch!N93</f>
        <v>0</v>
      </c>
      <c r="I127" s="861">
        <f>IT!J26</f>
        <v>0</v>
      </c>
      <c r="J127" s="985">
        <f>IF(I127&gt;0,K127/I127/K$8,0)</f>
        <v>0</v>
      </c>
      <c r="K127" s="678">
        <f>IT!L26+Stretch!Q93</f>
        <v>0</v>
      </c>
      <c r="L127" s="861">
        <f>IT!M26</f>
        <v>0</v>
      </c>
      <c r="M127" s="985">
        <f>IF(L127&gt;0,N127/L127/N$8,0)</f>
        <v>0</v>
      </c>
      <c r="N127" s="678">
        <f>IT!O26+Stretch!T93</f>
        <v>0</v>
      </c>
      <c r="O127" s="861">
        <f>IT!P26</f>
        <v>0</v>
      </c>
      <c r="P127" s="985">
        <f>IF(O127&gt;0,Q127/O127/Q$8,0)</f>
        <v>0</v>
      </c>
      <c r="Q127" s="678">
        <f>IT!R26+Stretch!W93</f>
        <v>0</v>
      </c>
      <c r="R127" s="861">
        <f>IT!S26</f>
        <v>0</v>
      </c>
      <c r="S127" s="985">
        <f>IF(R127&gt;0,T127/R127/T$8,0)</f>
        <v>0</v>
      </c>
      <c r="T127" s="678">
        <f>IT!U26+Stretch!Z93</f>
        <v>0</v>
      </c>
      <c r="U127" s="861">
        <f>IT!V26</f>
        <v>0</v>
      </c>
      <c r="V127" s="985">
        <f>IF(U127&gt;0,W127/U127/W$8,0)</f>
        <v>0</v>
      </c>
      <c r="W127" s="678">
        <f>IT!X26+Stretch!AC93</f>
        <v>0</v>
      </c>
      <c r="X127" s="861">
        <f>IT!Y26</f>
        <v>0</v>
      </c>
      <c r="Y127" s="985">
        <f>IF(X127&gt;0,Z127/X127/Z$8,0)</f>
        <v>0</v>
      </c>
      <c r="Z127" s="678">
        <f>IT!AA26+Stretch!AF93</f>
        <v>0</v>
      </c>
      <c r="AA127" s="861">
        <f>IT!AB26</f>
        <v>0</v>
      </c>
      <c r="AB127" s="985">
        <f>IF(AA127&gt;0,AC127/AA127/AC$8,0)</f>
        <v>0</v>
      </c>
      <c r="AC127" s="678">
        <f>IT!AD26+Stretch!AI93</f>
        <v>0</v>
      </c>
      <c r="AD127" s="861">
        <f>IT!AE26</f>
        <v>0</v>
      </c>
      <c r="AE127" s="985">
        <f>IF(AD127&gt;0,AF127/AD127/AF$8,0)</f>
        <v>0</v>
      </c>
      <c r="AF127" s="678">
        <f>IT!AG26+Stretch!AL93</f>
        <v>0</v>
      </c>
      <c r="AG127" s="861">
        <f>IT!AH26</f>
        <v>0</v>
      </c>
      <c r="AH127" s="985">
        <f>IF(AG127&gt;0,AI127/AG127/AI$8,0)</f>
        <v>0</v>
      </c>
      <c r="AI127" s="678">
        <f>IT!AJ26+Stretch!AO93</f>
        <v>0</v>
      </c>
      <c r="AJ127" s="861">
        <f>IT!AK26</f>
        <v>0</v>
      </c>
      <c r="AK127" s="985">
        <f>IF(AJ127&gt;0,AL127/AJ127/AL$8,0)</f>
        <v>0</v>
      </c>
      <c r="AL127" s="678">
        <f>IT!AM26+Stretch!AR93</f>
        <v>0</v>
      </c>
      <c r="AO127" s="678">
        <f t="shared" si="1"/>
        <v>0</v>
      </c>
      <c r="AR127" s="678">
        <f t="shared" si="2"/>
        <v>0</v>
      </c>
      <c r="AU127" s="678">
        <f t="shared" si="3"/>
        <v>0</v>
      </c>
      <c r="AX127" s="678">
        <f t="shared" si="4"/>
        <v>0</v>
      </c>
      <c r="BA127" s="678">
        <f t="shared" si="5"/>
        <v>0</v>
      </c>
      <c r="BD127" s="678">
        <f t="shared" si="6"/>
        <v>0</v>
      </c>
      <c r="BG127" s="678">
        <f t="shared" si="7"/>
        <v>0</v>
      </c>
      <c r="BJ127" s="678">
        <f t="shared" si="8"/>
        <v>0</v>
      </c>
      <c r="BM127" s="678">
        <f t="shared" si="9"/>
        <v>0</v>
      </c>
      <c r="BP127" s="678">
        <f t="shared" si="10"/>
        <v>0</v>
      </c>
      <c r="BS127" s="678">
        <f t="shared" si="11"/>
        <v>0</v>
      </c>
      <c r="BV127" s="678">
        <f t="shared" si="12"/>
        <v>0</v>
      </c>
    </row>
    <row r="128" spans="1:74" s="41" customFormat="1" x14ac:dyDescent="0.2">
      <c r="A128" s="41" t="s">
        <v>158</v>
      </c>
      <c r="B128" s="48" t="s">
        <v>77</v>
      </c>
      <c r="C128" s="861">
        <f>IT!D27</f>
        <v>0</v>
      </c>
      <c r="D128" s="985">
        <f>IF(C128&gt;0,E128/C128/E$8,0)</f>
        <v>0</v>
      </c>
      <c r="E128" s="678">
        <f>IT!F27+Stretch!K94</f>
        <v>75000</v>
      </c>
      <c r="F128" s="861">
        <f>IT!G27</f>
        <v>0</v>
      </c>
      <c r="G128" s="985">
        <f>IF(F128&gt;0,H128/F128/H$8,0)</f>
        <v>0</v>
      </c>
      <c r="H128" s="678">
        <f>IT!I27+Stretch!N94</f>
        <v>75000</v>
      </c>
      <c r="I128" s="861">
        <f>IT!J27</f>
        <v>0</v>
      </c>
      <c r="J128" s="985">
        <f>IF(I128&gt;0,K128/I128/K$8,0)</f>
        <v>0</v>
      </c>
      <c r="K128" s="678">
        <f>IT!L27+Stretch!Q94</f>
        <v>50000</v>
      </c>
      <c r="L128" s="861">
        <f>IT!M27</f>
        <v>0</v>
      </c>
      <c r="M128" s="985">
        <f>IF(L128&gt;0,N128/L128/N$8,0)</f>
        <v>0</v>
      </c>
      <c r="N128" s="678">
        <f>IT!O27+Stretch!T94</f>
        <v>100000</v>
      </c>
      <c r="O128" s="861">
        <f>IT!P27</f>
        <v>0</v>
      </c>
      <c r="P128" s="985">
        <f>IF(O128&gt;0,Q128/O128/Q$8,0)</f>
        <v>0</v>
      </c>
      <c r="Q128" s="678">
        <f>IT!R27+Stretch!W94</f>
        <v>100000</v>
      </c>
      <c r="R128" s="861">
        <f>IT!S27</f>
        <v>0</v>
      </c>
      <c r="S128" s="985">
        <f>IF(R128&gt;0,T128/R128/T$8,0)</f>
        <v>0</v>
      </c>
      <c r="T128" s="678">
        <f>IT!U27+Stretch!Z94</f>
        <v>100000</v>
      </c>
      <c r="U128" s="861">
        <f>IT!V27</f>
        <v>0</v>
      </c>
      <c r="V128" s="985">
        <f>IF(U128&gt;0,W128/U128/W$8,0)</f>
        <v>0</v>
      </c>
      <c r="W128" s="678">
        <f>IT!X27+Stretch!AC94</f>
        <v>100000</v>
      </c>
      <c r="X128" s="861">
        <f>IT!Y27</f>
        <v>0</v>
      </c>
      <c r="Y128" s="985">
        <f>IF(X128&gt;0,Z128/X128/Z$8,0)</f>
        <v>0</v>
      </c>
      <c r="Z128" s="678">
        <f>IT!AA27+Stretch!AF94</f>
        <v>100000</v>
      </c>
      <c r="AA128" s="861">
        <f>IT!AB27</f>
        <v>0</v>
      </c>
      <c r="AB128" s="985">
        <f>IF(AA128&gt;0,AC128/AA128/AC$8,0)</f>
        <v>0</v>
      </c>
      <c r="AC128" s="678">
        <f>IT!AD27+Stretch!AI94</f>
        <v>75000</v>
      </c>
      <c r="AD128" s="861">
        <f>IT!AE27</f>
        <v>0</v>
      </c>
      <c r="AE128" s="985">
        <f>IF(AD128&gt;0,AF128/AD128/AF$8,0)</f>
        <v>0</v>
      </c>
      <c r="AF128" s="678">
        <f>IT!AG27+Stretch!AL94</f>
        <v>75000</v>
      </c>
      <c r="AG128" s="861">
        <f>IT!AH27</f>
        <v>0</v>
      </c>
      <c r="AH128" s="985">
        <f>IF(AG128&gt;0,AI128/AG128/AI$8,0)</f>
        <v>0</v>
      </c>
      <c r="AI128" s="678">
        <f>IT!AJ27+Stretch!AO94</f>
        <v>75000</v>
      </c>
      <c r="AJ128" s="861">
        <f>IT!AK27</f>
        <v>0</v>
      </c>
      <c r="AK128" s="985">
        <f>IF(AJ128&gt;0,AL128/AJ128/AL$8,0)</f>
        <v>0</v>
      </c>
      <c r="AL128" s="678">
        <f>IT!AM27+Stretch!AR94</f>
        <v>75000</v>
      </c>
      <c r="AO128" s="678">
        <f t="shared" si="1"/>
        <v>0</v>
      </c>
      <c r="AR128" s="678">
        <f t="shared" si="2"/>
        <v>0</v>
      </c>
      <c r="AU128" s="678">
        <f t="shared" si="3"/>
        <v>0</v>
      </c>
      <c r="AX128" s="678">
        <f t="shared" si="4"/>
        <v>0</v>
      </c>
      <c r="BA128" s="678">
        <f t="shared" si="5"/>
        <v>0</v>
      </c>
      <c r="BD128" s="678">
        <f t="shared" si="6"/>
        <v>0</v>
      </c>
      <c r="BG128" s="678">
        <f t="shared" si="7"/>
        <v>0</v>
      </c>
      <c r="BJ128" s="678">
        <f t="shared" si="8"/>
        <v>0</v>
      </c>
      <c r="BM128" s="678">
        <f t="shared" si="9"/>
        <v>0</v>
      </c>
      <c r="BP128" s="678">
        <f t="shared" si="10"/>
        <v>0</v>
      </c>
      <c r="BS128" s="678">
        <f t="shared" si="11"/>
        <v>0</v>
      </c>
      <c r="BV128" s="678">
        <f t="shared" si="12"/>
        <v>0</v>
      </c>
    </row>
    <row r="129" spans="1:154" s="41" customFormat="1" x14ac:dyDescent="0.2">
      <c r="A129" s="41" t="s">
        <v>159</v>
      </c>
      <c r="B129" s="48" t="s">
        <v>77</v>
      </c>
      <c r="C129" s="861">
        <f>IT!D28</f>
        <v>0</v>
      </c>
      <c r="D129" s="985">
        <f>IF(C129&gt;0,E129/C129/E$8,0)</f>
        <v>0</v>
      </c>
      <c r="E129" s="678">
        <f>IT!F28+Stretch!K95</f>
        <v>0</v>
      </c>
      <c r="F129" s="861">
        <f>IT!G28</f>
        <v>0</v>
      </c>
      <c r="G129" s="985">
        <f>IF(F129&gt;0,H129/F129/H$8,0)</f>
        <v>0</v>
      </c>
      <c r="H129" s="678">
        <f>IT!I28+Stretch!N95</f>
        <v>0</v>
      </c>
      <c r="I129" s="861">
        <f>IT!J28</f>
        <v>0</v>
      </c>
      <c r="J129" s="985">
        <f>IF(I129&gt;0,K129/I129/K$8,0)</f>
        <v>0</v>
      </c>
      <c r="K129" s="678">
        <f>IT!L28+Stretch!Q95</f>
        <v>0</v>
      </c>
      <c r="L129" s="861">
        <f>IT!M28</f>
        <v>0</v>
      </c>
      <c r="M129" s="985">
        <f>IF(L129&gt;0,N129/L129/N$8,0)</f>
        <v>0</v>
      </c>
      <c r="N129" s="678">
        <f>IT!O28+Stretch!T95</f>
        <v>0</v>
      </c>
      <c r="O129" s="861">
        <f>IT!P28</f>
        <v>0</v>
      </c>
      <c r="P129" s="985">
        <f>IF(O129&gt;0,Q129/O129/Q$8,0)</f>
        <v>0</v>
      </c>
      <c r="Q129" s="678">
        <f>IT!R28+Stretch!W95</f>
        <v>0</v>
      </c>
      <c r="R129" s="861">
        <f>IT!S28</f>
        <v>0</v>
      </c>
      <c r="S129" s="985">
        <f>IF(R129&gt;0,T129/R129/T$8,0)</f>
        <v>0</v>
      </c>
      <c r="T129" s="678">
        <f>IT!U28+Stretch!Z95</f>
        <v>0</v>
      </c>
      <c r="U129" s="861">
        <f>IT!V28</f>
        <v>0</v>
      </c>
      <c r="V129" s="985">
        <f>IF(U129&gt;0,W129/U129/W$8,0)</f>
        <v>0</v>
      </c>
      <c r="W129" s="678">
        <f>IT!X28+Stretch!AC95</f>
        <v>0</v>
      </c>
      <c r="X129" s="861">
        <f>IT!Y28</f>
        <v>0</v>
      </c>
      <c r="Y129" s="985">
        <f>IF(X129&gt;0,Z129/X129/Z$8,0)</f>
        <v>0</v>
      </c>
      <c r="Z129" s="678">
        <f>IT!AA28+Stretch!AF95</f>
        <v>0</v>
      </c>
      <c r="AA129" s="861">
        <f>IT!AB28</f>
        <v>0</v>
      </c>
      <c r="AB129" s="985">
        <f>IF(AA129&gt;0,AC129/AA129/AC$8,0)</f>
        <v>0</v>
      </c>
      <c r="AC129" s="678">
        <f>IT!AD28+Stretch!AI95</f>
        <v>0</v>
      </c>
      <c r="AD129" s="861">
        <f>IT!AE28</f>
        <v>0</v>
      </c>
      <c r="AE129" s="985">
        <f>IF(AD129&gt;0,AF129/AD129/AF$8,0)</f>
        <v>0</v>
      </c>
      <c r="AF129" s="678">
        <f>IT!AG28+Stretch!AL95</f>
        <v>0</v>
      </c>
      <c r="AG129" s="861">
        <f>IT!AH28</f>
        <v>0</v>
      </c>
      <c r="AH129" s="985">
        <f>IF(AG129&gt;0,AI129/AG129/AI$8,0)</f>
        <v>0</v>
      </c>
      <c r="AI129" s="678">
        <f>IT!AJ28+Stretch!AO95</f>
        <v>0</v>
      </c>
      <c r="AJ129" s="861">
        <f>IT!AK28</f>
        <v>0</v>
      </c>
      <c r="AK129" s="985">
        <f>IF(AJ129&gt;0,AL129/AJ129/AL$8,0)</f>
        <v>0</v>
      </c>
      <c r="AL129" s="678">
        <f>IT!AM28+Stretch!AR95</f>
        <v>0</v>
      </c>
      <c r="AO129" s="678">
        <f t="shared" si="1"/>
        <v>0</v>
      </c>
      <c r="AR129" s="678">
        <f t="shared" si="2"/>
        <v>0</v>
      </c>
      <c r="AU129" s="678">
        <f t="shared" si="3"/>
        <v>0</v>
      </c>
      <c r="AX129" s="678">
        <f t="shared" si="4"/>
        <v>0</v>
      </c>
      <c r="BA129" s="678">
        <f t="shared" si="5"/>
        <v>0</v>
      </c>
      <c r="BD129" s="678">
        <f t="shared" si="6"/>
        <v>0</v>
      </c>
      <c r="BG129" s="678">
        <f t="shared" si="7"/>
        <v>0</v>
      </c>
      <c r="BJ129" s="678">
        <f t="shared" si="8"/>
        <v>0</v>
      </c>
      <c r="BM129" s="678">
        <f t="shared" si="9"/>
        <v>0</v>
      </c>
      <c r="BP129" s="678">
        <f t="shared" si="10"/>
        <v>0</v>
      </c>
      <c r="BS129" s="678">
        <f t="shared" si="11"/>
        <v>0</v>
      </c>
      <c r="BV129" s="678">
        <f t="shared" si="12"/>
        <v>0</v>
      </c>
    </row>
    <row r="130" spans="1:154" s="117" customFormat="1" x14ac:dyDescent="0.2">
      <c r="A130" s="117" t="s">
        <v>92</v>
      </c>
      <c r="C130" s="863"/>
      <c r="D130" s="864"/>
      <c r="E130" s="727">
        <f>SUM(E125:E129)</f>
        <v>75000</v>
      </c>
      <c r="F130" s="863"/>
      <c r="G130" s="864"/>
      <c r="H130" s="727">
        <f>SUM(H125:H129)</f>
        <v>75000</v>
      </c>
      <c r="I130" s="863"/>
      <c r="J130" s="864"/>
      <c r="K130" s="727">
        <f>SUM(K125:K129)</f>
        <v>50000</v>
      </c>
      <c r="L130" s="863"/>
      <c r="M130" s="864"/>
      <c r="N130" s="727">
        <f>SUM(N125:N129)</f>
        <v>100000</v>
      </c>
      <c r="O130" s="863"/>
      <c r="P130" s="864"/>
      <c r="Q130" s="727">
        <f>SUM(Q125:Q129)</f>
        <v>100000</v>
      </c>
      <c r="R130" s="863"/>
      <c r="S130" s="864"/>
      <c r="T130" s="727">
        <f>SUM(T125:T129)</f>
        <v>100000</v>
      </c>
      <c r="U130" s="863"/>
      <c r="V130" s="864"/>
      <c r="W130" s="727">
        <f>SUM(W125:W129)</f>
        <v>100000</v>
      </c>
      <c r="X130" s="863"/>
      <c r="Y130" s="864"/>
      <c r="Z130" s="727">
        <f>SUM(Z125:Z129)</f>
        <v>100000</v>
      </c>
      <c r="AA130" s="863"/>
      <c r="AB130" s="864"/>
      <c r="AC130" s="727">
        <f>SUM(AC125:AC129)</f>
        <v>75000</v>
      </c>
      <c r="AD130" s="863"/>
      <c r="AE130" s="864"/>
      <c r="AF130" s="727">
        <f>SUM(AF125:AF129)</f>
        <v>75000</v>
      </c>
      <c r="AG130" s="863"/>
      <c r="AH130" s="864"/>
      <c r="AI130" s="727">
        <f>SUM(AI125:AI129)</f>
        <v>75000</v>
      </c>
      <c r="AJ130" s="863"/>
      <c r="AK130" s="864"/>
      <c r="AL130" s="727">
        <f>SUM(AL125:AL129)</f>
        <v>75000</v>
      </c>
      <c r="AO130" s="727">
        <f>SUM(AO125:AO129)</f>
        <v>0</v>
      </c>
      <c r="AR130" s="727">
        <f>SUM(AR125:AR129)</f>
        <v>0</v>
      </c>
      <c r="AU130" s="727">
        <f>SUM(AU125:AU129)</f>
        <v>0</v>
      </c>
      <c r="AX130" s="727">
        <f>SUM(AX125:AX129)</f>
        <v>0</v>
      </c>
      <c r="BA130" s="727">
        <f>SUM(BA125:BA129)</f>
        <v>0</v>
      </c>
      <c r="BD130" s="727">
        <f>SUM(BD125:BD129)</f>
        <v>0</v>
      </c>
      <c r="BG130" s="727">
        <f>SUM(BG125:BG129)</f>
        <v>0</v>
      </c>
      <c r="BJ130" s="727">
        <f>SUM(BJ125:BJ129)</f>
        <v>0</v>
      </c>
      <c r="BM130" s="727">
        <f>SUM(BM125:BM129)</f>
        <v>0</v>
      </c>
      <c r="BP130" s="727">
        <f>SUM(BP125:BP129)</f>
        <v>0</v>
      </c>
      <c r="BS130" s="727">
        <f>SUM(BS125:BS129)</f>
        <v>0</v>
      </c>
      <c r="BV130" s="727">
        <f>SUM(BV125:BV129)</f>
        <v>0</v>
      </c>
    </row>
    <row r="131" spans="1:154" x14ac:dyDescent="0.2">
      <c r="C131" s="861"/>
      <c r="D131" s="48"/>
      <c r="U131" s="861"/>
      <c r="V131" s="985"/>
      <c r="W131" s="678"/>
      <c r="AA131" s="48"/>
      <c r="AB131" s="48"/>
      <c r="AD131" s="48"/>
      <c r="AE131" s="48"/>
      <c r="AJ131" s="48"/>
      <c r="AK131" s="48"/>
    </row>
    <row r="132" spans="1:154" x14ac:dyDescent="0.2">
      <c r="U132" s="861"/>
      <c r="V132" s="985"/>
      <c r="W132" s="678"/>
    </row>
    <row r="133" spans="1:154" x14ac:dyDescent="0.2">
      <c r="U133" s="861"/>
      <c r="V133" s="985"/>
      <c r="W133" s="678"/>
    </row>
    <row r="134" spans="1:154" s="61" customFormat="1" x14ac:dyDescent="0.2">
      <c r="C134" s="668"/>
      <c r="D134" s="375"/>
      <c r="E134" s="679"/>
      <c r="F134" s="375"/>
      <c r="G134" s="375"/>
      <c r="H134" s="376"/>
      <c r="I134" s="375"/>
      <c r="J134" s="375"/>
      <c r="K134" s="376"/>
      <c r="L134" s="375"/>
      <c r="M134" s="375"/>
      <c r="N134" s="374"/>
      <c r="O134" s="448"/>
      <c r="P134" s="398"/>
      <c r="Q134" s="379"/>
      <c r="R134" s="378"/>
      <c r="S134" s="378"/>
      <c r="T134" s="379"/>
      <c r="U134" s="378"/>
      <c r="V134" s="378"/>
      <c r="W134" s="379"/>
      <c r="X134" s="378"/>
      <c r="Y134" s="378"/>
      <c r="Z134" s="379"/>
      <c r="AA134" s="378"/>
      <c r="AB134" s="395"/>
      <c r="AC134" s="404"/>
      <c r="AF134" s="404"/>
      <c r="AI134" s="404"/>
      <c r="AL134" s="404"/>
      <c r="AO134" s="404"/>
      <c r="AR134" s="404"/>
      <c r="AU134" s="404"/>
      <c r="AX134" s="404"/>
      <c r="BA134" s="404"/>
      <c r="BD134" s="404"/>
      <c r="BG134" s="404"/>
      <c r="BJ134" s="404"/>
      <c r="BM134" s="404"/>
      <c r="BP134" s="404"/>
      <c r="BS134" s="404"/>
      <c r="BV134" s="404"/>
    </row>
    <row r="135" spans="1:154" s="389" customFormat="1" x14ac:dyDescent="0.2">
      <c r="A135" s="418" t="s">
        <v>454</v>
      </c>
      <c r="B135" s="418" t="s">
        <v>445</v>
      </c>
      <c r="C135" s="669"/>
      <c r="D135" s="384"/>
      <c r="E135" s="681"/>
      <c r="F135" s="384"/>
      <c r="G135" s="384"/>
      <c r="H135" s="385"/>
      <c r="I135" s="384"/>
      <c r="J135" s="384"/>
      <c r="K135" s="385"/>
      <c r="L135" s="384"/>
      <c r="M135" s="384"/>
      <c r="N135" s="383"/>
      <c r="O135" s="697"/>
      <c r="P135" s="399"/>
      <c r="Q135" s="388"/>
      <c r="R135" s="387"/>
      <c r="S135" s="387"/>
      <c r="T135" s="388"/>
      <c r="U135" s="387"/>
      <c r="V135" s="387"/>
      <c r="W135" s="388"/>
      <c r="X135" s="387"/>
      <c r="Y135" s="387"/>
      <c r="Z135" s="388"/>
      <c r="AA135" s="387"/>
      <c r="AB135" s="396"/>
      <c r="AC135" s="405"/>
      <c r="AF135" s="405"/>
      <c r="AI135" s="405"/>
      <c r="AL135" s="405"/>
      <c r="AO135" s="405"/>
      <c r="AR135" s="405"/>
      <c r="AU135" s="405"/>
      <c r="AX135" s="405"/>
      <c r="BA135" s="405"/>
      <c r="BD135" s="405"/>
      <c r="BG135" s="405"/>
      <c r="BJ135" s="405"/>
      <c r="BM135" s="405"/>
      <c r="BP135" s="405"/>
      <c r="BS135" s="405"/>
      <c r="BV135" s="405"/>
    </row>
    <row r="136" spans="1:154" s="389" customFormat="1" x14ac:dyDescent="0.2">
      <c r="A136" s="381" t="s">
        <v>429</v>
      </c>
      <c r="B136" s="382"/>
      <c r="C136" s="669"/>
      <c r="D136" s="384"/>
      <c r="E136" s="681"/>
      <c r="F136" s="384"/>
      <c r="G136" s="384"/>
      <c r="H136" s="385"/>
      <c r="I136" s="384"/>
      <c r="J136" s="384"/>
      <c r="K136" s="385"/>
      <c r="L136" s="384"/>
      <c r="M136" s="384"/>
      <c r="N136" s="383"/>
      <c r="O136" s="697"/>
      <c r="P136" s="399"/>
      <c r="Q136" s="388"/>
      <c r="R136" s="387"/>
      <c r="S136" s="387"/>
      <c r="T136" s="388"/>
      <c r="U136" s="387"/>
      <c r="V136" s="387"/>
      <c r="W136" s="388"/>
      <c r="X136" s="387"/>
      <c r="Y136" s="387"/>
      <c r="Z136" s="388"/>
      <c r="AA136" s="387"/>
      <c r="AB136" s="396"/>
      <c r="AC136" s="405"/>
      <c r="AF136" s="405"/>
      <c r="AI136" s="405"/>
      <c r="AL136" s="405"/>
      <c r="AO136" s="405"/>
      <c r="AR136" s="405"/>
      <c r="AU136" s="405"/>
      <c r="AX136" s="405"/>
      <c r="BA136" s="405"/>
      <c r="BD136" s="405"/>
      <c r="BG136" s="405"/>
      <c r="BJ136" s="405"/>
      <c r="BM136" s="405"/>
      <c r="BP136" s="405"/>
      <c r="BS136" s="405"/>
      <c r="BV136" s="405"/>
    </row>
    <row r="137" spans="1:154" s="377" customFormat="1" x14ac:dyDescent="0.2">
      <c r="A137" s="377" t="s">
        <v>131</v>
      </c>
      <c r="B137" s="377" t="s">
        <v>52</v>
      </c>
      <c r="C137" s="668">
        <v>375000</v>
      </c>
      <c r="D137" s="378"/>
      <c r="E137" s="679"/>
      <c r="F137" s="395">
        <v>375000</v>
      </c>
      <c r="G137" s="378"/>
      <c r="H137" s="379"/>
      <c r="I137" s="395">
        <v>375000</v>
      </c>
      <c r="J137" s="378"/>
      <c r="K137" s="379"/>
      <c r="L137" s="395">
        <v>375000</v>
      </c>
      <c r="M137" s="378"/>
      <c r="N137" s="395"/>
      <c r="O137" s="704">
        <v>375000</v>
      </c>
      <c r="P137" s="705"/>
      <c r="Q137" s="379"/>
      <c r="R137" s="395">
        <v>375000</v>
      </c>
      <c r="S137" s="378"/>
      <c r="T137" s="379"/>
      <c r="U137" s="395">
        <v>375000</v>
      </c>
      <c r="V137" s="378"/>
      <c r="W137" s="379"/>
      <c r="X137" s="395">
        <v>375000</v>
      </c>
      <c r="Y137" s="378"/>
      <c r="Z137" s="379"/>
      <c r="AA137" s="395">
        <v>375000</v>
      </c>
      <c r="AB137" s="395"/>
      <c r="AC137" s="379"/>
      <c r="AD137" s="395">
        <v>375000</v>
      </c>
      <c r="AE137" s="378"/>
      <c r="AF137" s="379"/>
      <c r="AG137" s="395">
        <v>375000</v>
      </c>
      <c r="AH137" s="378"/>
      <c r="AI137" s="379"/>
      <c r="AJ137" s="395">
        <v>375000</v>
      </c>
      <c r="AK137" s="378"/>
      <c r="AL137" s="379"/>
      <c r="AM137" s="395">
        <v>375000</v>
      </c>
      <c r="AN137" s="378"/>
      <c r="AO137" s="379"/>
      <c r="AP137" s="395">
        <v>375000</v>
      </c>
      <c r="AQ137" s="378"/>
      <c r="AR137" s="379"/>
      <c r="AS137" s="395">
        <v>375000</v>
      </c>
      <c r="AT137" s="378"/>
      <c r="AU137" s="379"/>
      <c r="AV137" s="395">
        <v>5000</v>
      </c>
      <c r="AW137" s="378"/>
      <c r="AX137" s="379"/>
      <c r="AY137" s="395">
        <v>5000</v>
      </c>
      <c r="AZ137" s="378"/>
      <c r="BA137" s="379"/>
      <c r="BB137" s="395">
        <v>5000</v>
      </c>
      <c r="BC137" s="378"/>
      <c r="BD137" s="379"/>
      <c r="BE137" s="395">
        <v>0</v>
      </c>
      <c r="BF137" s="378"/>
      <c r="BG137" s="379"/>
      <c r="BH137" s="395">
        <v>0</v>
      </c>
      <c r="BI137" s="378"/>
      <c r="BJ137" s="379"/>
      <c r="BK137" s="395">
        <v>0</v>
      </c>
      <c r="BL137" s="378"/>
      <c r="BM137" s="379"/>
      <c r="BN137" s="395">
        <v>0</v>
      </c>
      <c r="BO137" s="378"/>
      <c r="BP137" s="379"/>
      <c r="BQ137" s="395">
        <v>0</v>
      </c>
      <c r="BR137" s="378"/>
      <c r="BS137" s="379"/>
      <c r="BT137" s="395">
        <v>0</v>
      </c>
      <c r="BU137" s="378"/>
      <c r="BV137" s="379"/>
      <c r="BW137" s="378"/>
      <c r="BX137" s="378"/>
      <c r="BY137" s="378"/>
      <c r="BZ137" s="378"/>
      <c r="CA137" s="378"/>
      <c r="CB137" s="378"/>
      <c r="CC137" s="378"/>
      <c r="CD137" s="378"/>
      <c r="CE137" s="378"/>
      <c r="CF137" s="378"/>
      <c r="CG137" s="378"/>
      <c r="CH137" s="378"/>
      <c r="CI137" s="378"/>
      <c r="CJ137" s="378"/>
      <c r="CK137" s="378"/>
      <c r="CL137" s="378"/>
      <c r="CM137" s="378"/>
      <c r="CN137" s="378"/>
      <c r="CO137" s="378"/>
      <c r="CP137" s="378"/>
      <c r="CQ137" s="378"/>
      <c r="CR137" s="378"/>
      <c r="CS137" s="378"/>
      <c r="CT137" s="378"/>
      <c r="CU137" s="378"/>
      <c r="CV137" s="378"/>
      <c r="CW137" s="378"/>
      <c r="CX137" s="378"/>
      <c r="CY137" s="378"/>
      <c r="CZ137" s="378"/>
      <c r="DA137" s="378"/>
      <c r="DB137" s="378"/>
      <c r="DC137" s="378"/>
      <c r="DD137" s="378"/>
      <c r="DE137" s="378"/>
      <c r="DF137" s="378"/>
      <c r="DG137" s="378"/>
      <c r="DH137" s="378"/>
      <c r="DI137" s="378"/>
      <c r="DJ137" s="378"/>
      <c r="DK137" s="378"/>
      <c r="DL137" s="378"/>
      <c r="DM137" s="378"/>
      <c r="DN137" s="378"/>
      <c r="DO137" s="378"/>
      <c r="DP137" s="378"/>
      <c r="DQ137" s="378"/>
      <c r="DR137" s="378"/>
      <c r="DS137" s="378"/>
      <c r="DT137" s="378"/>
      <c r="DU137" s="378"/>
      <c r="DV137" s="378"/>
      <c r="DW137" s="378"/>
      <c r="DX137" s="378"/>
      <c r="DY137" s="378"/>
      <c r="DZ137" s="378"/>
      <c r="EA137" s="378"/>
      <c r="EB137" s="378"/>
      <c r="EC137" s="378"/>
      <c r="ED137" s="378"/>
      <c r="EE137" s="378"/>
      <c r="EF137" s="378"/>
      <c r="EG137" s="378"/>
      <c r="EH137" s="378"/>
      <c r="EI137" s="378"/>
      <c r="EJ137" s="378"/>
      <c r="EK137" s="378"/>
      <c r="EL137" s="378"/>
      <c r="EM137" s="378"/>
      <c r="EN137" s="378"/>
      <c r="EO137" s="378"/>
      <c r="EP137" s="378"/>
      <c r="EQ137" s="378"/>
      <c r="ER137" s="378"/>
      <c r="ES137" s="378"/>
      <c r="ET137" s="378"/>
      <c r="EU137" s="378"/>
      <c r="EV137" s="378"/>
      <c r="EW137" s="378"/>
      <c r="EX137" s="378"/>
    </row>
    <row r="138" spans="1:154" s="377" customFormat="1" x14ac:dyDescent="0.2">
      <c r="A138" s="377" t="s">
        <v>132</v>
      </c>
      <c r="B138" s="377" t="s">
        <v>52</v>
      </c>
      <c r="C138" s="668">
        <v>0</v>
      </c>
      <c r="D138" s="378"/>
      <c r="E138" s="679"/>
      <c r="F138" s="395">
        <v>0</v>
      </c>
      <c r="G138" s="378"/>
      <c r="H138" s="379"/>
      <c r="I138" s="395">
        <v>0</v>
      </c>
      <c r="J138" s="378"/>
      <c r="K138" s="379"/>
      <c r="L138" s="395">
        <v>0</v>
      </c>
      <c r="M138" s="378"/>
      <c r="N138" s="395"/>
      <c r="O138" s="704">
        <v>0</v>
      </c>
      <c r="P138" s="705"/>
      <c r="Q138" s="379"/>
      <c r="R138" s="395">
        <v>0</v>
      </c>
      <c r="S138" s="378"/>
      <c r="T138" s="379"/>
      <c r="U138" s="395">
        <v>0</v>
      </c>
      <c r="V138" s="378"/>
      <c r="W138" s="379"/>
      <c r="X138" s="395">
        <v>0</v>
      </c>
      <c r="Y138" s="378"/>
      <c r="Z138" s="379"/>
      <c r="AA138" s="395">
        <v>0</v>
      </c>
      <c r="AB138" s="395"/>
      <c r="AC138" s="379"/>
      <c r="AD138" s="395">
        <v>0</v>
      </c>
      <c r="AE138" s="378"/>
      <c r="AF138" s="379"/>
      <c r="AG138" s="395">
        <v>0</v>
      </c>
      <c r="AH138" s="378"/>
      <c r="AI138" s="379"/>
      <c r="AJ138" s="395">
        <v>0</v>
      </c>
      <c r="AK138" s="378"/>
      <c r="AL138" s="379"/>
      <c r="AM138" s="395">
        <v>0</v>
      </c>
      <c r="AN138" s="378">
        <v>0</v>
      </c>
      <c r="AO138" s="379"/>
      <c r="AP138" s="395">
        <v>0</v>
      </c>
      <c r="AQ138" s="378"/>
      <c r="AR138" s="379"/>
      <c r="AS138" s="395">
        <v>0</v>
      </c>
      <c r="AT138" s="378"/>
      <c r="AU138" s="379"/>
      <c r="AV138" s="395">
        <v>0</v>
      </c>
      <c r="AW138" s="378"/>
      <c r="AX138" s="379"/>
      <c r="AY138" s="395">
        <v>0</v>
      </c>
      <c r="AZ138" s="378"/>
      <c r="BA138" s="379"/>
      <c r="BB138" s="395">
        <v>0</v>
      </c>
      <c r="BC138" s="378"/>
      <c r="BD138" s="379"/>
      <c r="BE138" s="395">
        <v>0</v>
      </c>
      <c r="BF138" s="378"/>
      <c r="BG138" s="379"/>
      <c r="BH138" s="395">
        <v>0</v>
      </c>
      <c r="BI138" s="378"/>
      <c r="BJ138" s="379"/>
      <c r="BK138" s="395">
        <v>0</v>
      </c>
      <c r="BL138" s="378"/>
      <c r="BM138" s="379"/>
      <c r="BN138" s="395">
        <v>0</v>
      </c>
      <c r="BO138" s="378"/>
      <c r="BP138" s="379"/>
      <c r="BQ138" s="395">
        <v>0</v>
      </c>
      <c r="BR138" s="378"/>
      <c r="BS138" s="379"/>
      <c r="BT138" s="395">
        <v>0</v>
      </c>
      <c r="BU138" s="378"/>
      <c r="BV138" s="379"/>
      <c r="BW138" s="378"/>
      <c r="BX138" s="378"/>
      <c r="BY138" s="378"/>
      <c r="BZ138" s="378"/>
      <c r="CA138" s="378"/>
      <c r="CB138" s="378"/>
      <c r="CC138" s="378"/>
      <c r="CD138" s="378"/>
      <c r="CE138" s="378"/>
      <c r="CF138" s="378"/>
      <c r="CG138" s="378"/>
      <c r="CH138" s="378"/>
      <c r="CI138" s="378"/>
      <c r="CJ138" s="378"/>
      <c r="CK138" s="378"/>
      <c r="CL138" s="378"/>
      <c r="CM138" s="378"/>
      <c r="CN138" s="378"/>
      <c r="CO138" s="378"/>
      <c r="CP138" s="378"/>
      <c r="CQ138" s="378"/>
      <c r="CR138" s="378"/>
      <c r="CS138" s="378"/>
      <c r="CT138" s="378"/>
      <c r="CU138" s="378"/>
      <c r="CV138" s="378"/>
      <c r="CW138" s="378"/>
      <c r="CX138" s="378"/>
      <c r="CY138" s="378"/>
      <c r="CZ138" s="378"/>
      <c r="DA138" s="378"/>
      <c r="DB138" s="378"/>
      <c r="DC138" s="378"/>
      <c r="DD138" s="378"/>
      <c r="DE138" s="378"/>
      <c r="DF138" s="378"/>
      <c r="DG138" s="378"/>
      <c r="DH138" s="378"/>
      <c r="DI138" s="378"/>
      <c r="DJ138" s="378"/>
      <c r="DK138" s="378"/>
      <c r="DL138" s="378"/>
      <c r="DM138" s="378"/>
      <c r="DN138" s="378"/>
      <c r="DO138" s="378"/>
      <c r="DP138" s="378"/>
      <c r="DQ138" s="378"/>
      <c r="DR138" s="378"/>
      <c r="DS138" s="378"/>
      <c r="DT138" s="378"/>
      <c r="DU138" s="378"/>
      <c r="DV138" s="378"/>
      <c r="DW138" s="378"/>
      <c r="DX138" s="378"/>
      <c r="DY138" s="378"/>
      <c r="DZ138" s="378"/>
      <c r="EA138" s="378"/>
      <c r="EB138" s="378"/>
      <c r="EC138" s="378"/>
      <c r="ED138" s="378"/>
      <c r="EE138" s="378"/>
      <c r="EF138" s="378"/>
      <c r="EG138" s="378"/>
      <c r="EH138" s="378"/>
      <c r="EI138" s="378"/>
      <c r="EJ138" s="378"/>
      <c r="EK138" s="378"/>
      <c r="EL138" s="378"/>
      <c r="EM138" s="378"/>
      <c r="EN138" s="378"/>
      <c r="EO138" s="378"/>
      <c r="EP138" s="378"/>
      <c r="EQ138" s="378"/>
      <c r="ER138" s="378"/>
      <c r="ES138" s="378"/>
      <c r="ET138" s="378"/>
      <c r="EU138" s="378"/>
      <c r="EV138" s="378"/>
      <c r="EW138" s="378"/>
      <c r="EX138" s="378"/>
    </row>
    <row r="139" spans="1:154" s="377" customFormat="1" x14ac:dyDescent="0.2">
      <c r="A139" s="377" t="s">
        <v>133</v>
      </c>
      <c r="B139" s="377" t="s">
        <v>52</v>
      </c>
      <c r="C139" s="668">
        <v>0</v>
      </c>
      <c r="D139" s="378"/>
      <c r="E139" s="679"/>
      <c r="F139" s="395">
        <v>0</v>
      </c>
      <c r="G139" s="378"/>
      <c r="H139" s="379"/>
      <c r="I139" s="395">
        <v>0</v>
      </c>
      <c r="J139" s="378"/>
      <c r="K139" s="379"/>
      <c r="L139" s="395">
        <v>0</v>
      </c>
      <c r="M139" s="378"/>
      <c r="N139" s="395"/>
      <c r="O139" s="704">
        <v>0</v>
      </c>
      <c r="P139" s="705"/>
      <c r="Q139" s="379"/>
      <c r="R139" s="395">
        <v>0</v>
      </c>
      <c r="S139" s="378"/>
      <c r="T139" s="379"/>
      <c r="U139" s="395">
        <v>0</v>
      </c>
      <c r="V139" s="378"/>
      <c r="W139" s="379"/>
      <c r="X139" s="395">
        <v>0</v>
      </c>
      <c r="Y139" s="378"/>
      <c r="Z139" s="379"/>
      <c r="AA139" s="395">
        <v>0</v>
      </c>
      <c r="AB139" s="395"/>
      <c r="AC139" s="379"/>
      <c r="AD139" s="395">
        <v>0</v>
      </c>
      <c r="AE139" s="378"/>
      <c r="AF139" s="379"/>
      <c r="AG139" s="395">
        <v>0</v>
      </c>
      <c r="AH139" s="378"/>
      <c r="AI139" s="379"/>
      <c r="AJ139" s="395">
        <v>0</v>
      </c>
      <c r="AK139" s="378"/>
      <c r="AL139" s="379"/>
      <c r="AM139" s="395">
        <v>0</v>
      </c>
      <c r="AN139" s="378"/>
      <c r="AO139" s="379"/>
      <c r="AP139" s="395">
        <v>0</v>
      </c>
      <c r="AQ139" s="378"/>
      <c r="AR139" s="379"/>
      <c r="AS139" s="395">
        <v>0</v>
      </c>
      <c r="AT139" s="378"/>
      <c r="AU139" s="379"/>
      <c r="AV139" s="395">
        <v>0</v>
      </c>
      <c r="AW139" s="378"/>
      <c r="AX139" s="379"/>
      <c r="AY139" s="395">
        <v>0</v>
      </c>
      <c r="AZ139" s="378"/>
      <c r="BA139" s="379"/>
      <c r="BB139" s="395">
        <v>0</v>
      </c>
      <c r="BC139" s="378"/>
      <c r="BD139" s="379"/>
      <c r="BE139" s="395">
        <v>0</v>
      </c>
      <c r="BF139" s="378"/>
      <c r="BG139" s="379"/>
      <c r="BH139" s="395">
        <v>0</v>
      </c>
      <c r="BI139" s="378"/>
      <c r="BJ139" s="379"/>
      <c r="BK139" s="395">
        <v>0</v>
      </c>
      <c r="BL139" s="378"/>
      <c r="BM139" s="379"/>
      <c r="BN139" s="395">
        <v>0</v>
      </c>
      <c r="BO139" s="378"/>
      <c r="BP139" s="379"/>
      <c r="BQ139" s="395">
        <v>0</v>
      </c>
      <c r="BR139" s="378"/>
      <c r="BS139" s="379"/>
      <c r="BT139" s="395">
        <v>0</v>
      </c>
      <c r="BU139" s="378"/>
      <c r="BV139" s="379"/>
      <c r="BW139" s="378"/>
      <c r="BX139" s="378"/>
      <c r="BY139" s="378"/>
      <c r="BZ139" s="378"/>
      <c r="CA139" s="378"/>
      <c r="CB139" s="378"/>
      <c r="CC139" s="378"/>
      <c r="CD139" s="378"/>
      <c r="CE139" s="378"/>
      <c r="CF139" s="378"/>
      <c r="CG139" s="378"/>
      <c r="CH139" s="378"/>
      <c r="CI139" s="378"/>
      <c r="CJ139" s="378"/>
      <c r="CK139" s="378"/>
      <c r="CL139" s="378"/>
      <c r="CM139" s="378"/>
      <c r="CN139" s="378"/>
      <c r="CO139" s="378"/>
      <c r="CP139" s="378"/>
      <c r="CQ139" s="378"/>
      <c r="CR139" s="378"/>
      <c r="CS139" s="378"/>
      <c r="CT139" s="378"/>
      <c r="CU139" s="378"/>
      <c r="CV139" s="378"/>
      <c r="CW139" s="378"/>
      <c r="CX139" s="378"/>
      <c r="CY139" s="378"/>
      <c r="CZ139" s="378"/>
      <c r="DA139" s="378"/>
      <c r="DB139" s="378"/>
      <c r="DC139" s="378"/>
      <c r="DD139" s="378"/>
      <c r="DE139" s="378"/>
      <c r="DF139" s="378"/>
      <c r="DG139" s="378"/>
      <c r="DH139" s="378"/>
      <c r="DI139" s="378"/>
      <c r="DJ139" s="378"/>
      <c r="DK139" s="378"/>
      <c r="DL139" s="378"/>
      <c r="DM139" s="378"/>
      <c r="DN139" s="378"/>
      <c r="DO139" s="378"/>
      <c r="DP139" s="378"/>
      <c r="DQ139" s="378"/>
      <c r="DR139" s="378"/>
      <c r="DS139" s="378"/>
      <c r="DT139" s="378"/>
      <c r="DU139" s="378"/>
      <c r="DV139" s="378"/>
      <c r="DW139" s="378"/>
      <c r="DX139" s="378"/>
      <c r="DY139" s="378"/>
      <c r="DZ139" s="378"/>
      <c r="EA139" s="378"/>
      <c r="EB139" s="378"/>
      <c r="EC139" s="378"/>
      <c r="ED139" s="378"/>
      <c r="EE139" s="378"/>
      <c r="EF139" s="378"/>
      <c r="EG139" s="378"/>
      <c r="EH139" s="378"/>
      <c r="EI139" s="378"/>
      <c r="EJ139" s="378"/>
      <c r="EK139" s="378"/>
      <c r="EL139" s="378"/>
      <c r="EM139" s="378"/>
      <c r="EN139" s="378"/>
      <c r="EO139" s="378"/>
      <c r="EP139" s="378"/>
      <c r="EQ139" s="378"/>
      <c r="ER139" s="378"/>
      <c r="ES139" s="378"/>
      <c r="ET139" s="378"/>
      <c r="EU139" s="378"/>
      <c r="EV139" s="378"/>
      <c r="EW139" s="378"/>
      <c r="EX139" s="378"/>
    </row>
    <row r="140" spans="1:154" s="377" customFormat="1" x14ac:dyDescent="0.2">
      <c r="A140" s="377" t="s">
        <v>134</v>
      </c>
      <c r="B140" s="377" t="s">
        <v>52</v>
      </c>
      <c r="C140" s="668"/>
      <c r="D140" s="378"/>
      <c r="E140" s="679"/>
      <c r="F140" s="395"/>
      <c r="G140" s="378"/>
      <c r="H140" s="379"/>
      <c r="I140" s="395"/>
      <c r="J140" s="378"/>
      <c r="K140" s="379"/>
      <c r="L140" s="395"/>
      <c r="M140" s="378"/>
      <c r="N140" s="395"/>
      <c r="O140" s="704"/>
      <c r="P140" s="705"/>
      <c r="Q140" s="379"/>
      <c r="R140" s="395"/>
      <c r="S140" s="378"/>
      <c r="T140" s="379"/>
      <c r="U140" s="395"/>
      <c r="V140" s="378"/>
      <c r="W140" s="379"/>
      <c r="X140" s="395"/>
      <c r="Y140" s="378"/>
      <c r="Z140" s="379"/>
      <c r="AA140" s="395"/>
      <c r="AB140" s="395"/>
      <c r="AC140" s="379"/>
      <c r="AD140" s="395"/>
      <c r="AE140" s="378"/>
      <c r="AF140" s="379"/>
      <c r="AG140" s="395"/>
      <c r="AH140" s="378"/>
      <c r="AI140" s="379"/>
      <c r="AJ140" s="395"/>
      <c r="AK140" s="378"/>
      <c r="AL140" s="379"/>
      <c r="AM140" s="395"/>
      <c r="AN140" s="378"/>
      <c r="AO140" s="379"/>
      <c r="AP140" s="395"/>
      <c r="AQ140" s="378"/>
      <c r="AR140" s="379"/>
      <c r="AS140" s="395"/>
      <c r="AT140" s="378"/>
      <c r="AU140" s="379"/>
      <c r="AV140" s="395"/>
      <c r="AW140" s="378"/>
      <c r="AX140" s="379"/>
      <c r="AY140" s="395"/>
      <c r="AZ140" s="378"/>
      <c r="BA140" s="379"/>
      <c r="BB140" s="395"/>
      <c r="BC140" s="378"/>
      <c r="BD140" s="379"/>
      <c r="BE140" s="395"/>
      <c r="BF140" s="378"/>
      <c r="BG140" s="379"/>
      <c r="BH140" s="395"/>
      <c r="BI140" s="378"/>
      <c r="BJ140" s="379"/>
      <c r="BK140" s="395"/>
      <c r="BL140" s="378"/>
      <c r="BM140" s="379"/>
      <c r="BN140" s="395"/>
      <c r="BO140" s="378"/>
      <c r="BP140" s="379"/>
      <c r="BQ140" s="395"/>
      <c r="BR140" s="378"/>
      <c r="BS140" s="379"/>
      <c r="BT140" s="395"/>
      <c r="BU140" s="378"/>
      <c r="BV140" s="379"/>
      <c r="BW140" s="378"/>
      <c r="BX140" s="378"/>
      <c r="BY140" s="378"/>
      <c r="BZ140" s="378"/>
      <c r="CA140" s="378"/>
      <c r="CB140" s="378"/>
      <c r="CC140" s="378"/>
      <c r="CD140" s="378"/>
      <c r="CE140" s="378"/>
      <c r="CF140" s="378"/>
      <c r="CG140" s="378"/>
      <c r="CH140" s="378"/>
      <c r="CI140" s="378"/>
      <c r="CJ140" s="378"/>
      <c r="CK140" s="378"/>
      <c r="CL140" s="378"/>
      <c r="CM140" s="378"/>
      <c r="CN140" s="378"/>
      <c r="CO140" s="378"/>
      <c r="CP140" s="378"/>
      <c r="CQ140" s="378"/>
      <c r="CR140" s="378"/>
      <c r="CS140" s="378"/>
      <c r="CT140" s="378"/>
      <c r="CU140" s="378"/>
      <c r="CV140" s="378"/>
      <c r="CW140" s="378"/>
      <c r="CX140" s="378"/>
      <c r="CY140" s="378"/>
      <c r="CZ140" s="378"/>
      <c r="DA140" s="378"/>
      <c r="DB140" s="378"/>
      <c r="DC140" s="378"/>
      <c r="DD140" s="378"/>
      <c r="DE140" s="378"/>
      <c r="DF140" s="378"/>
      <c r="DG140" s="378"/>
      <c r="DH140" s="378"/>
      <c r="DI140" s="378"/>
      <c r="DJ140" s="378"/>
      <c r="DK140" s="378"/>
      <c r="DL140" s="378"/>
      <c r="DM140" s="378"/>
      <c r="DN140" s="378"/>
      <c r="DO140" s="378"/>
      <c r="DP140" s="378"/>
      <c r="DQ140" s="378"/>
      <c r="DR140" s="378"/>
      <c r="DS140" s="378"/>
      <c r="DT140" s="378"/>
      <c r="DU140" s="378"/>
      <c r="DV140" s="378"/>
      <c r="DW140" s="378"/>
      <c r="DX140" s="378"/>
      <c r="DY140" s="378"/>
      <c r="DZ140" s="378"/>
      <c r="EA140" s="378"/>
      <c r="EB140" s="378"/>
      <c r="EC140" s="378"/>
      <c r="ED140" s="378"/>
      <c r="EE140" s="378"/>
      <c r="EF140" s="378"/>
      <c r="EG140" s="378"/>
      <c r="EH140" s="378"/>
      <c r="EI140" s="378"/>
      <c r="EJ140" s="378"/>
      <c r="EK140" s="378"/>
      <c r="EL140" s="378"/>
      <c r="EM140" s="378"/>
      <c r="EN140" s="378"/>
      <c r="EO140" s="378"/>
      <c r="EP140" s="378"/>
      <c r="EQ140" s="378"/>
      <c r="ER140" s="378"/>
      <c r="ES140" s="378"/>
      <c r="ET140" s="378"/>
      <c r="EU140" s="378"/>
      <c r="EV140" s="378"/>
      <c r="EW140" s="378"/>
      <c r="EX140" s="378"/>
    </row>
    <row r="141" spans="1:154" s="377" customFormat="1" x14ac:dyDescent="0.2">
      <c r="A141" s="377" t="s">
        <v>135</v>
      </c>
      <c r="B141" s="377" t="s">
        <v>52</v>
      </c>
      <c r="C141" s="668">
        <v>80000</v>
      </c>
      <c r="D141" s="378"/>
      <c r="E141" s="679"/>
      <c r="F141" s="395">
        <v>80000</v>
      </c>
      <c r="G141" s="378"/>
      <c r="H141" s="379"/>
      <c r="I141" s="395">
        <v>80000</v>
      </c>
      <c r="J141" s="378"/>
      <c r="K141" s="379"/>
      <c r="L141" s="395">
        <v>80000</v>
      </c>
      <c r="M141" s="378"/>
      <c r="N141" s="395"/>
      <c r="O141" s="704">
        <v>80000</v>
      </c>
      <c r="P141" s="705"/>
      <c r="Q141" s="379"/>
      <c r="R141" s="395">
        <v>80000</v>
      </c>
      <c r="S141" s="378"/>
      <c r="T141" s="379"/>
      <c r="U141" s="395">
        <v>80000</v>
      </c>
      <c r="V141" s="378"/>
      <c r="W141" s="379"/>
      <c r="X141" s="395">
        <v>80000</v>
      </c>
      <c r="Y141" s="378"/>
      <c r="Z141" s="379"/>
      <c r="AA141" s="395">
        <v>80000</v>
      </c>
      <c r="AB141" s="395"/>
      <c r="AC141" s="379"/>
      <c r="AD141" s="395">
        <v>80000</v>
      </c>
      <c r="AE141" s="378"/>
      <c r="AF141" s="379"/>
      <c r="AG141" s="395">
        <v>80000</v>
      </c>
      <c r="AH141" s="378"/>
      <c r="AI141" s="379"/>
      <c r="AJ141" s="395">
        <v>80000</v>
      </c>
      <c r="AK141" s="378"/>
      <c r="AL141" s="379"/>
      <c r="AM141" s="395">
        <v>80000</v>
      </c>
      <c r="AN141" s="378"/>
      <c r="AO141" s="379"/>
      <c r="AP141" s="395">
        <v>80000</v>
      </c>
      <c r="AQ141" s="378"/>
      <c r="AR141" s="379"/>
      <c r="AS141" s="395">
        <v>80000</v>
      </c>
      <c r="AT141" s="378"/>
      <c r="AU141" s="379"/>
      <c r="AV141" s="395">
        <v>0</v>
      </c>
      <c r="AW141" s="378"/>
      <c r="AX141" s="379"/>
      <c r="AY141" s="395">
        <v>0</v>
      </c>
      <c r="AZ141" s="378"/>
      <c r="BA141" s="379"/>
      <c r="BB141" s="395">
        <v>0</v>
      </c>
      <c r="BC141" s="378"/>
      <c r="BD141" s="379"/>
      <c r="BE141" s="395">
        <v>0</v>
      </c>
      <c r="BF141" s="378"/>
      <c r="BG141" s="379"/>
      <c r="BH141" s="395">
        <v>0</v>
      </c>
      <c r="BI141" s="378"/>
      <c r="BJ141" s="379"/>
      <c r="BK141" s="395">
        <v>0</v>
      </c>
      <c r="BL141" s="378"/>
      <c r="BM141" s="379"/>
      <c r="BN141" s="395">
        <v>0</v>
      </c>
      <c r="BO141" s="378"/>
      <c r="BP141" s="379"/>
      <c r="BQ141" s="395">
        <v>0</v>
      </c>
      <c r="BR141" s="378"/>
      <c r="BS141" s="379"/>
      <c r="BT141" s="395">
        <v>0</v>
      </c>
      <c r="BU141" s="378"/>
      <c r="BV141" s="379"/>
      <c r="BW141" s="378"/>
      <c r="BX141" s="378"/>
      <c r="BY141" s="378"/>
      <c r="BZ141" s="378"/>
      <c r="CA141" s="378"/>
      <c r="CB141" s="378"/>
      <c r="CC141" s="378"/>
      <c r="CD141" s="378"/>
      <c r="CE141" s="378"/>
      <c r="CF141" s="378"/>
      <c r="CG141" s="378"/>
      <c r="CH141" s="378"/>
      <c r="CI141" s="378"/>
      <c r="CJ141" s="378"/>
      <c r="CK141" s="378"/>
      <c r="CL141" s="378"/>
      <c r="CM141" s="378"/>
      <c r="CN141" s="378"/>
      <c r="CO141" s="378"/>
      <c r="CP141" s="378"/>
      <c r="CQ141" s="378"/>
      <c r="CR141" s="378"/>
      <c r="CS141" s="378"/>
      <c r="CT141" s="378"/>
      <c r="CU141" s="378"/>
      <c r="CV141" s="378"/>
      <c r="CW141" s="378"/>
      <c r="CX141" s="378"/>
      <c r="CY141" s="378"/>
      <c r="CZ141" s="378"/>
      <c r="DA141" s="378"/>
      <c r="DB141" s="378"/>
      <c r="DC141" s="378"/>
      <c r="DD141" s="378"/>
      <c r="DE141" s="378"/>
      <c r="DF141" s="378"/>
      <c r="DG141" s="378"/>
      <c r="DH141" s="378"/>
      <c r="DI141" s="378"/>
      <c r="DJ141" s="378"/>
      <c r="DK141" s="378"/>
      <c r="DL141" s="378"/>
      <c r="DM141" s="378"/>
      <c r="DN141" s="378"/>
      <c r="DO141" s="378"/>
      <c r="DP141" s="378"/>
      <c r="DQ141" s="378"/>
      <c r="DR141" s="378"/>
      <c r="DS141" s="378"/>
      <c r="DT141" s="378"/>
      <c r="DU141" s="378"/>
      <c r="DV141" s="378"/>
      <c r="DW141" s="378"/>
      <c r="DX141" s="378"/>
      <c r="DY141" s="378"/>
      <c r="DZ141" s="378"/>
      <c r="EA141" s="378"/>
      <c r="EB141" s="378"/>
      <c r="EC141" s="378"/>
      <c r="ED141" s="378"/>
      <c r="EE141" s="378"/>
      <c r="EF141" s="378"/>
      <c r="EG141" s="378"/>
      <c r="EH141" s="378"/>
      <c r="EI141" s="378"/>
      <c r="EJ141" s="378"/>
      <c r="EK141" s="378"/>
      <c r="EL141" s="378"/>
      <c r="EM141" s="378"/>
      <c r="EN141" s="378"/>
      <c r="EO141" s="378"/>
      <c r="EP141" s="378"/>
      <c r="EQ141" s="378"/>
      <c r="ER141" s="378"/>
      <c r="ES141" s="378"/>
      <c r="ET141" s="378"/>
      <c r="EU141" s="378"/>
      <c r="EV141" s="378"/>
      <c r="EW141" s="378"/>
      <c r="EX141" s="378"/>
    </row>
    <row r="142" spans="1:154" s="377" customFormat="1" x14ac:dyDescent="0.2">
      <c r="A142" s="414" t="s">
        <v>147</v>
      </c>
      <c r="C142" s="668"/>
      <c r="D142" s="378"/>
      <c r="E142" s="679"/>
      <c r="F142" s="395"/>
      <c r="G142" s="378"/>
      <c r="H142" s="379"/>
      <c r="I142" s="395"/>
      <c r="J142" s="378"/>
      <c r="K142" s="379"/>
      <c r="L142" s="395"/>
      <c r="M142" s="378"/>
      <c r="N142" s="395"/>
      <c r="O142" s="704"/>
      <c r="P142" s="705"/>
      <c r="Q142" s="379"/>
      <c r="R142" s="395"/>
      <c r="S142" s="378"/>
      <c r="T142" s="379"/>
      <c r="U142" s="395"/>
      <c r="V142" s="378"/>
      <c r="W142" s="379"/>
      <c r="X142" s="395"/>
      <c r="Y142" s="378"/>
      <c r="Z142" s="379"/>
      <c r="AA142" s="395"/>
      <c r="AB142" s="395"/>
      <c r="AC142" s="379"/>
      <c r="AD142" s="395"/>
      <c r="AE142" s="378"/>
      <c r="AF142" s="379"/>
      <c r="AG142" s="395"/>
      <c r="AH142" s="378"/>
      <c r="AI142" s="379"/>
      <c r="AJ142" s="395"/>
      <c r="AK142" s="378"/>
      <c r="AL142" s="379"/>
      <c r="AM142" s="395"/>
      <c r="AN142" s="378"/>
      <c r="AO142" s="379"/>
      <c r="AP142" s="395"/>
      <c r="AQ142" s="378"/>
      <c r="AR142" s="379"/>
      <c r="AS142" s="395"/>
      <c r="AT142" s="378"/>
      <c r="AU142" s="379"/>
      <c r="AV142" s="395"/>
      <c r="AW142" s="378"/>
      <c r="AX142" s="379"/>
      <c r="AY142" s="395"/>
      <c r="AZ142" s="378"/>
      <c r="BA142" s="379"/>
      <c r="BB142" s="395"/>
      <c r="BC142" s="378"/>
      <c r="BD142" s="379"/>
      <c r="BE142" s="395"/>
      <c r="BF142" s="378"/>
      <c r="BG142" s="379"/>
      <c r="BH142" s="395"/>
      <c r="BI142" s="378"/>
      <c r="BJ142" s="379"/>
      <c r="BK142" s="395"/>
      <c r="BL142" s="378"/>
      <c r="BM142" s="379"/>
      <c r="BN142" s="395"/>
      <c r="BO142" s="378"/>
      <c r="BP142" s="379"/>
      <c r="BQ142" s="395"/>
      <c r="BR142" s="378"/>
      <c r="BS142" s="379"/>
      <c r="BT142" s="395"/>
      <c r="BU142" s="378"/>
      <c r="BV142" s="379"/>
      <c r="BW142" s="378"/>
      <c r="BX142" s="378"/>
      <c r="BY142" s="378"/>
      <c r="BZ142" s="378"/>
      <c r="CA142" s="378"/>
      <c r="CB142" s="378"/>
      <c r="CC142" s="378"/>
      <c r="CD142" s="378"/>
      <c r="CE142" s="378"/>
      <c r="CF142" s="378"/>
      <c r="CG142" s="378"/>
      <c r="CH142" s="378"/>
      <c r="CI142" s="378"/>
      <c r="CJ142" s="378"/>
      <c r="CK142" s="378"/>
      <c r="CL142" s="378"/>
      <c r="CM142" s="378"/>
      <c r="CN142" s="378"/>
      <c r="CO142" s="378"/>
      <c r="CP142" s="378"/>
      <c r="CQ142" s="378"/>
      <c r="CR142" s="378"/>
      <c r="CS142" s="378"/>
      <c r="CT142" s="378"/>
      <c r="CU142" s="378"/>
      <c r="CV142" s="378"/>
      <c r="CW142" s="378"/>
      <c r="CX142" s="378"/>
      <c r="CY142" s="378"/>
      <c r="CZ142" s="378"/>
      <c r="DA142" s="378"/>
      <c r="DB142" s="378"/>
      <c r="DC142" s="378"/>
      <c r="DD142" s="378"/>
      <c r="DE142" s="378"/>
      <c r="DF142" s="378"/>
      <c r="DG142" s="378"/>
      <c r="DH142" s="378"/>
      <c r="DI142" s="378"/>
      <c r="DJ142" s="378"/>
      <c r="DK142" s="378"/>
      <c r="DL142" s="378"/>
      <c r="DM142" s="378"/>
      <c r="DN142" s="378"/>
      <c r="DO142" s="378"/>
      <c r="DP142" s="378"/>
      <c r="DQ142" s="378"/>
      <c r="DR142" s="378"/>
      <c r="DS142" s="378"/>
      <c r="DT142" s="378"/>
      <c r="DU142" s="378"/>
      <c r="DV142" s="378"/>
      <c r="DW142" s="378"/>
      <c r="DX142" s="378"/>
      <c r="DY142" s="378"/>
      <c r="DZ142" s="378"/>
      <c r="EA142" s="378"/>
      <c r="EB142" s="378"/>
      <c r="EC142" s="378"/>
      <c r="ED142" s="378"/>
      <c r="EE142" s="378"/>
      <c r="EF142" s="378"/>
      <c r="EG142" s="378"/>
      <c r="EH142" s="378"/>
      <c r="EI142" s="378"/>
      <c r="EJ142" s="378"/>
      <c r="EK142" s="378"/>
      <c r="EL142" s="378"/>
      <c r="EM142" s="378"/>
      <c r="EN142" s="378"/>
      <c r="EO142" s="378"/>
      <c r="EP142" s="378"/>
      <c r="EQ142" s="378"/>
      <c r="ER142" s="378"/>
      <c r="ES142" s="378"/>
      <c r="ET142" s="378"/>
      <c r="EU142" s="378"/>
      <c r="EV142" s="378"/>
      <c r="EW142" s="378"/>
      <c r="EX142" s="378"/>
    </row>
    <row r="143" spans="1:154" s="377" customFormat="1" x14ac:dyDescent="0.2">
      <c r="A143" s="377" t="s">
        <v>216</v>
      </c>
      <c r="B143" s="377" t="s">
        <v>52</v>
      </c>
      <c r="C143" s="668">
        <v>89500</v>
      </c>
      <c r="D143" s="378"/>
      <c r="E143" s="679"/>
      <c r="F143" s="395">
        <v>89500</v>
      </c>
      <c r="G143" s="378"/>
      <c r="H143" s="379"/>
      <c r="I143" s="395">
        <v>89500</v>
      </c>
      <c r="J143" s="378"/>
      <c r="K143" s="379"/>
      <c r="L143" s="395">
        <v>89500</v>
      </c>
      <c r="M143" s="378"/>
      <c r="N143" s="395"/>
      <c r="O143" s="704">
        <v>89500</v>
      </c>
      <c r="P143" s="705"/>
      <c r="Q143" s="379"/>
      <c r="R143" s="395">
        <v>89500</v>
      </c>
      <c r="S143" s="378"/>
      <c r="T143" s="379"/>
      <c r="U143" s="395">
        <v>89500</v>
      </c>
      <c r="V143" s="378"/>
      <c r="W143" s="379"/>
      <c r="X143" s="395">
        <v>89500</v>
      </c>
      <c r="Y143" s="378"/>
      <c r="Z143" s="379"/>
      <c r="AA143" s="395">
        <v>89500</v>
      </c>
      <c r="AB143" s="395"/>
      <c r="AC143" s="379"/>
      <c r="AD143" s="395">
        <v>89500</v>
      </c>
      <c r="AE143" s="378"/>
      <c r="AF143" s="379"/>
      <c r="AG143" s="395">
        <v>89500</v>
      </c>
      <c r="AH143" s="378"/>
      <c r="AI143" s="379"/>
      <c r="AJ143" s="395">
        <v>89500</v>
      </c>
      <c r="AK143" s="378"/>
      <c r="AL143" s="379"/>
      <c r="AM143" s="395">
        <v>12500</v>
      </c>
      <c r="AN143" s="378"/>
      <c r="AO143" s="379"/>
      <c r="AP143" s="395">
        <v>12500</v>
      </c>
      <c r="AQ143" s="378"/>
      <c r="AR143" s="379"/>
      <c r="AS143" s="395">
        <v>12500</v>
      </c>
      <c r="AT143" s="378"/>
      <c r="AU143" s="379"/>
      <c r="AV143" s="395">
        <v>12500</v>
      </c>
      <c r="AW143" s="378"/>
      <c r="AX143" s="379"/>
      <c r="AY143" s="395">
        <v>12500</v>
      </c>
      <c r="AZ143" s="378"/>
      <c r="BA143" s="379"/>
      <c r="BB143" s="395">
        <v>12500</v>
      </c>
      <c r="BC143" s="378"/>
      <c r="BD143" s="379"/>
      <c r="BE143" s="395">
        <v>12500</v>
      </c>
      <c r="BF143" s="378"/>
      <c r="BG143" s="379"/>
      <c r="BH143" s="395">
        <v>12500</v>
      </c>
      <c r="BI143" s="378"/>
      <c r="BJ143" s="379"/>
      <c r="BK143" s="395">
        <v>12500</v>
      </c>
      <c r="BL143" s="378"/>
      <c r="BM143" s="379"/>
      <c r="BN143" s="395">
        <v>12500</v>
      </c>
      <c r="BO143" s="378"/>
      <c r="BP143" s="379"/>
      <c r="BQ143" s="395">
        <v>12500</v>
      </c>
      <c r="BR143" s="378"/>
      <c r="BS143" s="379"/>
      <c r="BT143" s="395">
        <v>12500</v>
      </c>
      <c r="BU143" s="378"/>
      <c r="BV143" s="379"/>
      <c r="BW143" s="378"/>
      <c r="BX143" s="378"/>
      <c r="BY143" s="378"/>
      <c r="BZ143" s="378"/>
      <c r="CA143" s="378"/>
      <c r="CB143" s="378"/>
      <c r="CC143" s="378"/>
      <c r="CD143" s="378"/>
      <c r="CE143" s="378"/>
      <c r="CF143" s="378"/>
      <c r="CG143" s="378"/>
      <c r="CH143" s="378"/>
      <c r="CI143" s="378"/>
      <c r="CJ143" s="378"/>
      <c r="CK143" s="378"/>
      <c r="CL143" s="378"/>
      <c r="CM143" s="378"/>
      <c r="CN143" s="378"/>
      <c r="CO143" s="378"/>
      <c r="CP143" s="378"/>
      <c r="CQ143" s="378"/>
      <c r="CR143" s="378"/>
      <c r="CS143" s="378"/>
      <c r="CT143" s="378"/>
      <c r="CU143" s="378"/>
      <c r="CV143" s="378"/>
      <c r="CW143" s="378"/>
      <c r="CX143" s="378"/>
      <c r="CY143" s="378"/>
      <c r="CZ143" s="378"/>
      <c r="DA143" s="378"/>
      <c r="DB143" s="378"/>
      <c r="DC143" s="378"/>
      <c r="DD143" s="378"/>
      <c r="DE143" s="378"/>
      <c r="DF143" s="378"/>
      <c r="DG143" s="378"/>
      <c r="DH143" s="378"/>
      <c r="DI143" s="378"/>
      <c r="DJ143" s="378"/>
      <c r="DK143" s="378"/>
      <c r="DL143" s="378"/>
      <c r="DM143" s="378"/>
      <c r="DN143" s="378"/>
      <c r="DO143" s="378"/>
      <c r="DP143" s="378"/>
      <c r="DQ143" s="378"/>
      <c r="DR143" s="378"/>
      <c r="DS143" s="378"/>
      <c r="DT143" s="378"/>
      <c r="DU143" s="378"/>
      <c r="DV143" s="378"/>
      <c r="DW143" s="378"/>
      <c r="DX143" s="378"/>
      <c r="DY143" s="378"/>
      <c r="DZ143" s="378"/>
      <c r="EA143" s="378"/>
      <c r="EB143" s="378"/>
      <c r="EC143" s="378"/>
      <c r="ED143" s="378"/>
      <c r="EE143" s="378"/>
      <c r="EF143" s="378"/>
      <c r="EG143" s="378"/>
      <c r="EH143" s="378"/>
      <c r="EI143" s="378"/>
      <c r="EJ143" s="378"/>
      <c r="EK143" s="378"/>
      <c r="EL143" s="378"/>
      <c r="EM143" s="378"/>
      <c r="EN143" s="378"/>
      <c r="EO143" s="378"/>
      <c r="EP143" s="378"/>
      <c r="EQ143" s="378"/>
      <c r="ER143" s="378"/>
      <c r="ES143" s="378"/>
      <c r="ET143" s="378"/>
      <c r="EU143" s="378"/>
      <c r="EV143" s="378"/>
      <c r="EW143" s="378"/>
      <c r="EX143" s="378"/>
    </row>
    <row r="144" spans="1:154" s="377" customFormat="1" x14ac:dyDescent="0.2">
      <c r="A144" s="414" t="s">
        <v>146</v>
      </c>
      <c r="C144" s="668"/>
      <c r="D144" s="378"/>
      <c r="E144" s="679"/>
      <c r="F144" s="395"/>
      <c r="G144" s="378"/>
      <c r="H144" s="379"/>
      <c r="I144" s="395"/>
      <c r="J144" s="378"/>
      <c r="K144" s="379"/>
      <c r="L144" s="395"/>
      <c r="M144" s="378"/>
      <c r="N144" s="395"/>
      <c r="O144" s="704"/>
      <c r="P144" s="705"/>
      <c r="Q144" s="379"/>
      <c r="R144" s="395"/>
      <c r="S144" s="378"/>
      <c r="T144" s="379"/>
      <c r="U144" s="395"/>
      <c r="V144" s="378"/>
      <c r="W144" s="379"/>
      <c r="X144" s="395"/>
      <c r="Y144" s="378"/>
      <c r="Z144" s="379"/>
      <c r="AA144" s="395"/>
      <c r="AB144" s="395"/>
      <c r="AC144" s="379"/>
      <c r="AD144" s="395"/>
      <c r="AE144" s="378"/>
      <c r="AF144" s="379"/>
      <c r="AG144" s="395"/>
      <c r="AH144" s="378"/>
      <c r="AI144" s="379"/>
      <c r="AJ144" s="395"/>
      <c r="AK144" s="378"/>
      <c r="AL144" s="379"/>
      <c r="AM144" s="395"/>
      <c r="AN144" s="378"/>
      <c r="AO144" s="379"/>
      <c r="AP144" s="395"/>
      <c r="AQ144" s="378"/>
      <c r="AR144" s="379"/>
      <c r="AS144" s="395"/>
      <c r="AT144" s="378"/>
      <c r="AU144" s="379"/>
      <c r="AV144" s="395"/>
      <c r="AW144" s="378"/>
      <c r="AX144" s="379"/>
      <c r="AY144" s="395"/>
      <c r="AZ144" s="378"/>
      <c r="BA144" s="379"/>
      <c r="BB144" s="395"/>
      <c r="BC144" s="378"/>
      <c r="BD144" s="379"/>
      <c r="BE144" s="395"/>
      <c r="BF144" s="378"/>
      <c r="BG144" s="379"/>
      <c r="BH144" s="395"/>
      <c r="BI144" s="378"/>
      <c r="BJ144" s="379"/>
      <c r="BK144" s="395"/>
      <c r="BL144" s="378"/>
      <c r="BM144" s="379"/>
      <c r="BN144" s="395"/>
      <c r="BO144" s="378"/>
      <c r="BP144" s="379"/>
      <c r="BQ144" s="395"/>
      <c r="BR144" s="378"/>
      <c r="BS144" s="379"/>
      <c r="BT144" s="395"/>
      <c r="BU144" s="378"/>
      <c r="BV144" s="379"/>
      <c r="BW144" s="378"/>
      <c r="BX144" s="378"/>
      <c r="BY144" s="378"/>
      <c r="BZ144" s="378"/>
      <c r="CA144" s="378"/>
      <c r="CB144" s="378"/>
      <c r="CC144" s="378"/>
      <c r="CD144" s="378"/>
      <c r="CE144" s="378"/>
      <c r="CF144" s="378"/>
      <c r="CG144" s="378"/>
      <c r="CH144" s="378"/>
      <c r="CI144" s="378"/>
      <c r="CJ144" s="378"/>
      <c r="CK144" s="378"/>
      <c r="CL144" s="378"/>
      <c r="CM144" s="378"/>
      <c r="CN144" s="378"/>
      <c r="CO144" s="378"/>
      <c r="CP144" s="378"/>
      <c r="CQ144" s="378"/>
      <c r="CR144" s="378"/>
      <c r="CS144" s="378"/>
      <c r="CT144" s="378"/>
      <c r="CU144" s="378"/>
      <c r="CV144" s="378"/>
      <c r="CW144" s="378"/>
      <c r="CX144" s="378"/>
      <c r="CY144" s="378"/>
      <c r="CZ144" s="378"/>
      <c r="DA144" s="378"/>
      <c r="DB144" s="378"/>
      <c r="DC144" s="378"/>
      <c r="DD144" s="378"/>
      <c r="DE144" s="378"/>
      <c r="DF144" s="378"/>
      <c r="DG144" s="378"/>
      <c r="DH144" s="378"/>
      <c r="DI144" s="378"/>
      <c r="DJ144" s="378"/>
      <c r="DK144" s="378"/>
      <c r="DL144" s="378"/>
      <c r="DM144" s="378"/>
      <c r="DN144" s="378"/>
      <c r="DO144" s="378"/>
      <c r="DP144" s="378"/>
      <c r="DQ144" s="378"/>
      <c r="DR144" s="378"/>
      <c r="DS144" s="378"/>
      <c r="DT144" s="378"/>
      <c r="DU144" s="378"/>
      <c r="DV144" s="378"/>
      <c r="DW144" s="378"/>
      <c r="DX144" s="378"/>
      <c r="DY144" s="378"/>
      <c r="DZ144" s="378"/>
      <c r="EA144" s="378"/>
      <c r="EB144" s="378"/>
      <c r="EC144" s="378"/>
      <c r="ED144" s="378"/>
      <c r="EE144" s="378"/>
      <c r="EF144" s="378"/>
      <c r="EG144" s="378"/>
      <c r="EH144" s="378"/>
      <c r="EI144" s="378"/>
      <c r="EJ144" s="378"/>
      <c r="EK144" s="378"/>
      <c r="EL144" s="378"/>
      <c r="EM144" s="378"/>
      <c r="EN144" s="378"/>
      <c r="EO144" s="378"/>
      <c r="EP144" s="378"/>
      <c r="EQ144" s="378"/>
      <c r="ER144" s="378"/>
      <c r="ES144" s="378"/>
      <c r="ET144" s="378"/>
      <c r="EU144" s="378"/>
      <c r="EV144" s="378"/>
      <c r="EW144" s="378"/>
      <c r="EX144" s="378"/>
    </row>
    <row r="145" spans="1:154" s="377" customFormat="1" x14ac:dyDescent="0.2">
      <c r="A145" s="377" t="s">
        <v>83</v>
      </c>
      <c r="B145" s="377" t="s">
        <v>52</v>
      </c>
      <c r="C145" s="668"/>
      <c r="D145" s="378"/>
      <c r="E145" s="679"/>
      <c r="F145" s="395"/>
      <c r="G145" s="378"/>
      <c r="H145" s="379"/>
      <c r="I145" s="395"/>
      <c r="J145" s="378"/>
      <c r="K145" s="379"/>
      <c r="L145" s="395"/>
      <c r="M145" s="378"/>
      <c r="N145" s="395"/>
      <c r="O145" s="704"/>
      <c r="P145" s="705"/>
      <c r="Q145" s="379"/>
      <c r="R145" s="395"/>
      <c r="S145" s="378"/>
      <c r="T145" s="379"/>
      <c r="U145" s="395"/>
      <c r="V145" s="378"/>
      <c r="W145" s="379"/>
      <c r="X145" s="395"/>
      <c r="Y145" s="378"/>
      <c r="Z145" s="379"/>
      <c r="AA145" s="395"/>
      <c r="AB145" s="395"/>
      <c r="AC145" s="379"/>
      <c r="AD145" s="395"/>
      <c r="AE145" s="378"/>
      <c r="AF145" s="379"/>
      <c r="AG145" s="395"/>
      <c r="AH145" s="378"/>
      <c r="AI145" s="379"/>
      <c r="AJ145" s="395"/>
      <c r="AK145" s="378"/>
      <c r="AL145" s="379"/>
      <c r="AM145" s="395"/>
      <c r="AN145" s="378"/>
      <c r="AO145" s="379"/>
      <c r="AP145" s="395"/>
      <c r="AQ145" s="378"/>
      <c r="AR145" s="379"/>
      <c r="AS145" s="395"/>
      <c r="AT145" s="378"/>
      <c r="AU145" s="379"/>
      <c r="AV145" s="395"/>
      <c r="AW145" s="378"/>
      <c r="AX145" s="379"/>
      <c r="AY145" s="395"/>
      <c r="AZ145" s="378"/>
      <c r="BA145" s="379"/>
      <c r="BB145" s="395"/>
      <c r="BC145" s="378"/>
      <c r="BD145" s="379"/>
      <c r="BE145" s="395"/>
      <c r="BF145" s="378"/>
      <c r="BG145" s="379"/>
      <c r="BH145" s="395"/>
      <c r="BI145" s="378"/>
      <c r="BJ145" s="379"/>
      <c r="BK145" s="395"/>
      <c r="BL145" s="378"/>
      <c r="BM145" s="379"/>
      <c r="BN145" s="395"/>
      <c r="BO145" s="378"/>
      <c r="BP145" s="379"/>
      <c r="BQ145" s="395"/>
      <c r="BR145" s="378"/>
      <c r="BS145" s="379"/>
      <c r="BT145" s="395"/>
      <c r="BU145" s="378"/>
      <c r="BV145" s="379"/>
      <c r="BW145" s="378"/>
      <c r="BX145" s="378"/>
      <c r="BY145" s="378"/>
      <c r="BZ145" s="378"/>
      <c r="CA145" s="378"/>
      <c r="CB145" s="378"/>
      <c r="CC145" s="378"/>
      <c r="CD145" s="378"/>
      <c r="CE145" s="378"/>
      <c r="CF145" s="378"/>
      <c r="CG145" s="378"/>
      <c r="CH145" s="378"/>
      <c r="CI145" s="378"/>
      <c r="CJ145" s="378"/>
      <c r="CK145" s="378"/>
      <c r="CL145" s="378"/>
      <c r="CM145" s="378"/>
      <c r="CN145" s="378"/>
      <c r="CO145" s="378"/>
      <c r="CP145" s="378"/>
      <c r="CQ145" s="378"/>
      <c r="CR145" s="378"/>
      <c r="CS145" s="378"/>
      <c r="CT145" s="378"/>
      <c r="CU145" s="378"/>
      <c r="CV145" s="378"/>
      <c r="CW145" s="378"/>
      <c r="CX145" s="378"/>
      <c r="CY145" s="378"/>
      <c r="CZ145" s="378"/>
      <c r="DA145" s="378"/>
      <c r="DB145" s="378"/>
      <c r="DC145" s="378"/>
      <c r="DD145" s="378"/>
      <c r="DE145" s="378"/>
      <c r="DF145" s="378"/>
      <c r="DG145" s="378"/>
      <c r="DH145" s="378"/>
      <c r="DI145" s="378"/>
      <c r="DJ145" s="378"/>
      <c r="DK145" s="378"/>
      <c r="DL145" s="378"/>
      <c r="DM145" s="378"/>
      <c r="DN145" s="378"/>
      <c r="DO145" s="378"/>
      <c r="DP145" s="378"/>
      <c r="DQ145" s="378"/>
      <c r="DR145" s="378"/>
      <c r="DS145" s="378"/>
      <c r="DT145" s="378"/>
      <c r="DU145" s="378"/>
      <c r="DV145" s="378"/>
      <c r="DW145" s="378"/>
      <c r="DX145" s="378"/>
      <c r="DY145" s="378"/>
      <c r="DZ145" s="378"/>
      <c r="EA145" s="378"/>
      <c r="EB145" s="378"/>
      <c r="EC145" s="378"/>
      <c r="ED145" s="378"/>
      <c r="EE145" s="378"/>
      <c r="EF145" s="378"/>
      <c r="EG145" s="378"/>
      <c r="EH145" s="378"/>
      <c r="EI145" s="378"/>
      <c r="EJ145" s="378"/>
      <c r="EK145" s="378"/>
      <c r="EL145" s="378"/>
      <c r="EM145" s="378"/>
      <c r="EN145" s="378"/>
      <c r="EO145" s="378"/>
      <c r="EP145" s="378"/>
      <c r="EQ145" s="378"/>
      <c r="ER145" s="378"/>
      <c r="ES145" s="378"/>
      <c r="ET145" s="378"/>
      <c r="EU145" s="378"/>
      <c r="EV145" s="378"/>
      <c r="EW145" s="378"/>
      <c r="EX145" s="378"/>
    </row>
    <row r="146" spans="1:154" s="377" customFormat="1" x14ac:dyDescent="0.2">
      <c r="A146" s="414" t="s">
        <v>145</v>
      </c>
      <c r="C146" s="668"/>
      <c r="D146" s="378"/>
      <c r="E146" s="679"/>
      <c r="F146" s="395"/>
      <c r="G146" s="378"/>
      <c r="H146" s="379"/>
      <c r="I146" s="395"/>
      <c r="J146" s="378"/>
      <c r="K146" s="379"/>
      <c r="L146" s="395"/>
      <c r="M146" s="378"/>
      <c r="N146" s="395"/>
      <c r="O146" s="704"/>
      <c r="P146" s="705"/>
      <c r="Q146" s="379"/>
      <c r="R146" s="395"/>
      <c r="S146" s="378"/>
      <c r="T146" s="379"/>
      <c r="U146" s="395"/>
      <c r="V146" s="378"/>
      <c r="W146" s="379"/>
      <c r="X146" s="395"/>
      <c r="Y146" s="378"/>
      <c r="Z146" s="379"/>
      <c r="AA146" s="395"/>
      <c r="AB146" s="395"/>
      <c r="AC146" s="379"/>
      <c r="AD146" s="395"/>
      <c r="AE146" s="378"/>
      <c r="AF146" s="379"/>
      <c r="AG146" s="395"/>
      <c r="AH146" s="378"/>
      <c r="AI146" s="379"/>
      <c r="AJ146" s="395"/>
      <c r="AK146" s="378"/>
      <c r="AL146" s="379"/>
      <c r="AM146" s="395"/>
      <c r="AN146" s="378"/>
      <c r="AO146" s="379"/>
      <c r="AP146" s="395"/>
      <c r="AQ146" s="378"/>
      <c r="AR146" s="379"/>
      <c r="AS146" s="395"/>
      <c r="AT146" s="378"/>
      <c r="AU146" s="379"/>
      <c r="AV146" s="395"/>
      <c r="AW146" s="378"/>
      <c r="AX146" s="379"/>
      <c r="AY146" s="395"/>
      <c r="AZ146" s="378"/>
      <c r="BA146" s="379"/>
      <c r="BB146" s="395"/>
      <c r="BC146" s="378"/>
      <c r="BD146" s="379"/>
      <c r="BE146" s="395"/>
      <c r="BF146" s="378"/>
      <c r="BG146" s="379"/>
      <c r="BH146" s="395"/>
      <c r="BI146" s="378"/>
      <c r="BJ146" s="379"/>
      <c r="BK146" s="395"/>
      <c r="BL146" s="378"/>
      <c r="BM146" s="379"/>
      <c r="BN146" s="395"/>
      <c r="BO146" s="378"/>
      <c r="BP146" s="379"/>
      <c r="BQ146" s="395"/>
      <c r="BR146" s="378"/>
      <c r="BS146" s="379"/>
      <c r="BT146" s="395"/>
      <c r="BU146" s="378"/>
      <c r="BV146" s="379"/>
      <c r="BW146" s="378"/>
      <c r="BX146" s="378"/>
      <c r="BY146" s="378"/>
      <c r="BZ146" s="378"/>
      <c r="CA146" s="378"/>
      <c r="CB146" s="378"/>
      <c r="CC146" s="378"/>
      <c r="CD146" s="378"/>
      <c r="CE146" s="378"/>
      <c r="CF146" s="378"/>
      <c r="CG146" s="378"/>
      <c r="CH146" s="378"/>
      <c r="CI146" s="378"/>
      <c r="CJ146" s="378"/>
      <c r="CK146" s="378"/>
      <c r="CL146" s="378"/>
      <c r="CM146" s="378"/>
      <c r="CN146" s="378"/>
      <c r="CO146" s="378"/>
      <c r="CP146" s="378"/>
      <c r="CQ146" s="378"/>
      <c r="CR146" s="378"/>
      <c r="CS146" s="378"/>
      <c r="CT146" s="378"/>
      <c r="CU146" s="378"/>
      <c r="CV146" s="378"/>
      <c r="CW146" s="378"/>
      <c r="CX146" s="378"/>
      <c r="CY146" s="378"/>
      <c r="CZ146" s="378"/>
      <c r="DA146" s="378"/>
      <c r="DB146" s="378"/>
      <c r="DC146" s="378"/>
      <c r="DD146" s="378"/>
      <c r="DE146" s="378"/>
      <c r="DF146" s="378"/>
      <c r="DG146" s="378"/>
      <c r="DH146" s="378"/>
      <c r="DI146" s="378"/>
      <c r="DJ146" s="378"/>
      <c r="DK146" s="378"/>
      <c r="DL146" s="378"/>
      <c r="DM146" s="378"/>
      <c r="DN146" s="378"/>
      <c r="DO146" s="378"/>
      <c r="DP146" s="378"/>
      <c r="DQ146" s="378"/>
      <c r="DR146" s="378"/>
      <c r="DS146" s="378"/>
      <c r="DT146" s="378"/>
      <c r="DU146" s="378"/>
      <c r="DV146" s="378"/>
      <c r="DW146" s="378"/>
      <c r="DX146" s="378"/>
      <c r="DY146" s="378"/>
      <c r="DZ146" s="378"/>
      <c r="EA146" s="378"/>
      <c r="EB146" s="378"/>
      <c r="EC146" s="378"/>
      <c r="ED146" s="378"/>
      <c r="EE146" s="378"/>
      <c r="EF146" s="378"/>
      <c r="EG146" s="378"/>
      <c r="EH146" s="378"/>
      <c r="EI146" s="378"/>
      <c r="EJ146" s="378"/>
      <c r="EK146" s="378"/>
      <c r="EL146" s="378"/>
      <c r="EM146" s="378"/>
      <c r="EN146" s="378"/>
      <c r="EO146" s="378"/>
      <c r="EP146" s="378"/>
      <c r="EQ146" s="378"/>
      <c r="ER146" s="378"/>
      <c r="ES146" s="378"/>
      <c r="ET146" s="378"/>
      <c r="EU146" s="378"/>
      <c r="EV146" s="378"/>
      <c r="EW146" s="378"/>
      <c r="EX146" s="378"/>
    </row>
    <row r="147" spans="1:154" s="377" customFormat="1" x14ac:dyDescent="0.2">
      <c r="A147" s="377" t="s">
        <v>136</v>
      </c>
      <c r="B147" s="377" t="s">
        <v>52</v>
      </c>
      <c r="C147" s="668"/>
      <c r="D147" s="378"/>
      <c r="E147" s="679"/>
      <c r="F147" s="395"/>
      <c r="G147" s="378"/>
      <c r="H147" s="379"/>
      <c r="I147" s="395"/>
      <c r="J147" s="378"/>
      <c r="K147" s="379"/>
      <c r="L147" s="395"/>
      <c r="M147" s="378"/>
      <c r="N147" s="395"/>
      <c r="O147" s="704"/>
      <c r="P147" s="705"/>
      <c r="Q147" s="379"/>
      <c r="R147" s="395"/>
      <c r="S147" s="378"/>
      <c r="T147" s="379"/>
      <c r="U147" s="395"/>
      <c r="V147" s="378"/>
      <c r="W147" s="379"/>
      <c r="X147" s="395"/>
      <c r="Y147" s="378"/>
      <c r="Z147" s="379"/>
      <c r="AA147" s="395"/>
      <c r="AB147" s="395"/>
      <c r="AC147" s="379"/>
      <c r="AD147" s="395"/>
      <c r="AE147" s="378"/>
      <c r="AF147" s="379"/>
      <c r="AG147" s="395"/>
      <c r="AH147" s="378"/>
      <c r="AI147" s="379"/>
      <c r="AJ147" s="395"/>
      <c r="AK147" s="378"/>
      <c r="AL147" s="379"/>
      <c r="AM147" s="395"/>
      <c r="AN147" s="378"/>
      <c r="AO147" s="379"/>
      <c r="AP147" s="395"/>
      <c r="AQ147" s="378"/>
      <c r="AR147" s="379"/>
      <c r="AS147" s="395"/>
      <c r="AT147" s="378"/>
      <c r="AU147" s="379"/>
      <c r="AV147" s="395"/>
      <c r="AW147" s="378"/>
      <c r="AX147" s="379"/>
      <c r="AY147" s="395"/>
      <c r="AZ147" s="378"/>
      <c r="BA147" s="379"/>
      <c r="BB147" s="395"/>
      <c r="BC147" s="378"/>
      <c r="BD147" s="379"/>
      <c r="BE147" s="395"/>
      <c r="BF147" s="378"/>
      <c r="BG147" s="379"/>
      <c r="BH147" s="395"/>
      <c r="BI147" s="378"/>
      <c r="BJ147" s="379"/>
      <c r="BK147" s="395"/>
      <c r="BL147" s="378"/>
      <c r="BM147" s="379"/>
      <c r="BN147" s="395"/>
      <c r="BO147" s="378"/>
      <c r="BP147" s="379"/>
      <c r="BQ147" s="395"/>
      <c r="BR147" s="378"/>
      <c r="BS147" s="379"/>
      <c r="BT147" s="395"/>
      <c r="BU147" s="378"/>
      <c r="BV147" s="379"/>
      <c r="BW147" s="378"/>
      <c r="BX147" s="378"/>
      <c r="BY147" s="378"/>
      <c r="BZ147" s="378"/>
      <c r="CA147" s="378"/>
      <c r="CB147" s="378"/>
      <c r="CC147" s="378"/>
      <c r="CD147" s="378"/>
      <c r="CE147" s="378"/>
      <c r="CF147" s="378"/>
      <c r="CG147" s="378"/>
      <c r="CH147" s="378"/>
      <c r="CI147" s="378"/>
      <c r="CJ147" s="378"/>
      <c r="CK147" s="378"/>
      <c r="CL147" s="378"/>
      <c r="CM147" s="378"/>
      <c r="CN147" s="378"/>
      <c r="CO147" s="378"/>
      <c r="CP147" s="378"/>
      <c r="CQ147" s="378"/>
      <c r="CR147" s="378"/>
      <c r="CS147" s="378"/>
      <c r="CT147" s="378"/>
      <c r="CU147" s="378"/>
      <c r="CV147" s="378"/>
      <c r="CW147" s="378"/>
      <c r="CX147" s="378"/>
      <c r="CY147" s="378"/>
      <c r="CZ147" s="378"/>
      <c r="DA147" s="378"/>
      <c r="DB147" s="378"/>
      <c r="DC147" s="378"/>
      <c r="DD147" s="378"/>
      <c r="DE147" s="378"/>
      <c r="DF147" s="378"/>
      <c r="DG147" s="378"/>
      <c r="DH147" s="378"/>
      <c r="DI147" s="378"/>
      <c r="DJ147" s="378"/>
      <c r="DK147" s="378"/>
      <c r="DL147" s="378"/>
      <c r="DM147" s="378"/>
      <c r="DN147" s="378"/>
      <c r="DO147" s="378"/>
      <c r="DP147" s="378"/>
      <c r="DQ147" s="378"/>
      <c r="DR147" s="378"/>
      <c r="DS147" s="378"/>
      <c r="DT147" s="378"/>
      <c r="DU147" s="378"/>
      <c r="DV147" s="378"/>
      <c r="DW147" s="378"/>
      <c r="DX147" s="378"/>
      <c r="DY147" s="378"/>
      <c r="DZ147" s="378"/>
      <c r="EA147" s="378"/>
      <c r="EB147" s="378"/>
      <c r="EC147" s="378"/>
      <c r="ED147" s="378"/>
      <c r="EE147" s="378"/>
      <c r="EF147" s="378"/>
      <c r="EG147" s="378"/>
      <c r="EH147" s="378"/>
      <c r="EI147" s="378"/>
      <c r="EJ147" s="378"/>
      <c r="EK147" s="378"/>
      <c r="EL147" s="378"/>
      <c r="EM147" s="378"/>
      <c r="EN147" s="378"/>
      <c r="EO147" s="378"/>
      <c r="EP147" s="378"/>
      <c r="EQ147" s="378"/>
      <c r="ER147" s="378"/>
      <c r="ES147" s="378"/>
      <c r="ET147" s="378"/>
      <c r="EU147" s="378"/>
      <c r="EV147" s="378"/>
      <c r="EW147" s="378"/>
      <c r="EX147" s="378"/>
    </row>
    <row r="148" spans="1:154" s="377" customFormat="1" x14ac:dyDescent="0.2">
      <c r="A148" s="377" t="s">
        <v>137</v>
      </c>
      <c r="B148" s="377" t="s">
        <v>52</v>
      </c>
      <c r="C148" s="668">
        <v>497500</v>
      </c>
      <c r="D148" s="378"/>
      <c r="E148" s="679"/>
      <c r="F148" s="395">
        <v>497500</v>
      </c>
      <c r="G148" s="378"/>
      <c r="H148" s="379"/>
      <c r="I148" s="395">
        <v>477500</v>
      </c>
      <c r="J148" s="378"/>
      <c r="K148" s="379"/>
      <c r="L148" s="395">
        <v>477500</v>
      </c>
      <c r="M148" s="378"/>
      <c r="N148" s="395"/>
      <c r="O148" s="704">
        <v>477500</v>
      </c>
      <c r="P148" s="705"/>
      <c r="Q148" s="379"/>
      <c r="R148" s="395">
        <v>477500</v>
      </c>
      <c r="S148" s="378"/>
      <c r="T148" s="379"/>
      <c r="U148" s="395">
        <v>477500</v>
      </c>
      <c r="V148" s="378"/>
      <c r="W148" s="379"/>
      <c r="X148" s="395">
        <v>477500</v>
      </c>
      <c r="Y148" s="378"/>
      <c r="Z148" s="379"/>
      <c r="AA148" s="395">
        <v>477500</v>
      </c>
      <c r="AB148" s="395"/>
      <c r="AC148" s="379"/>
      <c r="AD148" s="395">
        <v>477500</v>
      </c>
      <c r="AE148" s="378"/>
      <c r="AF148" s="379"/>
      <c r="AG148" s="395">
        <f>477500-21500</f>
        <v>456000</v>
      </c>
      <c r="AH148" s="378"/>
      <c r="AI148" s="379"/>
      <c r="AJ148" s="395">
        <v>456000</v>
      </c>
      <c r="AK148" s="378"/>
      <c r="AL148" s="379"/>
      <c r="AM148" s="395">
        <v>477500</v>
      </c>
      <c r="AN148" s="378"/>
      <c r="AO148" s="379"/>
      <c r="AP148" s="395">
        <v>477500</v>
      </c>
      <c r="AQ148" s="378"/>
      <c r="AR148" s="379"/>
      <c r="AS148" s="395">
        <v>477500</v>
      </c>
      <c r="AT148" s="378"/>
      <c r="AU148" s="379"/>
      <c r="AV148" s="395">
        <v>477500</v>
      </c>
      <c r="AW148" s="378"/>
      <c r="AX148" s="379"/>
      <c r="AY148" s="395">
        <v>477500</v>
      </c>
      <c r="AZ148" s="378"/>
      <c r="BA148" s="379"/>
      <c r="BB148" s="395">
        <v>477500</v>
      </c>
      <c r="BC148" s="378"/>
      <c r="BD148" s="379"/>
      <c r="BE148" s="395">
        <v>477500</v>
      </c>
      <c r="BF148" s="378"/>
      <c r="BG148" s="379"/>
      <c r="BH148" s="395">
        <v>477500</v>
      </c>
      <c r="BI148" s="378"/>
      <c r="BJ148" s="379"/>
      <c r="BK148" s="395">
        <v>477500</v>
      </c>
      <c r="BL148" s="378"/>
      <c r="BM148" s="379"/>
      <c r="BN148" s="395">
        <v>477500</v>
      </c>
      <c r="BO148" s="378"/>
      <c r="BP148" s="379"/>
      <c r="BQ148" s="395">
        <v>477500</v>
      </c>
      <c r="BR148" s="378"/>
      <c r="BS148" s="379"/>
      <c r="BT148" s="395">
        <v>477500</v>
      </c>
      <c r="BU148" s="378"/>
      <c r="BV148" s="379"/>
      <c r="BW148" s="378"/>
      <c r="BX148" s="378"/>
      <c r="BY148" s="378"/>
      <c r="BZ148" s="378"/>
      <c r="CA148" s="378"/>
      <c r="CB148" s="378"/>
      <c r="CC148" s="378"/>
      <c r="CD148" s="378"/>
      <c r="CE148" s="378"/>
      <c r="CF148" s="378"/>
      <c r="CG148" s="378"/>
      <c r="CH148" s="378"/>
      <c r="CI148" s="378"/>
      <c r="CJ148" s="378"/>
      <c r="CK148" s="378"/>
      <c r="CL148" s="378"/>
      <c r="CM148" s="378"/>
      <c r="CN148" s="378"/>
      <c r="CO148" s="378"/>
      <c r="CP148" s="378"/>
      <c r="CQ148" s="378"/>
      <c r="CR148" s="378"/>
      <c r="CS148" s="378"/>
      <c r="CT148" s="378"/>
      <c r="CU148" s="378"/>
      <c r="CV148" s="378"/>
      <c r="CW148" s="378"/>
      <c r="CX148" s="378"/>
      <c r="CY148" s="378"/>
      <c r="CZ148" s="378"/>
      <c r="DA148" s="378"/>
      <c r="DB148" s="378"/>
      <c r="DC148" s="378"/>
      <c r="DD148" s="378"/>
      <c r="DE148" s="378"/>
      <c r="DF148" s="378"/>
      <c r="DG148" s="378"/>
      <c r="DH148" s="378"/>
      <c r="DI148" s="378"/>
      <c r="DJ148" s="378"/>
      <c r="DK148" s="378"/>
      <c r="DL148" s="378"/>
      <c r="DM148" s="378"/>
      <c r="DN148" s="378"/>
      <c r="DO148" s="378"/>
      <c r="DP148" s="378"/>
      <c r="DQ148" s="378"/>
      <c r="DR148" s="378"/>
      <c r="DS148" s="378"/>
      <c r="DT148" s="378"/>
      <c r="DU148" s="378"/>
      <c r="DV148" s="378"/>
      <c r="DW148" s="378"/>
      <c r="DX148" s="378"/>
      <c r="DY148" s="378"/>
      <c r="DZ148" s="378"/>
      <c r="EA148" s="378"/>
      <c r="EB148" s="378"/>
      <c r="EC148" s="378"/>
      <c r="ED148" s="378"/>
      <c r="EE148" s="378"/>
      <c r="EF148" s="378"/>
      <c r="EG148" s="378"/>
      <c r="EH148" s="378"/>
      <c r="EI148" s="378"/>
      <c r="EJ148" s="378"/>
      <c r="EK148" s="378"/>
      <c r="EL148" s="378"/>
      <c r="EM148" s="378"/>
      <c r="EN148" s="378"/>
      <c r="EO148" s="378"/>
      <c r="EP148" s="378"/>
      <c r="EQ148" s="378"/>
      <c r="ER148" s="378"/>
      <c r="ES148" s="378"/>
      <c r="ET148" s="378"/>
      <c r="EU148" s="378"/>
      <c r="EV148" s="378"/>
      <c r="EW148" s="378"/>
      <c r="EX148" s="378"/>
    </row>
    <row r="149" spans="1:154" s="377" customFormat="1" x14ac:dyDescent="0.2">
      <c r="A149" s="414" t="s">
        <v>144</v>
      </c>
      <c r="C149" s="668"/>
      <c r="D149" s="378"/>
      <c r="E149" s="679"/>
      <c r="F149" s="395"/>
      <c r="G149" s="378"/>
      <c r="H149" s="379"/>
      <c r="I149" s="395"/>
      <c r="J149" s="378"/>
      <c r="K149" s="379"/>
      <c r="L149" s="395"/>
      <c r="M149" s="378"/>
      <c r="N149" s="395"/>
      <c r="O149" s="704"/>
      <c r="P149" s="705"/>
      <c r="Q149" s="379"/>
      <c r="R149" s="395"/>
      <c r="S149" s="378"/>
      <c r="T149" s="379"/>
      <c r="U149" s="395"/>
      <c r="V149" s="378"/>
      <c r="W149" s="379"/>
      <c r="X149" s="395"/>
      <c r="Y149" s="378"/>
      <c r="Z149" s="379"/>
      <c r="AA149" s="395"/>
      <c r="AB149" s="395"/>
      <c r="AC149" s="379"/>
      <c r="AD149" s="395"/>
      <c r="AE149" s="378"/>
      <c r="AF149" s="379"/>
      <c r="AG149" s="395"/>
      <c r="AH149" s="378"/>
      <c r="AI149" s="379"/>
      <c r="AJ149" s="395"/>
      <c r="AK149" s="378"/>
      <c r="AL149" s="379"/>
      <c r="AM149" s="395"/>
      <c r="AN149" s="378"/>
      <c r="AO149" s="379"/>
      <c r="AP149" s="395"/>
      <c r="AQ149" s="378"/>
      <c r="AR149" s="379"/>
      <c r="AS149" s="395"/>
      <c r="AT149" s="378"/>
      <c r="AU149" s="379"/>
      <c r="AV149" s="395"/>
      <c r="AW149" s="378"/>
      <c r="AX149" s="379"/>
      <c r="AY149" s="395"/>
      <c r="AZ149" s="378"/>
      <c r="BA149" s="379"/>
      <c r="BB149" s="395"/>
      <c r="BC149" s="378"/>
      <c r="BD149" s="379"/>
      <c r="BE149" s="395"/>
      <c r="BF149" s="378"/>
      <c r="BG149" s="379"/>
      <c r="BH149" s="395"/>
      <c r="BI149" s="378"/>
      <c r="BJ149" s="379"/>
      <c r="BK149" s="395"/>
      <c r="BL149" s="378"/>
      <c r="BM149" s="379"/>
      <c r="BN149" s="395"/>
      <c r="BO149" s="378"/>
      <c r="BP149" s="379"/>
      <c r="BQ149" s="395"/>
      <c r="BR149" s="378"/>
      <c r="BS149" s="379"/>
      <c r="BT149" s="395"/>
      <c r="BU149" s="378"/>
      <c r="BV149" s="379"/>
      <c r="BW149" s="378"/>
      <c r="BX149" s="378"/>
      <c r="BY149" s="378"/>
      <c r="BZ149" s="378"/>
      <c r="CA149" s="378"/>
      <c r="CB149" s="378"/>
      <c r="CC149" s="378"/>
      <c r="CD149" s="378"/>
      <c r="CE149" s="378"/>
      <c r="CF149" s="378"/>
      <c r="CG149" s="378"/>
      <c r="CH149" s="378"/>
      <c r="CI149" s="378"/>
      <c r="CJ149" s="378"/>
      <c r="CK149" s="378"/>
      <c r="CL149" s="378"/>
      <c r="CM149" s="378"/>
      <c r="CN149" s="378"/>
      <c r="CO149" s="378"/>
      <c r="CP149" s="378"/>
      <c r="CQ149" s="378"/>
      <c r="CR149" s="378"/>
      <c r="CS149" s="378"/>
      <c r="CT149" s="378"/>
      <c r="CU149" s="378"/>
      <c r="CV149" s="378"/>
      <c r="CW149" s="378"/>
      <c r="CX149" s="378"/>
      <c r="CY149" s="378"/>
      <c r="CZ149" s="378"/>
      <c r="DA149" s="378"/>
      <c r="DB149" s="378"/>
      <c r="DC149" s="378"/>
      <c r="DD149" s="378"/>
      <c r="DE149" s="378"/>
      <c r="DF149" s="378"/>
      <c r="DG149" s="378"/>
      <c r="DH149" s="378"/>
      <c r="DI149" s="378"/>
      <c r="DJ149" s="378"/>
      <c r="DK149" s="378"/>
      <c r="DL149" s="378"/>
      <c r="DM149" s="378"/>
      <c r="DN149" s="378"/>
      <c r="DO149" s="378"/>
      <c r="DP149" s="378"/>
      <c r="DQ149" s="378"/>
      <c r="DR149" s="378"/>
      <c r="DS149" s="378"/>
      <c r="DT149" s="378"/>
      <c r="DU149" s="378"/>
      <c r="DV149" s="378"/>
      <c r="DW149" s="378"/>
      <c r="DX149" s="378"/>
      <c r="DY149" s="378"/>
      <c r="DZ149" s="378"/>
      <c r="EA149" s="378"/>
      <c r="EB149" s="378"/>
      <c r="EC149" s="378"/>
      <c r="ED149" s="378"/>
      <c r="EE149" s="378"/>
      <c r="EF149" s="378"/>
      <c r="EG149" s="378"/>
      <c r="EH149" s="378"/>
      <c r="EI149" s="378"/>
      <c r="EJ149" s="378"/>
      <c r="EK149" s="378"/>
      <c r="EL149" s="378"/>
      <c r="EM149" s="378"/>
      <c r="EN149" s="378"/>
      <c r="EO149" s="378"/>
      <c r="EP149" s="378"/>
      <c r="EQ149" s="378"/>
      <c r="ER149" s="378"/>
      <c r="ES149" s="378"/>
      <c r="ET149" s="378"/>
      <c r="EU149" s="378"/>
      <c r="EV149" s="378"/>
      <c r="EW149" s="378"/>
      <c r="EX149" s="378"/>
    </row>
    <row r="150" spans="1:154" s="377" customFormat="1" x14ac:dyDescent="0.2">
      <c r="A150" s="377" t="s">
        <v>138</v>
      </c>
      <c r="B150" s="377" t="s">
        <v>52</v>
      </c>
      <c r="C150" s="668">
        <v>334000</v>
      </c>
      <c r="D150" s="378"/>
      <c r="E150" s="679"/>
      <c r="F150" s="395">
        <v>314000</v>
      </c>
      <c r="G150" s="378"/>
      <c r="H150" s="379"/>
      <c r="I150" s="395">
        <v>314000</v>
      </c>
      <c r="J150" s="378"/>
      <c r="K150" s="379"/>
      <c r="L150" s="395">
        <v>328000</v>
      </c>
      <c r="M150" s="378"/>
      <c r="N150" s="395"/>
      <c r="O150" s="704">
        <v>328000</v>
      </c>
      <c r="P150" s="705"/>
      <c r="Q150" s="379"/>
      <c r="R150" s="395">
        <v>328000</v>
      </c>
      <c r="S150" s="378"/>
      <c r="T150" s="379"/>
      <c r="U150" s="395">
        <v>328000</v>
      </c>
      <c r="V150" s="378"/>
      <c r="W150" s="379"/>
      <c r="X150" s="395">
        <v>328000</v>
      </c>
      <c r="Y150" s="378"/>
      <c r="Z150" s="379"/>
      <c r="AA150" s="395">
        <v>328000</v>
      </c>
      <c r="AB150" s="395"/>
      <c r="AC150" s="379"/>
      <c r="AD150" s="395">
        <v>328000</v>
      </c>
      <c r="AE150" s="378"/>
      <c r="AF150" s="379"/>
      <c r="AG150" s="395">
        <v>314000</v>
      </c>
      <c r="AH150" s="378"/>
      <c r="AI150" s="379"/>
      <c r="AJ150" s="395">
        <v>314000</v>
      </c>
      <c r="AK150" s="378"/>
      <c r="AL150" s="379"/>
      <c r="AM150" s="395">
        <v>314000</v>
      </c>
      <c r="AN150" s="378"/>
      <c r="AO150" s="379"/>
      <c r="AP150" s="395">
        <v>314000</v>
      </c>
      <c r="AQ150" s="378"/>
      <c r="AR150" s="379"/>
      <c r="AS150" s="395">
        <v>314000</v>
      </c>
      <c r="AT150" s="378"/>
      <c r="AU150" s="379"/>
      <c r="AV150" s="395">
        <v>306000</v>
      </c>
      <c r="AW150" s="378"/>
      <c r="AX150" s="379"/>
      <c r="AY150" s="395">
        <v>306000</v>
      </c>
      <c r="AZ150" s="378"/>
      <c r="BA150" s="379"/>
      <c r="BB150" s="395">
        <v>306000</v>
      </c>
      <c r="BC150" s="378"/>
      <c r="BD150" s="379"/>
      <c r="BE150" s="395">
        <v>306000</v>
      </c>
      <c r="BF150" s="378"/>
      <c r="BG150" s="379"/>
      <c r="BH150" s="395">
        <v>306000</v>
      </c>
      <c r="BI150" s="378"/>
      <c r="BJ150" s="379"/>
      <c r="BK150" s="395">
        <v>306000</v>
      </c>
      <c r="BL150" s="378"/>
      <c r="BM150" s="379"/>
      <c r="BN150" s="395">
        <v>306000</v>
      </c>
      <c r="BO150" s="378"/>
      <c r="BP150" s="379"/>
      <c r="BQ150" s="395">
        <v>306000</v>
      </c>
      <c r="BR150" s="378"/>
      <c r="BS150" s="379"/>
      <c r="BT150" s="395">
        <v>306000</v>
      </c>
      <c r="BU150" s="378"/>
      <c r="BV150" s="379"/>
      <c r="BW150" s="378"/>
      <c r="BX150" s="378"/>
      <c r="BY150" s="378"/>
      <c r="BZ150" s="378"/>
      <c r="CA150" s="378"/>
      <c r="CB150" s="378"/>
      <c r="CC150" s="378"/>
      <c r="CD150" s="378"/>
      <c r="CE150" s="378"/>
      <c r="CF150" s="378"/>
      <c r="CG150" s="378"/>
      <c r="CH150" s="378"/>
      <c r="CI150" s="378"/>
      <c r="CJ150" s="378"/>
      <c r="CK150" s="378"/>
      <c r="CL150" s="378"/>
      <c r="CM150" s="378"/>
      <c r="CN150" s="378"/>
      <c r="CO150" s="378"/>
      <c r="CP150" s="378"/>
      <c r="CQ150" s="378"/>
      <c r="CR150" s="378"/>
      <c r="CS150" s="378"/>
      <c r="CT150" s="378"/>
      <c r="CU150" s="378"/>
      <c r="CV150" s="378"/>
      <c r="CW150" s="378"/>
      <c r="CX150" s="378"/>
      <c r="CY150" s="378"/>
      <c r="CZ150" s="378"/>
      <c r="DA150" s="378"/>
      <c r="DB150" s="378"/>
      <c r="DC150" s="378"/>
      <c r="DD150" s="378"/>
      <c r="DE150" s="378"/>
      <c r="DF150" s="378"/>
      <c r="DG150" s="378"/>
      <c r="DH150" s="378"/>
      <c r="DI150" s="378"/>
      <c r="DJ150" s="378"/>
      <c r="DK150" s="378"/>
      <c r="DL150" s="378"/>
      <c r="DM150" s="378"/>
      <c r="DN150" s="378"/>
      <c r="DO150" s="378"/>
      <c r="DP150" s="378"/>
      <c r="DQ150" s="378"/>
      <c r="DR150" s="378"/>
      <c r="DS150" s="378"/>
      <c r="DT150" s="378"/>
      <c r="DU150" s="378"/>
      <c r="DV150" s="378"/>
      <c r="DW150" s="378"/>
      <c r="DX150" s="378"/>
      <c r="DY150" s="378"/>
      <c r="DZ150" s="378"/>
      <c r="EA150" s="378"/>
      <c r="EB150" s="378"/>
      <c r="EC150" s="378"/>
      <c r="ED150" s="378"/>
      <c r="EE150" s="378"/>
      <c r="EF150" s="378"/>
      <c r="EG150" s="378"/>
      <c r="EH150" s="378"/>
      <c r="EI150" s="378"/>
      <c r="EJ150" s="378"/>
      <c r="EK150" s="378"/>
      <c r="EL150" s="378"/>
      <c r="EM150" s="378"/>
      <c r="EN150" s="378"/>
      <c r="EO150" s="378"/>
      <c r="EP150" s="378"/>
      <c r="EQ150" s="378"/>
      <c r="ER150" s="378"/>
      <c r="ES150" s="378"/>
      <c r="ET150" s="378"/>
      <c r="EU150" s="378"/>
      <c r="EV150" s="378"/>
      <c r="EW150" s="378"/>
      <c r="EX150" s="378"/>
    </row>
    <row r="151" spans="1:154" s="377" customFormat="1" x14ac:dyDescent="0.2">
      <c r="A151" s="377" t="s">
        <v>139</v>
      </c>
      <c r="B151" s="377" t="s">
        <v>52</v>
      </c>
      <c r="C151" s="668"/>
      <c r="D151" s="378"/>
      <c r="E151" s="679"/>
      <c r="F151" s="395"/>
      <c r="G151" s="378"/>
      <c r="H151" s="379"/>
      <c r="I151" s="395"/>
      <c r="J151" s="378"/>
      <c r="K151" s="379"/>
      <c r="L151" s="395"/>
      <c r="M151" s="378"/>
      <c r="N151" s="395"/>
      <c r="O151" s="704"/>
      <c r="P151" s="705"/>
      <c r="Q151" s="379"/>
      <c r="R151" s="395"/>
      <c r="S151" s="378"/>
      <c r="T151" s="379"/>
      <c r="U151" s="395"/>
      <c r="V151" s="378"/>
      <c r="W151" s="379"/>
      <c r="X151" s="395"/>
      <c r="Y151" s="378"/>
      <c r="Z151" s="379"/>
      <c r="AA151" s="395"/>
      <c r="AB151" s="395"/>
      <c r="AC151" s="379"/>
      <c r="AD151" s="395"/>
      <c r="AE151" s="378"/>
      <c r="AF151" s="379"/>
      <c r="AG151" s="395"/>
      <c r="AH151" s="378"/>
      <c r="AI151" s="379"/>
      <c r="AJ151" s="395"/>
      <c r="AK151" s="378"/>
      <c r="AL151" s="379"/>
      <c r="AM151" s="395"/>
      <c r="AN151" s="378"/>
      <c r="AO151" s="379"/>
      <c r="AP151" s="395"/>
      <c r="AQ151" s="378"/>
      <c r="AR151" s="379"/>
      <c r="AS151" s="395"/>
      <c r="AT151" s="378"/>
      <c r="AU151" s="379"/>
      <c r="AV151" s="395"/>
      <c r="AW151" s="378"/>
      <c r="AX151" s="379"/>
      <c r="AY151" s="395"/>
      <c r="AZ151" s="378"/>
      <c r="BA151" s="379"/>
      <c r="BB151" s="395"/>
      <c r="BC151" s="378"/>
      <c r="BD151" s="379"/>
      <c r="BE151" s="395"/>
      <c r="BF151" s="378"/>
      <c r="BG151" s="379"/>
      <c r="BH151" s="395"/>
      <c r="BI151" s="378"/>
      <c r="BJ151" s="379"/>
      <c r="BK151" s="395"/>
      <c r="BL151" s="378"/>
      <c r="BM151" s="379"/>
      <c r="BN151" s="395"/>
      <c r="BO151" s="378"/>
      <c r="BP151" s="379"/>
      <c r="BQ151" s="395"/>
      <c r="BR151" s="378"/>
      <c r="BS151" s="379"/>
      <c r="BT151" s="395"/>
      <c r="BU151" s="378"/>
      <c r="BV151" s="379"/>
      <c r="BW151" s="378"/>
      <c r="BX151" s="378"/>
      <c r="BY151" s="378"/>
      <c r="BZ151" s="378"/>
      <c r="CA151" s="378"/>
      <c r="CB151" s="378"/>
      <c r="CC151" s="378"/>
      <c r="CD151" s="378"/>
      <c r="CE151" s="378"/>
      <c r="CF151" s="378"/>
      <c r="CG151" s="378"/>
      <c r="CH151" s="378"/>
      <c r="CI151" s="378"/>
      <c r="CJ151" s="378"/>
      <c r="CK151" s="378"/>
      <c r="CL151" s="378"/>
      <c r="CM151" s="378"/>
      <c r="CN151" s="378"/>
      <c r="CO151" s="378"/>
      <c r="CP151" s="378"/>
      <c r="CQ151" s="378"/>
      <c r="CR151" s="378"/>
      <c r="CS151" s="378"/>
      <c r="CT151" s="378"/>
      <c r="CU151" s="378"/>
      <c r="CV151" s="378"/>
      <c r="CW151" s="378"/>
      <c r="CX151" s="378"/>
      <c r="CY151" s="378"/>
      <c r="CZ151" s="378"/>
      <c r="DA151" s="378"/>
      <c r="DB151" s="378"/>
      <c r="DC151" s="378"/>
      <c r="DD151" s="378"/>
      <c r="DE151" s="378"/>
      <c r="DF151" s="378"/>
      <c r="DG151" s="378"/>
      <c r="DH151" s="378"/>
      <c r="DI151" s="378"/>
      <c r="DJ151" s="378"/>
      <c r="DK151" s="378"/>
      <c r="DL151" s="378"/>
      <c r="DM151" s="378"/>
      <c r="DN151" s="378"/>
      <c r="DO151" s="378"/>
      <c r="DP151" s="378"/>
      <c r="DQ151" s="378"/>
      <c r="DR151" s="378"/>
      <c r="DS151" s="378"/>
      <c r="DT151" s="378"/>
      <c r="DU151" s="378"/>
      <c r="DV151" s="378"/>
      <c r="DW151" s="378"/>
      <c r="DX151" s="378"/>
      <c r="DY151" s="378"/>
      <c r="DZ151" s="378"/>
      <c r="EA151" s="378"/>
      <c r="EB151" s="378"/>
      <c r="EC151" s="378"/>
      <c r="ED151" s="378"/>
      <c r="EE151" s="378"/>
      <c r="EF151" s="378"/>
      <c r="EG151" s="378"/>
      <c r="EH151" s="378"/>
      <c r="EI151" s="378"/>
      <c r="EJ151" s="378"/>
      <c r="EK151" s="378"/>
      <c r="EL151" s="378"/>
      <c r="EM151" s="378"/>
      <c r="EN151" s="378"/>
      <c r="EO151" s="378"/>
      <c r="EP151" s="378"/>
      <c r="EQ151" s="378"/>
      <c r="ER151" s="378"/>
      <c r="ES151" s="378"/>
      <c r="ET151" s="378"/>
      <c r="EU151" s="378"/>
      <c r="EV151" s="378"/>
      <c r="EW151" s="378"/>
      <c r="EX151" s="378"/>
    </row>
    <row r="152" spans="1:154" s="377" customFormat="1" x14ac:dyDescent="0.2">
      <c r="A152" s="377" t="s">
        <v>140</v>
      </c>
      <c r="B152" s="377" t="s">
        <v>52</v>
      </c>
      <c r="C152" s="668">
        <v>27500</v>
      </c>
      <c r="D152" s="378"/>
      <c r="E152" s="679"/>
      <c r="F152" s="395">
        <v>27500</v>
      </c>
      <c r="G152" s="378"/>
      <c r="H152" s="379"/>
      <c r="I152" s="395">
        <v>47500</v>
      </c>
      <c r="J152" s="378"/>
      <c r="K152" s="379"/>
      <c r="L152" s="395">
        <v>47500</v>
      </c>
      <c r="M152" s="378"/>
      <c r="N152" s="395"/>
      <c r="O152" s="704">
        <v>47500</v>
      </c>
      <c r="P152" s="705"/>
      <c r="Q152" s="379"/>
      <c r="R152" s="395">
        <v>47500</v>
      </c>
      <c r="S152" s="378"/>
      <c r="T152" s="379"/>
      <c r="U152" s="395">
        <v>47500</v>
      </c>
      <c r="V152" s="378"/>
      <c r="W152" s="379"/>
      <c r="X152" s="395">
        <v>47500</v>
      </c>
      <c r="Y152" s="378"/>
      <c r="Z152" s="379"/>
      <c r="AA152" s="395">
        <v>47500</v>
      </c>
      <c r="AB152" s="395"/>
      <c r="AC152" s="379"/>
      <c r="AD152" s="395">
        <v>47500</v>
      </c>
      <c r="AE152" s="378"/>
      <c r="AF152" s="379"/>
      <c r="AG152" s="395">
        <v>69000</v>
      </c>
      <c r="AH152" s="378"/>
      <c r="AI152" s="379"/>
      <c r="AJ152" s="395">
        <v>69000</v>
      </c>
      <c r="AK152" s="378"/>
      <c r="AL152" s="379"/>
      <c r="AM152" s="395">
        <v>20000</v>
      </c>
      <c r="AN152" s="378"/>
      <c r="AO152" s="379"/>
      <c r="AP152" s="395">
        <v>20000</v>
      </c>
      <c r="AQ152" s="378"/>
      <c r="AR152" s="379"/>
      <c r="AS152" s="395">
        <v>20000</v>
      </c>
      <c r="AT152" s="378"/>
      <c r="AU152" s="379"/>
      <c r="AV152" s="395">
        <v>20000</v>
      </c>
      <c r="AW152" s="378"/>
      <c r="AX152" s="379"/>
      <c r="AY152" s="395">
        <v>20000</v>
      </c>
      <c r="AZ152" s="378"/>
      <c r="BA152" s="379"/>
      <c r="BB152" s="395">
        <v>20000</v>
      </c>
      <c r="BC152" s="378"/>
      <c r="BD152" s="379"/>
      <c r="BE152" s="395">
        <v>20000</v>
      </c>
      <c r="BF152" s="378"/>
      <c r="BG152" s="379"/>
      <c r="BH152" s="395">
        <v>20000</v>
      </c>
      <c r="BI152" s="378"/>
      <c r="BJ152" s="379"/>
      <c r="BK152" s="395">
        <v>20000</v>
      </c>
      <c r="BL152" s="378"/>
      <c r="BM152" s="379"/>
      <c r="BN152" s="395">
        <v>20000</v>
      </c>
      <c r="BO152" s="378"/>
      <c r="BP152" s="379"/>
      <c r="BQ152" s="395">
        <v>20000</v>
      </c>
      <c r="BR152" s="378"/>
      <c r="BS152" s="379"/>
      <c r="BT152" s="395">
        <v>20000</v>
      </c>
      <c r="BU152" s="378"/>
      <c r="BV152" s="379"/>
      <c r="BW152" s="378"/>
      <c r="BX152" s="378"/>
      <c r="BY152" s="378"/>
      <c r="BZ152" s="378"/>
      <c r="CA152" s="378"/>
      <c r="CB152" s="378"/>
      <c r="CC152" s="378"/>
      <c r="CD152" s="378"/>
      <c r="CE152" s="378"/>
      <c r="CF152" s="378"/>
      <c r="CG152" s="378"/>
      <c r="CH152" s="378"/>
      <c r="CI152" s="378"/>
      <c r="CJ152" s="378"/>
      <c r="CK152" s="378"/>
      <c r="CL152" s="378"/>
      <c r="CM152" s="378"/>
      <c r="CN152" s="378"/>
      <c r="CO152" s="378"/>
      <c r="CP152" s="378"/>
      <c r="CQ152" s="378"/>
      <c r="CR152" s="378"/>
      <c r="CS152" s="378"/>
      <c r="CT152" s="378"/>
      <c r="CU152" s="378"/>
      <c r="CV152" s="378"/>
      <c r="CW152" s="378"/>
      <c r="CX152" s="378"/>
      <c r="CY152" s="378"/>
      <c r="CZ152" s="378"/>
      <c r="DA152" s="378"/>
      <c r="DB152" s="378"/>
      <c r="DC152" s="378"/>
      <c r="DD152" s="378"/>
      <c r="DE152" s="378"/>
      <c r="DF152" s="378"/>
      <c r="DG152" s="378"/>
      <c r="DH152" s="378"/>
      <c r="DI152" s="378"/>
      <c r="DJ152" s="378"/>
      <c r="DK152" s="378"/>
      <c r="DL152" s="378"/>
      <c r="DM152" s="378"/>
      <c r="DN152" s="378"/>
      <c r="DO152" s="378"/>
      <c r="DP152" s="378"/>
      <c r="DQ152" s="378"/>
      <c r="DR152" s="378"/>
      <c r="DS152" s="378"/>
      <c r="DT152" s="378"/>
      <c r="DU152" s="378"/>
      <c r="DV152" s="378"/>
      <c r="DW152" s="378"/>
      <c r="DX152" s="378"/>
      <c r="DY152" s="378"/>
      <c r="DZ152" s="378"/>
      <c r="EA152" s="378"/>
      <c r="EB152" s="378"/>
      <c r="EC152" s="378"/>
      <c r="ED152" s="378"/>
      <c r="EE152" s="378"/>
      <c r="EF152" s="378"/>
      <c r="EG152" s="378"/>
      <c r="EH152" s="378"/>
      <c r="EI152" s="378"/>
      <c r="EJ152" s="378"/>
      <c r="EK152" s="378"/>
      <c r="EL152" s="378"/>
      <c r="EM152" s="378"/>
      <c r="EN152" s="378"/>
      <c r="EO152" s="378"/>
      <c r="EP152" s="378"/>
      <c r="EQ152" s="378"/>
      <c r="ER152" s="378"/>
      <c r="ES152" s="378"/>
      <c r="ET152" s="378"/>
      <c r="EU152" s="378"/>
      <c r="EV152" s="378"/>
      <c r="EW152" s="378"/>
      <c r="EX152" s="378"/>
    </row>
    <row r="153" spans="1:154" s="377" customFormat="1" x14ac:dyDescent="0.2">
      <c r="A153" s="377" t="s">
        <v>141</v>
      </c>
      <c r="B153" s="377" t="s">
        <v>52</v>
      </c>
      <c r="C153" s="668">
        <v>265000</v>
      </c>
      <c r="D153" s="378"/>
      <c r="E153" s="679"/>
      <c r="F153" s="395">
        <v>265000</v>
      </c>
      <c r="G153" s="378"/>
      <c r="H153" s="379"/>
      <c r="I153" s="395">
        <v>245000</v>
      </c>
      <c r="J153" s="378"/>
      <c r="K153" s="379"/>
      <c r="L153" s="395">
        <v>245000</v>
      </c>
      <c r="M153" s="378"/>
      <c r="N153" s="395"/>
      <c r="O153" s="704">
        <v>245000</v>
      </c>
      <c r="P153" s="705"/>
      <c r="Q153" s="379"/>
      <c r="R153" s="395">
        <v>245000</v>
      </c>
      <c r="S153" s="378"/>
      <c r="T153" s="379"/>
      <c r="U153" s="395">
        <v>245000</v>
      </c>
      <c r="V153" s="378"/>
      <c r="W153" s="379"/>
      <c r="X153" s="395">
        <v>245000</v>
      </c>
      <c r="Y153" s="378"/>
      <c r="Z153" s="379"/>
      <c r="AA153" s="395">
        <v>245000</v>
      </c>
      <c r="AB153" s="395"/>
      <c r="AC153" s="379"/>
      <c r="AD153" s="395">
        <v>245000</v>
      </c>
      <c r="AE153" s="378"/>
      <c r="AF153" s="379"/>
      <c r="AG153" s="395">
        <v>245000</v>
      </c>
      <c r="AH153" s="378"/>
      <c r="AI153" s="379"/>
      <c r="AJ153" s="395">
        <v>245000</v>
      </c>
      <c r="AK153" s="378"/>
      <c r="AL153" s="379"/>
      <c r="AM153" s="395">
        <v>245000</v>
      </c>
      <c r="AN153" s="378"/>
      <c r="AO153" s="379"/>
      <c r="AP153" s="395">
        <v>245000</v>
      </c>
      <c r="AQ153" s="378"/>
      <c r="AR153" s="379"/>
      <c r="AS153" s="395">
        <v>245000</v>
      </c>
      <c r="AT153" s="378"/>
      <c r="AU153" s="379"/>
      <c r="AV153" s="395">
        <v>245000</v>
      </c>
      <c r="AW153" s="378"/>
      <c r="AX153" s="379"/>
      <c r="AY153" s="395">
        <v>245000</v>
      </c>
      <c r="AZ153" s="378"/>
      <c r="BA153" s="379"/>
      <c r="BB153" s="395">
        <v>245000</v>
      </c>
      <c r="BC153" s="378"/>
      <c r="BD153" s="379"/>
      <c r="BE153" s="395">
        <v>245000</v>
      </c>
      <c r="BF153" s="378"/>
      <c r="BG153" s="379"/>
      <c r="BH153" s="395">
        <v>245000</v>
      </c>
      <c r="BI153" s="378"/>
      <c r="BJ153" s="379"/>
      <c r="BK153" s="395">
        <v>245000</v>
      </c>
      <c r="BL153" s="378"/>
      <c r="BM153" s="379"/>
      <c r="BN153" s="395">
        <v>245000</v>
      </c>
      <c r="BO153" s="378"/>
      <c r="BP153" s="379"/>
      <c r="BQ153" s="395">
        <v>245000</v>
      </c>
      <c r="BR153" s="378"/>
      <c r="BS153" s="379"/>
      <c r="BT153" s="395">
        <v>245000</v>
      </c>
      <c r="BU153" s="378"/>
      <c r="BV153" s="379"/>
      <c r="BW153" s="378"/>
      <c r="BX153" s="378"/>
      <c r="BY153" s="378"/>
      <c r="BZ153" s="378"/>
      <c r="CA153" s="378"/>
      <c r="CB153" s="378"/>
      <c r="CC153" s="378"/>
      <c r="CD153" s="378"/>
      <c r="CE153" s="378"/>
      <c r="CF153" s="378"/>
      <c r="CG153" s="378"/>
      <c r="CH153" s="378"/>
      <c r="CI153" s="378"/>
      <c r="CJ153" s="378"/>
      <c r="CK153" s="378"/>
      <c r="CL153" s="378"/>
      <c r="CM153" s="378"/>
      <c r="CN153" s="378"/>
      <c r="CO153" s="378"/>
      <c r="CP153" s="378"/>
      <c r="CQ153" s="378"/>
      <c r="CR153" s="378"/>
      <c r="CS153" s="378"/>
      <c r="CT153" s="378"/>
      <c r="CU153" s="378"/>
      <c r="CV153" s="378"/>
      <c r="CW153" s="378"/>
      <c r="CX153" s="378"/>
      <c r="CY153" s="378"/>
      <c r="CZ153" s="378"/>
      <c r="DA153" s="378"/>
      <c r="DB153" s="378"/>
      <c r="DC153" s="378"/>
      <c r="DD153" s="378"/>
      <c r="DE153" s="378"/>
      <c r="DF153" s="378"/>
      <c r="DG153" s="378"/>
      <c r="DH153" s="378"/>
      <c r="DI153" s="378"/>
      <c r="DJ153" s="378"/>
      <c r="DK153" s="378"/>
      <c r="DL153" s="378"/>
      <c r="DM153" s="378"/>
      <c r="DN153" s="378"/>
      <c r="DO153" s="378"/>
      <c r="DP153" s="378"/>
      <c r="DQ153" s="378"/>
      <c r="DR153" s="378"/>
      <c r="DS153" s="378"/>
      <c r="DT153" s="378"/>
      <c r="DU153" s="378"/>
      <c r="DV153" s="378"/>
      <c r="DW153" s="378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</row>
    <row r="154" spans="1:154" s="377" customFormat="1" x14ac:dyDescent="0.2">
      <c r="A154" s="377" t="s">
        <v>228</v>
      </c>
      <c r="B154" s="377" t="s">
        <v>52</v>
      </c>
      <c r="C154" s="668">
        <v>1300</v>
      </c>
      <c r="D154" s="378"/>
      <c r="E154" s="679"/>
      <c r="F154" s="395">
        <v>1300</v>
      </c>
      <c r="G154" s="378"/>
      <c r="H154" s="379"/>
      <c r="I154" s="395">
        <v>1300</v>
      </c>
      <c r="J154" s="378"/>
      <c r="K154" s="379"/>
      <c r="L154" s="395">
        <v>1300</v>
      </c>
      <c r="M154" s="378"/>
      <c r="N154" s="395"/>
      <c r="O154" s="704">
        <v>1300</v>
      </c>
      <c r="P154" s="705"/>
      <c r="Q154" s="379"/>
      <c r="R154" s="395">
        <v>0</v>
      </c>
      <c r="S154" s="378"/>
      <c r="T154" s="379"/>
      <c r="U154" s="395">
        <v>0</v>
      </c>
      <c r="V154" s="378"/>
      <c r="W154" s="379"/>
      <c r="X154" s="395">
        <v>0</v>
      </c>
      <c r="Y154" s="378"/>
      <c r="Z154" s="379"/>
      <c r="AA154" s="395">
        <v>0</v>
      </c>
      <c r="AB154" s="395"/>
      <c r="AC154" s="379"/>
      <c r="AD154" s="395">
        <v>0</v>
      </c>
      <c r="AE154" s="378"/>
      <c r="AF154" s="379"/>
      <c r="AG154" s="395">
        <v>0</v>
      </c>
      <c r="AH154" s="378"/>
      <c r="AI154" s="379"/>
      <c r="AJ154" s="395">
        <v>0</v>
      </c>
      <c r="AK154" s="378"/>
      <c r="AL154" s="379"/>
      <c r="AM154" s="395">
        <v>1300</v>
      </c>
      <c r="AN154" s="378"/>
      <c r="AO154" s="379"/>
      <c r="AP154" s="395">
        <v>1300</v>
      </c>
      <c r="AQ154" s="378"/>
      <c r="AR154" s="379"/>
      <c r="AS154" s="395">
        <v>1300</v>
      </c>
      <c r="AT154" s="378"/>
      <c r="AU154" s="379"/>
      <c r="AV154" s="395">
        <v>1300</v>
      </c>
      <c r="AW154" s="378"/>
      <c r="AX154" s="379"/>
      <c r="AY154" s="395">
        <v>1300</v>
      </c>
      <c r="AZ154" s="378"/>
      <c r="BA154" s="379"/>
      <c r="BB154" s="395">
        <v>1300</v>
      </c>
      <c r="BC154" s="378"/>
      <c r="BD154" s="379"/>
      <c r="BE154" s="395">
        <v>1300</v>
      </c>
      <c r="BF154" s="378"/>
      <c r="BG154" s="379"/>
      <c r="BH154" s="395">
        <v>1300</v>
      </c>
      <c r="BI154" s="378"/>
      <c r="BJ154" s="379"/>
      <c r="BK154" s="395">
        <v>1300</v>
      </c>
      <c r="BL154" s="378"/>
      <c r="BM154" s="379"/>
      <c r="BN154" s="395">
        <v>1300</v>
      </c>
      <c r="BO154" s="378"/>
      <c r="BP154" s="379"/>
      <c r="BQ154" s="395">
        <v>1300</v>
      </c>
      <c r="BR154" s="378"/>
      <c r="BS154" s="379"/>
      <c r="BT154" s="395">
        <v>1300</v>
      </c>
      <c r="BU154" s="378"/>
      <c r="BV154" s="379"/>
      <c r="BW154" s="378"/>
      <c r="BX154" s="378"/>
      <c r="BY154" s="378"/>
      <c r="BZ154" s="378"/>
      <c r="CA154" s="378"/>
      <c r="CB154" s="378"/>
      <c r="CC154" s="378"/>
      <c r="CD154" s="378"/>
      <c r="CE154" s="378"/>
      <c r="CF154" s="378"/>
      <c r="CG154" s="378"/>
      <c r="CH154" s="378"/>
      <c r="CI154" s="378"/>
      <c r="CJ154" s="378"/>
      <c r="CK154" s="378"/>
      <c r="CL154" s="378"/>
      <c r="CM154" s="378"/>
      <c r="CN154" s="378"/>
      <c r="CO154" s="378"/>
      <c r="CP154" s="378"/>
      <c r="CQ154" s="378"/>
      <c r="CR154" s="378"/>
      <c r="CS154" s="378"/>
      <c r="CT154" s="378"/>
      <c r="CU154" s="378"/>
      <c r="CV154" s="378"/>
      <c r="CW154" s="378"/>
      <c r="CX154" s="378"/>
      <c r="CY154" s="378"/>
      <c r="CZ154" s="378"/>
      <c r="DA154" s="378"/>
      <c r="DB154" s="378"/>
      <c r="DC154" s="378"/>
      <c r="DD154" s="378"/>
      <c r="DE154" s="378"/>
      <c r="DF154" s="378"/>
      <c r="DG154" s="378"/>
      <c r="DH154" s="378"/>
      <c r="DI154" s="378"/>
      <c r="DJ154" s="378"/>
      <c r="DK154" s="378"/>
      <c r="DL154" s="378"/>
      <c r="DM154" s="378"/>
      <c r="DN154" s="378"/>
      <c r="DO154" s="378"/>
      <c r="DP154" s="378"/>
      <c r="DQ154" s="378"/>
      <c r="DR154" s="378"/>
      <c r="DS154" s="378"/>
      <c r="DT154" s="378"/>
      <c r="DU154" s="378"/>
      <c r="DV154" s="378"/>
      <c r="DW154" s="378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</row>
    <row r="155" spans="1:154" s="377" customFormat="1" x14ac:dyDescent="0.2">
      <c r="A155" s="414" t="s">
        <v>143</v>
      </c>
      <c r="C155" s="668"/>
      <c r="D155" s="378"/>
      <c r="E155" s="679"/>
      <c r="F155" s="395"/>
      <c r="G155" s="378"/>
      <c r="H155" s="379"/>
      <c r="I155" s="395"/>
      <c r="J155" s="378"/>
      <c r="K155" s="379"/>
      <c r="L155" s="395"/>
      <c r="M155" s="378"/>
      <c r="N155" s="395"/>
      <c r="O155" s="704"/>
      <c r="P155" s="705"/>
      <c r="Q155" s="379"/>
      <c r="R155" s="395"/>
      <c r="S155" s="378"/>
      <c r="T155" s="379"/>
      <c r="U155" s="395"/>
      <c r="V155" s="378"/>
      <c r="W155" s="379"/>
      <c r="X155" s="395"/>
      <c r="Y155" s="378"/>
      <c r="Z155" s="379"/>
      <c r="AA155" s="395"/>
      <c r="AB155" s="395"/>
      <c r="AC155" s="379"/>
      <c r="AD155" s="395"/>
      <c r="AE155" s="378"/>
      <c r="AF155" s="379"/>
      <c r="AG155" s="395"/>
      <c r="AH155" s="378"/>
      <c r="AI155" s="379"/>
      <c r="AJ155" s="395"/>
      <c r="AK155" s="378"/>
      <c r="AL155" s="379"/>
      <c r="AM155" s="395"/>
      <c r="AN155" s="378"/>
      <c r="AO155" s="379"/>
      <c r="AP155" s="395"/>
      <c r="AQ155" s="378"/>
      <c r="AR155" s="379"/>
      <c r="AS155" s="395"/>
      <c r="AT155" s="378"/>
      <c r="AU155" s="379"/>
      <c r="AV155" s="395"/>
      <c r="AW155" s="378"/>
      <c r="AX155" s="379"/>
      <c r="AY155" s="395"/>
      <c r="AZ155" s="378"/>
      <c r="BA155" s="379"/>
      <c r="BB155" s="395"/>
      <c r="BC155" s="378"/>
      <c r="BD155" s="379"/>
      <c r="BE155" s="395"/>
      <c r="BF155" s="378"/>
      <c r="BG155" s="379"/>
      <c r="BH155" s="395"/>
      <c r="BI155" s="378"/>
      <c r="BJ155" s="379"/>
      <c r="BK155" s="395"/>
      <c r="BL155" s="378"/>
      <c r="BM155" s="379"/>
      <c r="BN155" s="395"/>
      <c r="BO155" s="378"/>
      <c r="BP155" s="379"/>
      <c r="BQ155" s="395"/>
      <c r="BR155" s="378"/>
      <c r="BS155" s="379"/>
      <c r="BT155" s="395"/>
      <c r="BU155" s="378"/>
      <c r="BV155" s="379"/>
      <c r="BW155" s="378"/>
      <c r="BX155" s="378"/>
      <c r="BY155" s="378"/>
      <c r="BZ155" s="378"/>
      <c r="CA155" s="378"/>
      <c r="CB155" s="378"/>
      <c r="CC155" s="378"/>
      <c r="CD155" s="378"/>
      <c r="CE155" s="378"/>
      <c r="CF155" s="378"/>
      <c r="CG155" s="378"/>
      <c r="CH155" s="378"/>
      <c r="CI155" s="378"/>
      <c r="CJ155" s="378"/>
      <c r="CK155" s="378"/>
      <c r="CL155" s="378"/>
      <c r="CM155" s="378"/>
      <c r="CN155" s="378"/>
      <c r="CO155" s="378"/>
      <c r="CP155" s="378"/>
      <c r="CQ155" s="378"/>
      <c r="CR155" s="378"/>
      <c r="CS155" s="378"/>
      <c r="CT155" s="378"/>
      <c r="CU155" s="378"/>
      <c r="CV155" s="378"/>
      <c r="CW155" s="378"/>
      <c r="CX155" s="378"/>
      <c r="CY155" s="378"/>
      <c r="CZ155" s="378"/>
      <c r="DA155" s="378"/>
      <c r="DB155" s="378"/>
      <c r="DC155" s="378"/>
      <c r="DD155" s="378"/>
      <c r="DE155" s="378"/>
      <c r="DF155" s="378"/>
      <c r="DG155" s="378"/>
      <c r="DH155" s="378"/>
      <c r="DI155" s="378"/>
      <c r="DJ155" s="378"/>
      <c r="DK155" s="378"/>
      <c r="DL155" s="378"/>
      <c r="DM155" s="378"/>
      <c r="DN155" s="378"/>
      <c r="DO155" s="378"/>
      <c r="DP155" s="378"/>
      <c r="DQ155" s="378"/>
      <c r="DR155" s="378"/>
      <c r="DS155" s="378"/>
      <c r="DT155" s="378"/>
      <c r="DU155" s="378"/>
      <c r="DV155" s="378"/>
      <c r="DW155" s="378"/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</row>
    <row r="158" spans="1:154" s="61" customFormat="1" x14ac:dyDescent="0.2">
      <c r="C158" s="668"/>
      <c r="D158" s="375"/>
      <c r="E158" s="679"/>
      <c r="F158" s="375"/>
      <c r="G158" s="375"/>
      <c r="H158" s="376"/>
      <c r="I158" s="375"/>
      <c r="J158" s="375"/>
      <c r="K158" s="376"/>
      <c r="L158" s="375"/>
      <c r="M158" s="375"/>
      <c r="N158" s="374"/>
      <c r="O158" s="448"/>
      <c r="P158" s="398"/>
      <c r="Q158" s="379"/>
      <c r="R158" s="378"/>
      <c r="S158" s="378"/>
      <c r="T158" s="379"/>
      <c r="U158" s="378"/>
      <c r="V158" s="378"/>
      <c r="W158" s="379"/>
      <c r="X158" s="378"/>
      <c r="Y158" s="378"/>
      <c r="Z158" s="379"/>
      <c r="AA158" s="378"/>
      <c r="AB158" s="395"/>
      <c r="AC158" s="404"/>
      <c r="AF158" s="404"/>
      <c r="AI158" s="404"/>
      <c r="AL158" s="404"/>
      <c r="AO158" s="404"/>
      <c r="AR158" s="404"/>
      <c r="AU158" s="404"/>
      <c r="AX158" s="404"/>
      <c r="BA158" s="404"/>
      <c r="BD158" s="404"/>
      <c r="BG158" s="404"/>
      <c r="BJ158" s="404"/>
      <c r="BM158" s="404"/>
      <c r="BP158" s="404"/>
      <c r="BS158" s="404"/>
      <c r="BV158" s="404"/>
    </row>
    <row r="159" spans="1:154" s="389" customFormat="1" x14ac:dyDescent="0.2">
      <c r="A159" s="406" t="s">
        <v>454</v>
      </c>
      <c r="B159" s="406" t="s">
        <v>455</v>
      </c>
      <c r="C159" s="669"/>
      <c r="D159" s="384"/>
      <c r="E159" s="681"/>
      <c r="F159" s="384"/>
      <c r="G159" s="384"/>
      <c r="H159" s="385"/>
      <c r="I159" s="384"/>
      <c r="J159" s="384"/>
      <c r="K159" s="385"/>
      <c r="L159" s="384"/>
      <c r="M159" s="384"/>
      <c r="N159" s="383"/>
      <c r="O159" s="697"/>
      <c r="P159" s="399"/>
      <c r="Q159" s="388"/>
      <c r="R159" s="387"/>
      <c r="S159" s="387"/>
      <c r="T159" s="388"/>
      <c r="U159" s="387"/>
      <c r="V159" s="387"/>
      <c r="W159" s="388"/>
      <c r="X159" s="387"/>
      <c r="Y159" s="387"/>
      <c r="Z159" s="388"/>
      <c r="AA159" s="387"/>
      <c r="AB159" s="396"/>
      <c r="AC159" s="405"/>
      <c r="AF159" s="405"/>
      <c r="AI159" s="405"/>
      <c r="AL159" s="405"/>
      <c r="AO159" s="405"/>
      <c r="AR159" s="405"/>
      <c r="AU159" s="405"/>
      <c r="AX159" s="405"/>
      <c r="BA159" s="405"/>
      <c r="BD159" s="405"/>
      <c r="BG159" s="405"/>
      <c r="BJ159" s="405"/>
      <c r="BM159" s="405"/>
      <c r="BP159" s="405"/>
      <c r="BS159" s="405"/>
      <c r="BV159" s="405"/>
    </row>
    <row r="160" spans="1:154" s="389" customFormat="1" x14ac:dyDescent="0.2">
      <c r="A160" s="381" t="s">
        <v>457</v>
      </c>
      <c r="B160" s="382"/>
      <c r="C160" s="669"/>
      <c r="D160" s="384"/>
      <c r="E160" s="681"/>
      <c r="F160" s="384"/>
      <c r="G160" s="384"/>
      <c r="H160" s="385"/>
      <c r="I160" s="384"/>
      <c r="J160" s="384"/>
      <c r="K160" s="385"/>
      <c r="L160" s="384"/>
      <c r="M160" s="384"/>
      <c r="N160" s="383"/>
      <c r="O160" s="697"/>
      <c r="P160" s="399"/>
      <c r="Q160" s="388"/>
      <c r="R160" s="387"/>
      <c r="S160" s="387"/>
      <c r="T160" s="388"/>
      <c r="U160" s="387"/>
      <c r="V160" s="387"/>
      <c r="W160" s="388"/>
      <c r="X160" s="387"/>
      <c r="Y160" s="387"/>
      <c r="Z160" s="388"/>
      <c r="AA160" s="387"/>
      <c r="AB160" s="396"/>
      <c r="AC160" s="405"/>
      <c r="AF160" s="405"/>
      <c r="AI160" s="405"/>
      <c r="AL160" s="405"/>
      <c r="AO160" s="405"/>
      <c r="AR160" s="405"/>
      <c r="AU160" s="405"/>
      <c r="AX160" s="405"/>
      <c r="BA160" s="405"/>
      <c r="BD160" s="405"/>
      <c r="BG160" s="405"/>
      <c r="BJ160" s="405"/>
      <c r="BM160" s="405"/>
      <c r="BP160" s="405"/>
      <c r="BS160" s="405"/>
      <c r="BV160" s="405"/>
    </row>
    <row r="161" spans="1:154" s="439" customFormat="1" x14ac:dyDescent="0.2">
      <c r="A161" s="439" t="s">
        <v>131</v>
      </c>
      <c r="B161" s="439" t="s">
        <v>52</v>
      </c>
      <c r="C161" s="670">
        <f>C28+C53-C137</f>
        <v>260214</v>
      </c>
      <c r="D161" s="446"/>
      <c r="E161" s="685"/>
      <c r="F161" s="445">
        <f>F28+F53-F137</f>
        <v>260214</v>
      </c>
      <c r="G161" s="446"/>
      <c r="H161" s="447"/>
      <c r="I161" s="445">
        <f>I28+I53-I137</f>
        <v>215214</v>
      </c>
      <c r="J161" s="446"/>
      <c r="K161" s="447"/>
      <c r="L161" s="445">
        <f>L28+L53-L137</f>
        <v>215214</v>
      </c>
      <c r="M161" s="446"/>
      <c r="N161" s="445"/>
      <c r="O161" s="700">
        <f>O28+O53-O137</f>
        <v>201827</v>
      </c>
      <c r="P161" s="446"/>
      <c r="Q161" s="447"/>
      <c r="R161" s="445">
        <f>R28+R53-R137</f>
        <v>206047</v>
      </c>
      <c r="S161" s="446"/>
      <c r="T161" s="447"/>
      <c r="U161" s="445">
        <f>U28+U53-U137</f>
        <v>210617</v>
      </c>
      <c r="V161" s="446"/>
      <c r="W161" s="447"/>
      <c r="X161" s="445">
        <f>X28+X53-X137</f>
        <v>207391</v>
      </c>
      <c r="Y161" s="446"/>
      <c r="Z161" s="447"/>
      <c r="AA161" s="445">
        <f>AA28+AA53-AA137</f>
        <v>201047</v>
      </c>
      <c r="AB161" s="446"/>
      <c r="AC161" s="447"/>
      <c r="AD161" s="445">
        <f>AD28+AD53-AD137</f>
        <v>177000</v>
      </c>
      <c r="AE161" s="446"/>
      <c r="AF161" s="447"/>
      <c r="AG161" s="445">
        <f>AG28+AG53-AG137</f>
        <v>222000</v>
      </c>
      <c r="AH161" s="446"/>
      <c r="AI161" s="447"/>
      <c r="AJ161" s="445">
        <f>AJ28+AJ53-AJ137</f>
        <v>222000</v>
      </c>
      <c r="AK161" s="446"/>
      <c r="AL161" s="447"/>
      <c r="AM161" s="445">
        <f>AM28+AM53-AM137</f>
        <v>-375000</v>
      </c>
      <c r="AN161" s="446"/>
      <c r="AO161" s="447"/>
      <c r="AP161" s="445">
        <f>AP28+AP53-AP137</f>
        <v>-375000</v>
      </c>
      <c r="AQ161" s="446"/>
      <c r="AR161" s="447"/>
      <c r="AS161" s="445">
        <f>AS28+AS53-AS137</f>
        <v>-375000</v>
      </c>
      <c r="AT161" s="446"/>
      <c r="AU161" s="447"/>
      <c r="AV161" s="445">
        <f>AV28+AV53-AV137</f>
        <v>-5000</v>
      </c>
      <c r="AW161" s="446"/>
      <c r="AX161" s="447"/>
      <c r="AY161" s="445">
        <f>AY28+AY53-AY137</f>
        <v>-5000</v>
      </c>
      <c r="AZ161" s="446"/>
      <c r="BA161" s="447"/>
      <c r="BB161" s="445">
        <f>BB28+BB53-BB137</f>
        <v>-5000</v>
      </c>
      <c r="BC161" s="446"/>
      <c r="BD161" s="447"/>
      <c r="BE161" s="445">
        <f>BE28+BE53-BE137</f>
        <v>0</v>
      </c>
      <c r="BF161" s="446"/>
      <c r="BG161" s="447"/>
      <c r="BH161" s="445">
        <f>BH28+BH53-BH137</f>
        <v>0</v>
      </c>
      <c r="BI161" s="446"/>
      <c r="BJ161" s="447"/>
      <c r="BK161" s="445">
        <f>BK28+BK53-BK137</f>
        <v>0</v>
      </c>
      <c r="BL161" s="446"/>
      <c r="BM161" s="447"/>
      <c r="BN161" s="445">
        <f>BN28+BN53-BN137</f>
        <v>0</v>
      </c>
      <c r="BO161" s="446"/>
      <c r="BP161" s="447"/>
      <c r="BQ161" s="445">
        <f>BQ28+BQ53-BQ137</f>
        <v>0</v>
      </c>
      <c r="BR161" s="446"/>
      <c r="BS161" s="447"/>
      <c r="BT161" s="445">
        <f>BT28+BT53-BT137</f>
        <v>0</v>
      </c>
      <c r="BU161" s="446"/>
      <c r="BV161" s="447"/>
      <c r="BW161" s="446"/>
      <c r="BX161" s="446"/>
      <c r="BY161" s="446"/>
      <c r="BZ161" s="446"/>
      <c r="CA161" s="446"/>
      <c r="CB161" s="446"/>
      <c r="CC161" s="446"/>
      <c r="CD161" s="446"/>
      <c r="CE161" s="446"/>
      <c r="CF161" s="446"/>
      <c r="CG161" s="446"/>
      <c r="CH161" s="446"/>
      <c r="CI161" s="446"/>
      <c r="CJ161" s="446"/>
      <c r="CK161" s="446"/>
      <c r="CL161" s="446"/>
      <c r="CM161" s="446"/>
      <c r="CN161" s="446"/>
      <c r="CO161" s="446"/>
      <c r="CP161" s="446"/>
      <c r="CQ161" s="446"/>
      <c r="CR161" s="446"/>
      <c r="CS161" s="446"/>
      <c r="CT161" s="446"/>
      <c r="CU161" s="446"/>
      <c r="CV161" s="446"/>
      <c r="CW161" s="446"/>
      <c r="CX161" s="446"/>
      <c r="CY161" s="446"/>
      <c r="CZ161" s="446"/>
      <c r="DA161" s="446"/>
      <c r="DB161" s="446"/>
      <c r="DC161" s="446"/>
      <c r="DD161" s="446"/>
      <c r="DE161" s="446"/>
      <c r="DF161" s="446"/>
      <c r="DG161" s="446"/>
      <c r="DH161" s="446"/>
      <c r="DI161" s="446"/>
      <c r="DJ161" s="446"/>
      <c r="DK161" s="446"/>
      <c r="DL161" s="446"/>
      <c r="DM161" s="446"/>
      <c r="DN161" s="446"/>
      <c r="DO161" s="446"/>
      <c r="DP161" s="446"/>
      <c r="DQ161" s="446"/>
      <c r="DR161" s="446"/>
      <c r="DS161" s="446"/>
      <c r="DT161" s="446"/>
      <c r="DU161" s="446"/>
      <c r="DV161" s="446"/>
      <c r="DW161" s="446"/>
      <c r="DX161" s="446"/>
      <c r="DY161" s="446"/>
      <c r="DZ161" s="446"/>
      <c r="EA161" s="446"/>
      <c r="EB161" s="446"/>
      <c r="EC161" s="446"/>
      <c r="ED161" s="446"/>
      <c r="EE161" s="446"/>
      <c r="EF161" s="446"/>
      <c r="EG161" s="446"/>
      <c r="EH161" s="446"/>
      <c r="EI161" s="446"/>
      <c r="EJ161" s="446"/>
      <c r="EK161" s="446"/>
      <c r="EL161" s="446"/>
      <c r="EM161" s="446"/>
      <c r="EN161" s="446"/>
      <c r="EO161" s="446"/>
      <c r="EP161" s="446"/>
      <c r="EQ161" s="446"/>
      <c r="ER161" s="446"/>
      <c r="ES161" s="446"/>
      <c r="ET161" s="446"/>
      <c r="EU161" s="446"/>
      <c r="EV161" s="446"/>
      <c r="EW161" s="446"/>
      <c r="EX161" s="446"/>
    </row>
    <row r="162" spans="1:154" s="439" customFormat="1" x14ac:dyDescent="0.2">
      <c r="A162" s="439" t="s">
        <v>132</v>
      </c>
      <c r="B162" s="439" t="s">
        <v>52</v>
      </c>
      <c r="C162" s="670">
        <f>C29+C54-C138</f>
        <v>0</v>
      </c>
      <c r="D162" s="446"/>
      <c r="E162" s="685"/>
      <c r="F162" s="445">
        <f>F29+F54-F138</f>
        <v>0</v>
      </c>
      <c r="G162" s="446"/>
      <c r="H162" s="447"/>
      <c r="I162" s="445">
        <f>I29+I54-I138</f>
        <v>0</v>
      </c>
      <c r="J162" s="446"/>
      <c r="K162" s="447"/>
      <c r="L162" s="445">
        <f>L29+L54-L138</f>
        <v>0</v>
      </c>
      <c r="M162" s="446"/>
      <c r="N162" s="445"/>
      <c r="O162" s="700">
        <f>O29+O54-O138</f>
        <v>0</v>
      </c>
      <c r="P162" s="446"/>
      <c r="Q162" s="447"/>
      <c r="R162" s="445">
        <f>R29+R54-R138</f>
        <v>0</v>
      </c>
      <c r="S162" s="446"/>
      <c r="T162" s="447"/>
      <c r="U162" s="445">
        <f>U29+U54-U138</f>
        <v>0</v>
      </c>
      <c r="V162" s="446"/>
      <c r="W162" s="447"/>
      <c r="X162" s="445">
        <f>X29+X54-X138</f>
        <v>0</v>
      </c>
      <c r="Y162" s="446"/>
      <c r="Z162" s="447"/>
      <c r="AA162" s="445">
        <f>AA29+AA54-AA138</f>
        <v>0</v>
      </c>
      <c r="AB162" s="446"/>
      <c r="AC162" s="447"/>
      <c r="AD162" s="445">
        <f>AD29+AD54-AD138</f>
        <v>0</v>
      </c>
      <c r="AE162" s="446"/>
      <c r="AF162" s="447"/>
      <c r="AG162" s="445">
        <f>AG29+AG54-AG138</f>
        <v>0</v>
      </c>
      <c r="AH162" s="446"/>
      <c r="AI162" s="447"/>
      <c r="AJ162" s="445">
        <f>AJ29+AJ54-AJ138</f>
        <v>0</v>
      </c>
      <c r="AK162" s="446"/>
      <c r="AL162" s="447"/>
      <c r="AM162" s="445">
        <f>AM29+AM54-AM138</f>
        <v>0</v>
      </c>
      <c r="AN162" s="446"/>
      <c r="AO162" s="447"/>
      <c r="AP162" s="445">
        <f>AP29+AP54-AP138</f>
        <v>0</v>
      </c>
      <c r="AQ162" s="446"/>
      <c r="AR162" s="447"/>
      <c r="AS162" s="445">
        <f>AS29+AS54-AS138</f>
        <v>0</v>
      </c>
      <c r="AT162" s="446"/>
      <c r="AU162" s="447"/>
      <c r="AV162" s="445">
        <f>AV29+AV54-AV138</f>
        <v>0</v>
      </c>
      <c r="AW162" s="446"/>
      <c r="AX162" s="447"/>
      <c r="AY162" s="445">
        <f>AY29+AY54-AY138</f>
        <v>0</v>
      </c>
      <c r="AZ162" s="446"/>
      <c r="BA162" s="447"/>
      <c r="BB162" s="445">
        <f>BB29+BB54-BB138</f>
        <v>0</v>
      </c>
      <c r="BC162" s="446"/>
      <c r="BD162" s="447"/>
      <c r="BE162" s="445">
        <f>BE29+BE54-BE138</f>
        <v>0</v>
      </c>
      <c r="BF162" s="446"/>
      <c r="BG162" s="447"/>
      <c r="BH162" s="445">
        <f>BH29+BH54-BH138</f>
        <v>0</v>
      </c>
      <c r="BI162" s="446"/>
      <c r="BJ162" s="447"/>
      <c r="BK162" s="445">
        <f>BK29+BK54-BK138</f>
        <v>0</v>
      </c>
      <c r="BL162" s="446"/>
      <c r="BM162" s="447"/>
      <c r="BN162" s="445">
        <f>BN29+BN54-BN138</f>
        <v>0</v>
      </c>
      <c r="BO162" s="446"/>
      <c r="BP162" s="447"/>
      <c r="BQ162" s="445">
        <f>BQ29+BQ54-BQ138</f>
        <v>0</v>
      </c>
      <c r="BR162" s="446"/>
      <c r="BS162" s="447"/>
      <c r="BT162" s="445">
        <f>BT29+BT54-BT138</f>
        <v>0</v>
      </c>
      <c r="BU162" s="446"/>
      <c r="BV162" s="447"/>
      <c r="BW162" s="446"/>
      <c r="BX162" s="446"/>
      <c r="BY162" s="446"/>
      <c r="BZ162" s="446"/>
      <c r="CA162" s="446"/>
      <c r="CB162" s="446"/>
      <c r="CC162" s="446"/>
      <c r="CD162" s="446"/>
      <c r="CE162" s="446"/>
      <c r="CF162" s="446"/>
      <c r="CG162" s="446"/>
      <c r="CH162" s="446"/>
      <c r="CI162" s="446"/>
      <c r="CJ162" s="446"/>
      <c r="CK162" s="446"/>
      <c r="CL162" s="446"/>
      <c r="CM162" s="446"/>
      <c r="CN162" s="446"/>
      <c r="CO162" s="446"/>
      <c r="CP162" s="446"/>
      <c r="CQ162" s="446"/>
      <c r="CR162" s="446"/>
      <c r="CS162" s="446"/>
      <c r="CT162" s="446"/>
      <c r="CU162" s="446"/>
      <c r="CV162" s="446"/>
      <c r="CW162" s="446"/>
      <c r="CX162" s="446"/>
      <c r="CY162" s="446"/>
      <c r="CZ162" s="446"/>
      <c r="DA162" s="446"/>
      <c r="DB162" s="446"/>
      <c r="DC162" s="446"/>
      <c r="DD162" s="446"/>
      <c r="DE162" s="446"/>
      <c r="DF162" s="446"/>
      <c r="DG162" s="446"/>
      <c r="DH162" s="446"/>
      <c r="DI162" s="446"/>
      <c r="DJ162" s="446"/>
      <c r="DK162" s="446"/>
      <c r="DL162" s="446"/>
      <c r="DM162" s="446"/>
      <c r="DN162" s="446"/>
      <c r="DO162" s="446"/>
      <c r="DP162" s="446"/>
      <c r="DQ162" s="446"/>
      <c r="DR162" s="446"/>
      <c r="DS162" s="446"/>
      <c r="DT162" s="446"/>
      <c r="DU162" s="446"/>
      <c r="DV162" s="446"/>
      <c r="DW162" s="446"/>
      <c r="DX162" s="446"/>
      <c r="DY162" s="446"/>
      <c r="DZ162" s="446"/>
      <c r="EA162" s="446"/>
      <c r="EB162" s="446"/>
      <c r="EC162" s="446"/>
      <c r="ED162" s="446"/>
      <c r="EE162" s="446"/>
      <c r="EF162" s="446"/>
      <c r="EG162" s="446"/>
      <c r="EH162" s="446"/>
      <c r="EI162" s="446"/>
      <c r="EJ162" s="446"/>
      <c r="EK162" s="446"/>
      <c r="EL162" s="446"/>
      <c r="EM162" s="446"/>
      <c r="EN162" s="446"/>
      <c r="EO162" s="446"/>
      <c r="EP162" s="446"/>
      <c r="EQ162" s="446"/>
      <c r="ER162" s="446"/>
      <c r="ES162" s="446"/>
      <c r="ET162" s="446"/>
      <c r="EU162" s="446"/>
      <c r="EV162" s="446"/>
      <c r="EW162" s="446"/>
      <c r="EX162" s="446"/>
    </row>
    <row r="163" spans="1:154" s="439" customFormat="1" x14ac:dyDescent="0.2">
      <c r="A163" s="439" t="s">
        <v>133</v>
      </c>
      <c r="B163" s="439" t="s">
        <v>52</v>
      </c>
      <c r="C163" s="670">
        <f>C30+C55-C139</f>
        <v>80000</v>
      </c>
      <c r="D163" s="446"/>
      <c r="E163" s="685"/>
      <c r="F163" s="445">
        <f>F30+F55-F139</f>
        <v>80000</v>
      </c>
      <c r="G163" s="446"/>
      <c r="H163" s="447"/>
      <c r="I163" s="445">
        <f>I30+I55-I139</f>
        <v>80000</v>
      </c>
      <c r="J163" s="446"/>
      <c r="K163" s="447"/>
      <c r="L163" s="445">
        <f>L30+L55-L139</f>
        <v>80000</v>
      </c>
      <c r="M163" s="446"/>
      <c r="N163" s="445"/>
      <c r="O163" s="700">
        <f>O30+O55-O139</f>
        <v>80000</v>
      </c>
      <c r="P163" s="446"/>
      <c r="Q163" s="447"/>
      <c r="R163" s="445">
        <f>R30+R55-R139</f>
        <v>80000</v>
      </c>
      <c r="S163" s="446"/>
      <c r="T163" s="447"/>
      <c r="U163" s="445">
        <f>U30+U55-U139</f>
        <v>80000</v>
      </c>
      <c r="V163" s="446"/>
      <c r="W163" s="447"/>
      <c r="X163" s="445">
        <f>X30+X55-X139</f>
        <v>80000</v>
      </c>
      <c r="Y163" s="446"/>
      <c r="Z163" s="447"/>
      <c r="AA163" s="445">
        <f>AA30+AA55-AA139</f>
        <v>80000</v>
      </c>
      <c r="AB163" s="446"/>
      <c r="AC163" s="447"/>
      <c r="AD163" s="445">
        <f>AD30+AD55-AD139</f>
        <v>80000</v>
      </c>
      <c r="AE163" s="446"/>
      <c r="AF163" s="447"/>
      <c r="AG163" s="445">
        <f>AG30+AG55-AG139</f>
        <v>80000</v>
      </c>
      <c r="AH163" s="446"/>
      <c r="AI163" s="447"/>
      <c r="AJ163" s="445">
        <f>AJ30+AJ55-AJ139</f>
        <v>80000</v>
      </c>
      <c r="AK163" s="446"/>
      <c r="AL163" s="447"/>
      <c r="AM163" s="445">
        <f>AM30+AM55-AM139</f>
        <v>0</v>
      </c>
      <c r="AN163" s="446"/>
      <c r="AO163" s="447"/>
      <c r="AP163" s="445">
        <f>AP30+AP55-AP139</f>
        <v>0</v>
      </c>
      <c r="AQ163" s="446"/>
      <c r="AR163" s="447"/>
      <c r="AS163" s="445">
        <f>AS30+AS55-AS139</f>
        <v>0</v>
      </c>
      <c r="AT163" s="446"/>
      <c r="AU163" s="447"/>
      <c r="AV163" s="445">
        <f>AV30+AV55-AV139</f>
        <v>0</v>
      </c>
      <c r="AW163" s="446"/>
      <c r="AX163" s="447"/>
      <c r="AY163" s="445">
        <f>AY30+AY55-AY139</f>
        <v>0</v>
      </c>
      <c r="AZ163" s="446"/>
      <c r="BA163" s="447"/>
      <c r="BB163" s="445">
        <f>BB30+BB55-BB139</f>
        <v>0</v>
      </c>
      <c r="BC163" s="446"/>
      <c r="BD163" s="447"/>
      <c r="BE163" s="445">
        <f>BE30+BE55-BE139</f>
        <v>0</v>
      </c>
      <c r="BF163" s="446"/>
      <c r="BG163" s="447"/>
      <c r="BH163" s="445">
        <f>BH30+BH55-BH139</f>
        <v>0</v>
      </c>
      <c r="BI163" s="446"/>
      <c r="BJ163" s="447"/>
      <c r="BK163" s="445">
        <f>BK30+BK55-BK139</f>
        <v>0</v>
      </c>
      <c r="BL163" s="446"/>
      <c r="BM163" s="447"/>
      <c r="BN163" s="445">
        <f>BN30+BN55-BN139</f>
        <v>0</v>
      </c>
      <c r="BO163" s="446"/>
      <c r="BP163" s="447"/>
      <c r="BQ163" s="445">
        <f>BQ30+BQ55-BQ139</f>
        <v>0</v>
      </c>
      <c r="BR163" s="446"/>
      <c r="BS163" s="447"/>
      <c r="BT163" s="445">
        <f>BT30+BT55-BT139</f>
        <v>0</v>
      </c>
      <c r="BU163" s="446"/>
      <c r="BV163" s="447"/>
      <c r="BW163" s="446"/>
      <c r="BX163" s="446"/>
      <c r="BY163" s="446"/>
      <c r="BZ163" s="446"/>
      <c r="CA163" s="446"/>
      <c r="CB163" s="446"/>
      <c r="CC163" s="446"/>
      <c r="CD163" s="446"/>
      <c r="CE163" s="446"/>
      <c r="CF163" s="446"/>
      <c r="CG163" s="446"/>
      <c r="CH163" s="446"/>
      <c r="CI163" s="446"/>
      <c r="CJ163" s="446"/>
      <c r="CK163" s="446"/>
      <c r="CL163" s="446"/>
      <c r="CM163" s="446"/>
      <c r="CN163" s="446"/>
      <c r="CO163" s="446"/>
      <c r="CP163" s="446"/>
      <c r="CQ163" s="446"/>
      <c r="CR163" s="446"/>
      <c r="CS163" s="446"/>
      <c r="CT163" s="446"/>
      <c r="CU163" s="446"/>
      <c r="CV163" s="446"/>
      <c r="CW163" s="446"/>
      <c r="CX163" s="446"/>
      <c r="CY163" s="446"/>
      <c r="CZ163" s="446"/>
      <c r="DA163" s="446"/>
      <c r="DB163" s="446"/>
      <c r="DC163" s="446"/>
      <c r="DD163" s="446"/>
      <c r="DE163" s="446"/>
      <c r="DF163" s="446"/>
      <c r="DG163" s="446"/>
      <c r="DH163" s="446"/>
      <c r="DI163" s="446"/>
      <c r="DJ163" s="446"/>
      <c r="DK163" s="446"/>
      <c r="DL163" s="446"/>
      <c r="DM163" s="446"/>
      <c r="DN163" s="446"/>
      <c r="DO163" s="446"/>
      <c r="DP163" s="446"/>
      <c r="DQ163" s="446"/>
      <c r="DR163" s="446"/>
      <c r="DS163" s="446"/>
      <c r="DT163" s="446"/>
      <c r="DU163" s="446"/>
      <c r="DV163" s="446"/>
      <c r="DW163" s="446"/>
      <c r="DX163" s="446"/>
      <c r="DY163" s="446"/>
      <c r="DZ163" s="446"/>
      <c r="EA163" s="446"/>
      <c r="EB163" s="446"/>
      <c r="EC163" s="446"/>
      <c r="ED163" s="446"/>
      <c r="EE163" s="446"/>
      <c r="EF163" s="446"/>
      <c r="EG163" s="446"/>
      <c r="EH163" s="446"/>
      <c r="EI163" s="446"/>
      <c r="EJ163" s="446"/>
      <c r="EK163" s="446"/>
      <c r="EL163" s="446"/>
      <c r="EM163" s="446"/>
      <c r="EN163" s="446"/>
      <c r="EO163" s="446"/>
      <c r="EP163" s="446"/>
      <c r="EQ163" s="446"/>
      <c r="ER163" s="446"/>
      <c r="ES163" s="446"/>
      <c r="ET163" s="446"/>
      <c r="EU163" s="446"/>
      <c r="EV163" s="446"/>
      <c r="EW163" s="446"/>
      <c r="EX163" s="446"/>
    </row>
    <row r="164" spans="1:154" s="439" customFormat="1" x14ac:dyDescent="0.2">
      <c r="A164" s="439" t="s">
        <v>134</v>
      </c>
      <c r="B164" s="439" t="s">
        <v>52</v>
      </c>
      <c r="C164" s="670">
        <f>C31+C56-C140</f>
        <v>0</v>
      </c>
      <c r="D164" s="446"/>
      <c r="E164" s="685"/>
      <c r="F164" s="445">
        <f>F31+F56-F140</f>
        <v>0</v>
      </c>
      <c r="G164" s="446"/>
      <c r="H164" s="447"/>
      <c r="I164" s="445">
        <f>I31+I56-I140</f>
        <v>0</v>
      </c>
      <c r="J164" s="446"/>
      <c r="K164" s="447"/>
      <c r="L164" s="445">
        <f>L31+L56-L140</f>
        <v>0</v>
      </c>
      <c r="M164" s="446"/>
      <c r="N164" s="445"/>
      <c r="O164" s="700">
        <f>O31+O56-O140</f>
        <v>0</v>
      </c>
      <c r="P164" s="446"/>
      <c r="Q164" s="447"/>
      <c r="R164" s="445">
        <f>R31+R56-R140</f>
        <v>0</v>
      </c>
      <c r="S164" s="446"/>
      <c r="T164" s="447"/>
      <c r="U164" s="445">
        <f>U31+U56-U140</f>
        <v>0</v>
      </c>
      <c r="V164" s="446"/>
      <c r="W164" s="447"/>
      <c r="X164" s="445">
        <f>X31+X56-X140</f>
        <v>0</v>
      </c>
      <c r="Y164" s="446"/>
      <c r="Z164" s="447"/>
      <c r="AA164" s="445">
        <f>AA31+AA56-AA140</f>
        <v>0</v>
      </c>
      <c r="AB164" s="446"/>
      <c r="AC164" s="447"/>
      <c r="AD164" s="445">
        <f>AD31+AD56-AD140</f>
        <v>0</v>
      </c>
      <c r="AE164" s="446"/>
      <c r="AF164" s="447"/>
      <c r="AG164" s="445">
        <f>AG31+AG56-AG140</f>
        <v>0</v>
      </c>
      <c r="AH164" s="446"/>
      <c r="AI164" s="447"/>
      <c r="AJ164" s="445">
        <f>AJ31+AJ56-AJ140</f>
        <v>0</v>
      </c>
      <c r="AK164" s="446"/>
      <c r="AL164" s="447"/>
      <c r="AM164" s="445">
        <f>AM31+AM56-AM140</f>
        <v>0</v>
      </c>
      <c r="AN164" s="446"/>
      <c r="AO164" s="447"/>
      <c r="AP164" s="445">
        <f>AP31+AP56-AP140</f>
        <v>0</v>
      </c>
      <c r="AQ164" s="446"/>
      <c r="AR164" s="447"/>
      <c r="AS164" s="445">
        <f>AS31+AS56-AS140</f>
        <v>0</v>
      </c>
      <c r="AT164" s="446"/>
      <c r="AU164" s="447"/>
      <c r="AV164" s="445">
        <f>AV31+AV56-AV140</f>
        <v>0</v>
      </c>
      <c r="AW164" s="446"/>
      <c r="AX164" s="447"/>
      <c r="AY164" s="445">
        <f>AY31+AY56-AY140</f>
        <v>0</v>
      </c>
      <c r="AZ164" s="446"/>
      <c r="BA164" s="447"/>
      <c r="BB164" s="445">
        <f>BB31+BB56-BB140</f>
        <v>0</v>
      </c>
      <c r="BC164" s="446"/>
      <c r="BD164" s="447"/>
      <c r="BE164" s="445">
        <f>BE31+BE56-BE140</f>
        <v>0</v>
      </c>
      <c r="BF164" s="446"/>
      <c r="BG164" s="447"/>
      <c r="BH164" s="445">
        <f>BH31+BH56-BH140</f>
        <v>0</v>
      </c>
      <c r="BI164" s="446"/>
      <c r="BJ164" s="447"/>
      <c r="BK164" s="445">
        <f>BK31+BK56-BK140</f>
        <v>0</v>
      </c>
      <c r="BL164" s="446"/>
      <c r="BM164" s="447"/>
      <c r="BN164" s="445">
        <f>BN31+BN56-BN140</f>
        <v>0</v>
      </c>
      <c r="BO164" s="446"/>
      <c r="BP164" s="447"/>
      <c r="BQ164" s="445">
        <f>BQ31+BQ56-BQ140</f>
        <v>0</v>
      </c>
      <c r="BR164" s="446"/>
      <c r="BS164" s="447"/>
      <c r="BT164" s="445">
        <f>BT31+BT56-BT140</f>
        <v>0</v>
      </c>
      <c r="BU164" s="446"/>
      <c r="BV164" s="447"/>
      <c r="BW164" s="446"/>
      <c r="BX164" s="446"/>
      <c r="BY164" s="446"/>
      <c r="BZ164" s="446"/>
      <c r="CA164" s="446"/>
      <c r="CB164" s="446"/>
      <c r="CC164" s="446"/>
      <c r="CD164" s="446"/>
      <c r="CE164" s="446"/>
      <c r="CF164" s="446"/>
      <c r="CG164" s="446"/>
      <c r="CH164" s="446"/>
      <c r="CI164" s="446"/>
      <c r="CJ164" s="446"/>
      <c r="CK164" s="446"/>
      <c r="CL164" s="446"/>
      <c r="CM164" s="446"/>
      <c r="CN164" s="446"/>
      <c r="CO164" s="446"/>
      <c r="CP164" s="446"/>
      <c r="CQ164" s="446"/>
      <c r="CR164" s="446"/>
      <c r="CS164" s="446"/>
      <c r="CT164" s="446"/>
      <c r="CU164" s="446"/>
      <c r="CV164" s="446"/>
      <c r="CW164" s="446"/>
      <c r="CX164" s="446"/>
      <c r="CY164" s="446"/>
      <c r="CZ164" s="446"/>
      <c r="DA164" s="446"/>
      <c r="DB164" s="446"/>
      <c r="DC164" s="446"/>
      <c r="DD164" s="446"/>
      <c r="DE164" s="446"/>
      <c r="DF164" s="446"/>
      <c r="DG164" s="446"/>
      <c r="DH164" s="446"/>
      <c r="DI164" s="446"/>
      <c r="DJ164" s="446"/>
      <c r="DK164" s="446"/>
      <c r="DL164" s="446"/>
      <c r="DM164" s="446"/>
      <c r="DN164" s="446"/>
      <c r="DO164" s="446"/>
      <c r="DP164" s="446"/>
      <c r="DQ164" s="446"/>
      <c r="DR164" s="446"/>
      <c r="DS164" s="446"/>
      <c r="DT164" s="446"/>
      <c r="DU164" s="446"/>
      <c r="DV164" s="446"/>
      <c r="DW164" s="446"/>
      <c r="DX164" s="446"/>
      <c r="DY164" s="446"/>
      <c r="DZ164" s="446"/>
      <c r="EA164" s="446"/>
      <c r="EB164" s="446"/>
      <c r="EC164" s="446"/>
      <c r="ED164" s="446"/>
      <c r="EE164" s="446"/>
      <c r="EF164" s="446"/>
      <c r="EG164" s="446"/>
      <c r="EH164" s="446"/>
      <c r="EI164" s="446"/>
      <c r="EJ164" s="446"/>
      <c r="EK164" s="446"/>
      <c r="EL164" s="446"/>
      <c r="EM164" s="446"/>
      <c r="EN164" s="446"/>
      <c r="EO164" s="446"/>
      <c r="EP164" s="446"/>
      <c r="EQ164" s="446"/>
      <c r="ER164" s="446"/>
      <c r="ES164" s="446"/>
      <c r="ET164" s="446"/>
      <c r="EU164" s="446"/>
      <c r="EV164" s="446"/>
      <c r="EW164" s="446"/>
      <c r="EX164" s="446"/>
    </row>
    <row r="165" spans="1:154" s="439" customFormat="1" x14ac:dyDescent="0.2">
      <c r="A165" s="439" t="s">
        <v>135</v>
      </c>
      <c r="B165" s="439" t="s">
        <v>52</v>
      </c>
      <c r="C165" s="670">
        <f>C32+C57-C141</f>
        <v>0</v>
      </c>
      <c r="D165" s="446"/>
      <c r="E165" s="685"/>
      <c r="F165" s="445">
        <f>F32+F57-F141</f>
        <v>0</v>
      </c>
      <c r="G165" s="446"/>
      <c r="H165" s="447"/>
      <c r="I165" s="445">
        <f>I32+I57-I141</f>
        <v>0</v>
      </c>
      <c r="J165" s="446"/>
      <c r="K165" s="447"/>
      <c r="L165" s="445">
        <f>L32+L57-L141</f>
        <v>0</v>
      </c>
      <c r="M165" s="446"/>
      <c r="N165" s="445"/>
      <c r="O165" s="700">
        <f>O32+O57-O141</f>
        <v>0</v>
      </c>
      <c r="P165" s="446"/>
      <c r="Q165" s="447"/>
      <c r="R165" s="445">
        <f>R32+R57-R141</f>
        <v>0</v>
      </c>
      <c r="S165" s="446"/>
      <c r="T165" s="447"/>
      <c r="U165" s="445">
        <f>U32+U57-U141</f>
        <v>0</v>
      </c>
      <c r="V165" s="446"/>
      <c r="W165" s="447"/>
      <c r="X165" s="445">
        <f>X32+X57-X141</f>
        <v>0</v>
      </c>
      <c r="Y165" s="446"/>
      <c r="Z165" s="447"/>
      <c r="AA165" s="445">
        <f>AA32+AA57-AA141</f>
        <v>0</v>
      </c>
      <c r="AB165" s="446"/>
      <c r="AC165" s="447"/>
      <c r="AD165" s="445">
        <f>AD32+AD57-AD141</f>
        <v>0</v>
      </c>
      <c r="AE165" s="446"/>
      <c r="AF165" s="447"/>
      <c r="AG165" s="445">
        <f>AG32+AG57-AG141</f>
        <v>0</v>
      </c>
      <c r="AH165" s="446"/>
      <c r="AI165" s="447"/>
      <c r="AJ165" s="445">
        <f>AJ32+AJ57-AJ141</f>
        <v>0</v>
      </c>
      <c r="AK165" s="446"/>
      <c r="AL165" s="447"/>
      <c r="AM165" s="445">
        <f>AM32+AM57-AM141</f>
        <v>-80000</v>
      </c>
      <c r="AN165" s="446"/>
      <c r="AO165" s="447"/>
      <c r="AP165" s="445">
        <f>AP32+AP57-AP141</f>
        <v>-80000</v>
      </c>
      <c r="AQ165" s="446"/>
      <c r="AR165" s="447"/>
      <c r="AS165" s="445">
        <f>AS32+AS57-AS141</f>
        <v>-80000</v>
      </c>
      <c r="AT165" s="446"/>
      <c r="AU165" s="447"/>
      <c r="AV165" s="445">
        <f>AV32+AV57-AV141</f>
        <v>0</v>
      </c>
      <c r="AW165" s="446"/>
      <c r="AX165" s="447"/>
      <c r="AY165" s="445">
        <f>AY32+AY57-AY141</f>
        <v>0</v>
      </c>
      <c r="AZ165" s="446"/>
      <c r="BA165" s="447"/>
      <c r="BB165" s="445">
        <f>BB32+BB57-BB141</f>
        <v>0</v>
      </c>
      <c r="BC165" s="446"/>
      <c r="BD165" s="447"/>
      <c r="BE165" s="445">
        <f>BE32+BE57-BE141</f>
        <v>0</v>
      </c>
      <c r="BF165" s="446"/>
      <c r="BG165" s="447"/>
      <c r="BH165" s="445">
        <f>BH32+BH57-BH141</f>
        <v>0</v>
      </c>
      <c r="BI165" s="446"/>
      <c r="BJ165" s="447"/>
      <c r="BK165" s="445">
        <f>BK32+BK57-BK141</f>
        <v>0</v>
      </c>
      <c r="BL165" s="446"/>
      <c r="BM165" s="447"/>
      <c r="BN165" s="445">
        <f>BN32+BN57-BN141</f>
        <v>0</v>
      </c>
      <c r="BO165" s="446"/>
      <c r="BP165" s="447"/>
      <c r="BQ165" s="445">
        <f>BQ32+BQ57-BQ141</f>
        <v>0</v>
      </c>
      <c r="BR165" s="446"/>
      <c r="BS165" s="447"/>
      <c r="BT165" s="445">
        <f>BT32+BT57-BT141</f>
        <v>0</v>
      </c>
      <c r="BU165" s="446"/>
      <c r="BV165" s="447"/>
      <c r="BW165" s="446"/>
      <c r="BX165" s="446"/>
      <c r="BY165" s="446"/>
      <c r="BZ165" s="446"/>
      <c r="CA165" s="446"/>
      <c r="CB165" s="446"/>
      <c r="CC165" s="446"/>
      <c r="CD165" s="446"/>
      <c r="CE165" s="446"/>
      <c r="CF165" s="446"/>
      <c r="CG165" s="446"/>
      <c r="CH165" s="446"/>
      <c r="CI165" s="446"/>
      <c r="CJ165" s="446"/>
      <c r="CK165" s="446"/>
      <c r="CL165" s="446"/>
      <c r="CM165" s="446"/>
      <c r="CN165" s="446"/>
      <c r="CO165" s="446"/>
      <c r="CP165" s="446"/>
      <c r="CQ165" s="446"/>
      <c r="CR165" s="446"/>
      <c r="CS165" s="446"/>
      <c r="CT165" s="446"/>
      <c r="CU165" s="446"/>
      <c r="CV165" s="446"/>
      <c r="CW165" s="446"/>
      <c r="CX165" s="446"/>
      <c r="CY165" s="446"/>
      <c r="CZ165" s="446"/>
      <c r="DA165" s="446"/>
      <c r="DB165" s="446"/>
      <c r="DC165" s="446"/>
      <c r="DD165" s="446"/>
      <c r="DE165" s="446"/>
      <c r="DF165" s="446"/>
      <c r="DG165" s="446"/>
      <c r="DH165" s="446"/>
      <c r="DI165" s="446"/>
      <c r="DJ165" s="446"/>
      <c r="DK165" s="446"/>
      <c r="DL165" s="446"/>
      <c r="DM165" s="446"/>
      <c r="DN165" s="446"/>
      <c r="DO165" s="446"/>
      <c r="DP165" s="446"/>
      <c r="DQ165" s="446"/>
      <c r="DR165" s="446"/>
      <c r="DS165" s="446"/>
      <c r="DT165" s="446"/>
      <c r="DU165" s="446"/>
      <c r="DV165" s="446"/>
      <c r="DW165" s="446"/>
      <c r="DX165" s="446"/>
      <c r="DY165" s="446"/>
      <c r="DZ165" s="446"/>
      <c r="EA165" s="446"/>
      <c r="EB165" s="446"/>
      <c r="EC165" s="446"/>
      <c r="ED165" s="446"/>
      <c r="EE165" s="446"/>
      <c r="EF165" s="446"/>
      <c r="EG165" s="446"/>
      <c r="EH165" s="446"/>
      <c r="EI165" s="446"/>
      <c r="EJ165" s="446"/>
      <c r="EK165" s="446"/>
      <c r="EL165" s="446"/>
      <c r="EM165" s="446"/>
      <c r="EN165" s="446"/>
      <c r="EO165" s="446"/>
      <c r="EP165" s="446"/>
      <c r="EQ165" s="446"/>
      <c r="ER165" s="446"/>
      <c r="ES165" s="446"/>
      <c r="ET165" s="446"/>
      <c r="EU165" s="446"/>
      <c r="EV165" s="446"/>
      <c r="EW165" s="446"/>
      <c r="EX165" s="446"/>
    </row>
    <row r="166" spans="1:154" s="373" customFormat="1" x14ac:dyDescent="0.2">
      <c r="A166" s="373" t="s">
        <v>147</v>
      </c>
      <c r="C166" s="671">
        <f>SUM(C161:C165)</f>
        <v>340214</v>
      </c>
      <c r="D166" s="451"/>
      <c r="E166" s="686"/>
      <c r="F166" s="450">
        <f>SUM(F161:F165)</f>
        <v>340214</v>
      </c>
      <c r="G166" s="451"/>
      <c r="H166" s="452"/>
      <c r="I166" s="450">
        <f>SUM(I161:I165)</f>
        <v>295214</v>
      </c>
      <c r="J166" s="451"/>
      <c r="K166" s="452"/>
      <c r="L166" s="450">
        <f>SUM(L161:L165)</f>
        <v>295214</v>
      </c>
      <c r="M166" s="451"/>
      <c r="N166" s="450"/>
      <c r="O166" s="701">
        <f>SUM(O161:O165)</f>
        <v>281827</v>
      </c>
      <c r="P166" s="451"/>
      <c r="Q166" s="452"/>
      <c r="R166" s="450">
        <f>SUM(R161:R165)</f>
        <v>286047</v>
      </c>
      <c r="S166" s="451"/>
      <c r="T166" s="452"/>
      <c r="U166" s="450">
        <f>SUM(U161:U165)</f>
        <v>290617</v>
      </c>
      <c r="V166" s="451"/>
      <c r="W166" s="452"/>
      <c r="X166" s="450">
        <f>SUM(X161:X165)</f>
        <v>287391</v>
      </c>
      <c r="Y166" s="451"/>
      <c r="Z166" s="452"/>
      <c r="AA166" s="450">
        <f>SUM(AA161:AA165)</f>
        <v>281047</v>
      </c>
      <c r="AB166" s="451"/>
      <c r="AC166" s="452"/>
      <c r="AD166" s="450">
        <f>SUM(AD161:AD165)</f>
        <v>257000</v>
      </c>
      <c r="AE166" s="451"/>
      <c r="AF166" s="452"/>
      <c r="AG166" s="450">
        <f>SUM(AG161:AG165)</f>
        <v>302000</v>
      </c>
      <c r="AH166" s="451"/>
      <c r="AI166" s="452"/>
      <c r="AJ166" s="450">
        <f>SUM(AJ161:AJ165)</f>
        <v>302000</v>
      </c>
      <c r="AK166" s="451"/>
      <c r="AL166" s="452"/>
      <c r="AM166" s="450">
        <f>SUM(AM161:AM165)</f>
        <v>-455000</v>
      </c>
      <c r="AN166" s="451"/>
      <c r="AO166" s="452"/>
      <c r="AP166" s="450">
        <f>SUM(AP161:AP165)</f>
        <v>-455000</v>
      </c>
      <c r="AQ166" s="451"/>
      <c r="AR166" s="452"/>
      <c r="AS166" s="450">
        <f>SUM(AS161:AS165)</f>
        <v>-455000</v>
      </c>
      <c r="AT166" s="451"/>
      <c r="AU166" s="452"/>
      <c r="AV166" s="450">
        <f>SUM(AV161:AV165)</f>
        <v>-5000</v>
      </c>
      <c r="AW166" s="451"/>
      <c r="AX166" s="452"/>
      <c r="AY166" s="450">
        <f>SUM(AY161:AY165)</f>
        <v>-5000</v>
      </c>
      <c r="AZ166" s="451"/>
      <c r="BA166" s="452"/>
      <c r="BB166" s="450">
        <f>SUM(BB161:BB165)</f>
        <v>-5000</v>
      </c>
      <c r="BC166" s="451"/>
      <c r="BD166" s="452"/>
      <c r="BE166" s="450">
        <f>SUM(BE161:BE165)</f>
        <v>0</v>
      </c>
      <c r="BF166" s="451"/>
      <c r="BG166" s="452"/>
      <c r="BH166" s="450">
        <f>SUM(BH161:BH165)</f>
        <v>0</v>
      </c>
      <c r="BI166" s="451"/>
      <c r="BJ166" s="452"/>
      <c r="BK166" s="450">
        <f>SUM(BK161:BK165)</f>
        <v>0</v>
      </c>
      <c r="BL166" s="451"/>
      <c r="BM166" s="452"/>
      <c r="BN166" s="450">
        <f>SUM(BN161:BN165)</f>
        <v>0</v>
      </c>
      <c r="BO166" s="451"/>
      <c r="BP166" s="452"/>
      <c r="BQ166" s="450">
        <f>SUM(BQ161:BQ165)</f>
        <v>0</v>
      </c>
      <c r="BR166" s="451"/>
      <c r="BS166" s="452"/>
      <c r="BT166" s="450">
        <f>SUM(BT161:BT165)</f>
        <v>0</v>
      </c>
      <c r="BU166" s="451"/>
      <c r="BV166" s="452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  <c r="CO166" s="451"/>
      <c r="CP166" s="451"/>
      <c r="CQ166" s="451"/>
      <c r="CR166" s="451"/>
      <c r="CS166" s="451"/>
      <c r="CT166" s="451"/>
      <c r="CU166" s="451"/>
      <c r="CV166" s="451"/>
      <c r="CW166" s="451"/>
      <c r="CX166" s="451"/>
      <c r="CY166" s="451"/>
      <c r="CZ166" s="451"/>
      <c r="DA166" s="451"/>
      <c r="DB166" s="451"/>
      <c r="DC166" s="451"/>
      <c r="DD166" s="451"/>
      <c r="DE166" s="451"/>
      <c r="DF166" s="451"/>
      <c r="DG166" s="451"/>
      <c r="DH166" s="451"/>
      <c r="DI166" s="451"/>
      <c r="DJ166" s="451"/>
      <c r="DK166" s="451"/>
      <c r="DL166" s="451"/>
      <c r="DM166" s="451"/>
      <c r="DN166" s="451"/>
      <c r="DO166" s="451"/>
      <c r="DP166" s="451"/>
      <c r="DQ166" s="451"/>
      <c r="DR166" s="451"/>
      <c r="DS166" s="451"/>
      <c r="DT166" s="451"/>
      <c r="DU166" s="451"/>
      <c r="DV166" s="451"/>
      <c r="DW166" s="451"/>
      <c r="DX166" s="451"/>
      <c r="DY166" s="451"/>
      <c r="DZ166" s="451"/>
      <c r="EA166" s="451"/>
      <c r="EB166" s="451"/>
      <c r="EC166" s="451"/>
      <c r="ED166" s="451"/>
      <c r="EE166" s="451"/>
      <c r="EF166" s="451"/>
      <c r="EG166" s="451"/>
      <c r="EH166" s="451"/>
      <c r="EI166" s="451"/>
      <c r="EJ166" s="451"/>
      <c r="EK166" s="451"/>
      <c r="EL166" s="451"/>
      <c r="EM166" s="451"/>
      <c r="EN166" s="451"/>
      <c r="EO166" s="451"/>
      <c r="EP166" s="451"/>
      <c r="EQ166" s="451"/>
      <c r="ER166" s="451"/>
      <c r="ES166" s="451"/>
      <c r="ET166" s="451"/>
      <c r="EU166" s="451"/>
      <c r="EV166" s="451"/>
      <c r="EW166" s="451"/>
      <c r="EX166" s="451"/>
    </row>
    <row r="167" spans="1:154" s="439" customFormat="1" x14ac:dyDescent="0.2">
      <c r="A167" s="439" t="s">
        <v>216</v>
      </c>
      <c r="B167" s="439" t="s">
        <v>52</v>
      </c>
      <c r="C167" s="670">
        <f>C34+C59-C143</f>
        <v>243500</v>
      </c>
      <c r="D167" s="446"/>
      <c r="E167" s="685"/>
      <c r="F167" s="445">
        <f>F34+F59-F143</f>
        <v>243500</v>
      </c>
      <c r="G167" s="446"/>
      <c r="H167" s="447"/>
      <c r="I167" s="445">
        <f>I34+I59-I143</f>
        <v>243500</v>
      </c>
      <c r="J167" s="446"/>
      <c r="K167" s="447"/>
      <c r="L167" s="445">
        <f>L34+L59-L143</f>
        <v>243500</v>
      </c>
      <c r="M167" s="446"/>
      <c r="N167" s="445"/>
      <c r="O167" s="700">
        <f>O34+O59-O143</f>
        <v>243500</v>
      </c>
      <c r="P167" s="446"/>
      <c r="Q167" s="447"/>
      <c r="R167" s="445">
        <f>R34+R59-R143</f>
        <v>243500</v>
      </c>
      <c r="S167" s="446"/>
      <c r="T167" s="447"/>
      <c r="U167" s="445">
        <f>U34+U59-U143</f>
        <v>272500</v>
      </c>
      <c r="V167" s="446"/>
      <c r="W167" s="447"/>
      <c r="X167" s="445">
        <f>X34+X59-X143</f>
        <v>272500</v>
      </c>
      <c r="Y167" s="446"/>
      <c r="Z167" s="447"/>
      <c r="AA167" s="445">
        <f>AA34+AA59-AA143</f>
        <v>272500</v>
      </c>
      <c r="AB167" s="446"/>
      <c r="AC167" s="447"/>
      <c r="AD167" s="445">
        <f>AD34+AD59-AD143</f>
        <v>243500</v>
      </c>
      <c r="AE167" s="446"/>
      <c r="AF167" s="447"/>
      <c r="AG167" s="445">
        <f>AG34+AG59-AG143</f>
        <v>243500</v>
      </c>
      <c r="AH167" s="446"/>
      <c r="AI167" s="447"/>
      <c r="AJ167" s="445">
        <f>AJ34+AJ59-AJ143</f>
        <v>243500</v>
      </c>
      <c r="AK167" s="446"/>
      <c r="AL167" s="447"/>
      <c r="AM167" s="445">
        <f>AM34+AM59-AM143</f>
        <v>-12500</v>
      </c>
      <c r="AN167" s="446"/>
      <c r="AO167" s="447"/>
      <c r="AP167" s="445">
        <f>AP34+AP59-AP143</f>
        <v>-12500</v>
      </c>
      <c r="AQ167" s="446"/>
      <c r="AR167" s="447"/>
      <c r="AS167" s="445">
        <f>AS34+AS59-AS143</f>
        <v>-12500</v>
      </c>
      <c r="AT167" s="446"/>
      <c r="AU167" s="447"/>
      <c r="AV167" s="445">
        <f>AV34+AV59-AV143</f>
        <v>-12500</v>
      </c>
      <c r="AW167" s="446"/>
      <c r="AX167" s="447"/>
      <c r="AY167" s="445">
        <f>AY34+AY59-AY143</f>
        <v>-12500</v>
      </c>
      <c r="AZ167" s="446"/>
      <c r="BA167" s="447"/>
      <c r="BB167" s="445">
        <f>BB34+BB59-BB143</f>
        <v>-12500</v>
      </c>
      <c r="BC167" s="446"/>
      <c r="BD167" s="447"/>
      <c r="BE167" s="445">
        <f>BE34+BE59-BE143</f>
        <v>-12500</v>
      </c>
      <c r="BF167" s="446"/>
      <c r="BG167" s="447"/>
      <c r="BH167" s="445">
        <f>BH34+BH59-BH143</f>
        <v>-12500</v>
      </c>
      <c r="BI167" s="446"/>
      <c r="BJ167" s="447"/>
      <c r="BK167" s="445">
        <f>BK34+BK59-BK143</f>
        <v>-12500</v>
      </c>
      <c r="BL167" s="446"/>
      <c r="BM167" s="447"/>
      <c r="BN167" s="445">
        <f>BN34+BN59-BN143</f>
        <v>-12500</v>
      </c>
      <c r="BO167" s="446"/>
      <c r="BP167" s="447"/>
      <c r="BQ167" s="445">
        <f>BQ34+BQ59-BQ143</f>
        <v>-12500</v>
      </c>
      <c r="BR167" s="446"/>
      <c r="BS167" s="447"/>
      <c r="BT167" s="445">
        <f>BT34+BT59-BT143</f>
        <v>-12500</v>
      </c>
      <c r="BU167" s="446"/>
      <c r="BV167" s="447"/>
      <c r="BW167" s="446"/>
      <c r="BX167" s="446"/>
      <c r="BY167" s="446"/>
      <c r="BZ167" s="446"/>
      <c r="CA167" s="446"/>
      <c r="CB167" s="446"/>
      <c r="CC167" s="446"/>
      <c r="CD167" s="446"/>
      <c r="CE167" s="446"/>
      <c r="CF167" s="446"/>
      <c r="CG167" s="446"/>
      <c r="CH167" s="446"/>
      <c r="CI167" s="446"/>
      <c r="CJ167" s="446"/>
      <c r="CK167" s="446"/>
      <c r="CL167" s="446"/>
      <c r="CM167" s="446"/>
      <c r="CN167" s="446"/>
      <c r="CO167" s="446"/>
      <c r="CP167" s="446"/>
      <c r="CQ167" s="446"/>
      <c r="CR167" s="446"/>
      <c r="CS167" s="446"/>
      <c r="CT167" s="446"/>
      <c r="CU167" s="446"/>
      <c r="CV167" s="446"/>
      <c r="CW167" s="446"/>
      <c r="CX167" s="446"/>
      <c r="CY167" s="446"/>
      <c r="CZ167" s="446"/>
      <c r="DA167" s="446"/>
      <c r="DB167" s="446"/>
      <c r="DC167" s="446"/>
      <c r="DD167" s="446"/>
      <c r="DE167" s="446"/>
      <c r="DF167" s="446"/>
      <c r="DG167" s="446"/>
      <c r="DH167" s="446"/>
      <c r="DI167" s="446"/>
      <c r="DJ167" s="446"/>
      <c r="DK167" s="446"/>
      <c r="DL167" s="446"/>
      <c r="DM167" s="446"/>
      <c r="DN167" s="446"/>
      <c r="DO167" s="446"/>
      <c r="DP167" s="446"/>
      <c r="DQ167" s="446"/>
      <c r="DR167" s="446"/>
      <c r="DS167" s="446"/>
      <c r="DT167" s="446"/>
      <c r="DU167" s="446"/>
      <c r="DV167" s="446"/>
      <c r="DW167" s="446"/>
      <c r="DX167" s="446"/>
      <c r="DY167" s="446"/>
      <c r="DZ167" s="446"/>
      <c r="EA167" s="446"/>
      <c r="EB167" s="446"/>
      <c r="EC167" s="446"/>
      <c r="ED167" s="446"/>
      <c r="EE167" s="446"/>
      <c r="EF167" s="446"/>
      <c r="EG167" s="446"/>
      <c r="EH167" s="446"/>
      <c r="EI167" s="446"/>
      <c r="EJ167" s="446"/>
      <c r="EK167" s="446"/>
      <c r="EL167" s="446"/>
      <c r="EM167" s="446"/>
      <c r="EN167" s="446"/>
      <c r="EO167" s="446"/>
      <c r="EP167" s="446"/>
      <c r="EQ167" s="446"/>
      <c r="ER167" s="446"/>
      <c r="ES167" s="446"/>
      <c r="ET167" s="446"/>
      <c r="EU167" s="446"/>
      <c r="EV167" s="446"/>
      <c r="EW167" s="446"/>
      <c r="EX167" s="446"/>
    </row>
    <row r="168" spans="1:154" s="373" customFormat="1" x14ac:dyDescent="0.2">
      <c r="A168" s="373" t="s">
        <v>146</v>
      </c>
      <c r="C168" s="671">
        <f>SUM(C167)</f>
        <v>243500</v>
      </c>
      <c r="D168" s="451"/>
      <c r="E168" s="686"/>
      <c r="F168" s="450">
        <f>SUM(F167)</f>
        <v>243500</v>
      </c>
      <c r="G168" s="451"/>
      <c r="H168" s="452"/>
      <c r="I168" s="450">
        <f>SUM(I167)</f>
        <v>243500</v>
      </c>
      <c r="J168" s="451"/>
      <c r="K168" s="452"/>
      <c r="L168" s="450">
        <f>SUM(L167)</f>
        <v>243500</v>
      </c>
      <c r="M168" s="451"/>
      <c r="N168" s="450"/>
      <c r="O168" s="701">
        <f>SUM(O167)</f>
        <v>243500</v>
      </c>
      <c r="P168" s="451"/>
      <c r="Q168" s="452"/>
      <c r="R168" s="450">
        <f>SUM(R167)</f>
        <v>243500</v>
      </c>
      <c r="S168" s="451"/>
      <c r="T168" s="452"/>
      <c r="U168" s="450">
        <f>SUM(U167)</f>
        <v>272500</v>
      </c>
      <c r="V168" s="451"/>
      <c r="W168" s="452"/>
      <c r="X168" s="450">
        <f>SUM(X167)</f>
        <v>272500</v>
      </c>
      <c r="Y168" s="451"/>
      <c r="Z168" s="452"/>
      <c r="AA168" s="450">
        <f>SUM(AA167)</f>
        <v>272500</v>
      </c>
      <c r="AB168" s="451"/>
      <c r="AC168" s="452"/>
      <c r="AD168" s="450">
        <f>SUM(AD167)</f>
        <v>243500</v>
      </c>
      <c r="AE168" s="451"/>
      <c r="AF168" s="452"/>
      <c r="AG168" s="450">
        <f>SUM(AG167)</f>
        <v>243500</v>
      </c>
      <c r="AH168" s="451"/>
      <c r="AI168" s="452"/>
      <c r="AJ168" s="450">
        <f>SUM(AJ167)</f>
        <v>243500</v>
      </c>
      <c r="AK168" s="451"/>
      <c r="AL168" s="452"/>
      <c r="AM168" s="450">
        <f>SUM(AM167)</f>
        <v>-12500</v>
      </c>
      <c r="AN168" s="451"/>
      <c r="AO168" s="452"/>
      <c r="AP168" s="450">
        <f>SUM(AP167)</f>
        <v>-12500</v>
      </c>
      <c r="AQ168" s="451"/>
      <c r="AR168" s="452"/>
      <c r="AS168" s="450">
        <f>SUM(AS167)</f>
        <v>-12500</v>
      </c>
      <c r="AT168" s="451"/>
      <c r="AU168" s="452"/>
      <c r="AV168" s="450">
        <f>SUM(AV167)</f>
        <v>-12500</v>
      </c>
      <c r="AW168" s="451"/>
      <c r="AX168" s="452"/>
      <c r="AY168" s="450">
        <f>SUM(AY167)</f>
        <v>-12500</v>
      </c>
      <c r="AZ168" s="451"/>
      <c r="BA168" s="452"/>
      <c r="BB168" s="450">
        <f>SUM(BB167)</f>
        <v>-12500</v>
      </c>
      <c r="BC168" s="451"/>
      <c r="BD168" s="452"/>
      <c r="BE168" s="450">
        <f>SUM(BE167)</f>
        <v>-12500</v>
      </c>
      <c r="BF168" s="451"/>
      <c r="BG168" s="452"/>
      <c r="BH168" s="450">
        <f>SUM(BH167)</f>
        <v>-12500</v>
      </c>
      <c r="BI168" s="451"/>
      <c r="BJ168" s="452"/>
      <c r="BK168" s="450">
        <f>SUM(BK167)</f>
        <v>-12500</v>
      </c>
      <c r="BL168" s="451"/>
      <c r="BM168" s="452"/>
      <c r="BN168" s="450">
        <f>SUM(BN167)</f>
        <v>-12500</v>
      </c>
      <c r="BO168" s="451"/>
      <c r="BP168" s="452"/>
      <c r="BQ168" s="450">
        <f>SUM(BQ167)</f>
        <v>-12500</v>
      </c>
      <c r="BR168" s="451"/>
      <c r="BS168" s="452"/>
      <c r="BT168" s="450">
        <f>SUM(BT167)</f>
        <v>-12500</v>
      </c>
      <c r="BU168" s="451"/>
      <c r="BV168" s="452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  <c r="CO168" s="451"/>
      <c r="CP168" s="451"/>
      <c r="CQ168" s="451"/>
      <c r="CR168" s="451"/>
      <c r="CS168" s="451"/>
      <c r="CT168" s="451"/>
      <c r="CU168" s="451"/>
      <c r="CV168" s="451"/>
      <c r="CW168" s="451"/>
      <c r="CX168" s="451"/>
      <c r="CY168" s="451"/>
      <c r="CZ168" s="451"/>
      <c r="DA168" s="451"/>
      <c r="DB168" s="451"/>
      <c r="DC168" s="451"/>
      <c r="DD168" s="451"/>
      <c r="DE168" s="451"/>
      <c r="DF168" s="451"/>
      <c r="DG168" s="451"/>
      <c r="DH168" s="451"/>
      <c r="DI168" s="451"/>
      <c r="DJ168" s="451"/>
      <c r="DK168" s="451"/>
      <c r="DL168" s="451"/>
      <c r="DM168" s="451"/>
      <c r="DN168" s="451"/>
      <c r="DO168" s="451"/>
      <c r="DP168" s="451"/>
      <c r="DQ168" s="451"/>
      <c r="DR168" s="451"/>
      <c r="DS168" s="451"/>
      <c r="DT168" s="451"/>
      <c r="DU168" s="451"/>
      <c r="DV168" s="451"/>
      <c r="DW168" s="451"/>
      <c r="DX168" s="451"/>
      <c r="DY168" s="451"/>
      <c r="DZ168" s="451"/>
      <c r="EA168" s="451"/>
      <c r="EB168" s="451"/>
      <c r="EC168" s="451"/>
      <c r="ED168" s="451"/>
      <c r="EE168" s="451"/>
      <c r="EF168" s="451"/>
      <c r="EG168" s="451"/>
      <c r="EH168" s="451"/>
      <c r="EI168" s="451"/>
      <c r="EJ168" s="451"/>
      <c r="EK168" s="451"/>
      <c r="EL168" s="451"/>
      <c r="EM168" s="451"/>
      <c r="EN168" s="451"/>
      <c r="EO168" s="451"/>
      <c r="EP168" s="451"/>
      <c r="EQ168" s="451"/>
      <c r="ER168" s="451"/>
      <c r="ES168" s="451"/>
      <c r="ET168" s="451"/>
      <c r="EU168" s="451"/>
      <c r="EV168" s="451"/>
      <c r="EW168" s="451"/>
      <c r="EX168" s="451"/>
    </row>
    <row r="169" spans="1:154" s="439" customFormat="1" x14ac:dyDescent="0.2">
      <c r="A169" s="439" t="s">
        <v>83</v>
      </c>
      <c r="B169" s="439" t="s">
        <v>52</v>
      </c>
      <c r="C169" s="670">
        <f>C36+C61-C145</f>
        <v>259000</v>
      </c>
      <c r="D169" s="446"/>
      <c r="E169" s="685"/>
      <c r="F169" s="445">
        <f>F36+F61-F145</f>
        <v>259000</v>
      </c>
      <c r="G169" s="446"/>
      <c r="H169" s="447"/>
      <c r="I169" s="445">
        <f>I36+I61-I145</f>
        <v>259000</v>
      </c>
      <c r="J169" s="446"/>
      <c r="K169" s="447"/>
      <c r="L169" s="445">
        <f>L36+L61-L145</f>
        <v>259000</v>
      </c>
      <c r="M169" s="446"/>
      <c r="N169" s="445"/>
      <c r="O169" s="700">
        <f>O36+O61-O145</f>
        <v>259000</v>
      </c>
      <c r="P169" s="446"/>
      <c r="Q169" s="447"/>
      <c r="R169" s="445">
        <f>R36+R61-R145</f>
        <v>259000</v>
      </c>
      <c r="S169" s="446"/>
      <c r="T169" s="447"/>
      <c r="U169" s="445">
        <f>U36+U61-U145</f>
        <v>259000</v>
      </c>
      <c r="V169" s="446"/>
      <c r="W169" s="447"/>
      <c r="X169" s="445">
        <f>X36+X61-X145</f>
        <v>259000</v>
      </c>
      <c r="Y169" s="446"/>
      <c r="Z169" s="447"/>
      <c r="AA169" s="445">
        <f>AA36+AA61-AA145</f>
        <v>259000</v>
      </c>
      <c r="AB169" s="446"/>
      <c r="AC169" s="447"/>
      <c r="AD169" s="445">
        <f>AD36+AD61-AD145</f>
        <v>259000</v>
      </c>
      <c r="AE169" s="446"/>
      <c r="AF169" s="447"/>
      <c r="AG169" s="445">
        <f>AG36+AG61-AG145</f>
        <v>259000</v>
      </c>
      <c r="AH169" s="446"/>
      <c r="AI169" s="447"/>
      <c r="AJ169" s="445">
        <f>AJ36+AJ61-AJ145</f>
        <v>259000</v>
      </c>
      <c r="AK169" s="446"/>
      <c r="AL169" s="447"/>
      <c r="AM169" s="445">
        <f>AM36+AM61-AM145</f>
        <v>0</v>
      </c>
      <c r="AN169" s="446"/>
      <c r="AO169" s="447"/>
      <c r="AP169" s="445">
        <f>AP36+AP61-AP145</f>
        <v>0</v>
      </c>
      <c r="AQ169" s="446"/>
      <c r="AR169" s="447"/>
      <c r="AS169" s="445">
        <f>AS36+AS61-AS145</f>
        <v>0</v>
      </c>
      <c r="AT169" s="446"/>
      <c r="AU169" s="447"/>
      <c r="AV169" s="445">
        <f>AV36+AV61-AV145</f>
        <v>0</v>
      </c>
      <c r="AW169" s="446"/>
      <c r="AX169" s="447"/>
      <c r="AY169" s="445">
        <f>AY36+AY61-AY145</f>
        <v>0</v>
      </c>
      <c r="AZ169" s="446"/>
      <c r="BA169" s="447"/>
      <c r="BB169" s="445">
        <f>BB36+BB61-BB145</f>
        <v>0</v>
      </c>
      <c r="BC169" s="446"/>
      <c r="BD169" s="447"/>
      <c r="BE169" s="445">
        <f>BE36+BE61-BE145</f>
        <v>0</v>
      </c>
      <c r="BF169" s="446"/>
      <c r="BG169" s="447"/>
      <c r="BH169" s="445">
        <f>BH36+BH61-BH145</f>
        <v>0</v>
      </c>
      <c r="BI169" s="446"/>
      <c r="BJ169" s="447"/>
      <c r="BK169" s="445">
        <f>BK36+BK61-BK145</f>
        <v>0</v>
      </c>
      <c r="BL169" s="446"/>
      <c r="BM169" s="447"/>
      <c r="BN169" s="445">
        <f>BN36+BN61-BN145</f>
        <v>0</v>
      </c>
      <c r="BO169" s="446"/>
      <c r="BP169" s="447"/>
      <c r="BQ169" s="445">
        <f>BQ36+BQ61-BQ145</f>
        <v>0</v>
      </c>
      <c r="BR169" s="446"/>
      <c r="BS169" s="447"/>
      <c r="BT169" s="445">
        <f>BT36+BT61-BT145</f>
        <v>0</v>
      </c>
      <c r="BU169" s="446"/>
      <c r="BV169" s="447"/>
      <c r="BW169" s="446"/>
      <c r="BX169" s="446"/>
      <c r="BY169" s="446"/>
      <c r="BZ169" s="446"/>
      <c r="CA169" s="446"/>
      <c r="CB169" s="446"/>
      <c r="CC169" s="446"/>
      <c r="CD169" s="446"/>
      <c r="CE169" s="446"/>
      <c r="CF169" s="446"/>
      <c r="CG169" s="446"/>
      <c r="CH169" s="446"/>
      <c r="CI169" s="446"/>
      <c r="CJ169" s="446"/>
      <c r="CK169" s="446"/>
      <c r="CL169" s="446"/>
      <c r="CM169" s="446"/>
      <c r="CN169" s="446"/>
      <c r="CO169" s="446"/>
      <c r="CP169" s="446"/>
      <c r="CQ169" s="446"/>
      <c r="CR169" s="446"/>
      <c r="CS169" s="446"/>
      <c r="CT169" s="446"/>
      <c r="CU169" s="446"/>
      <c r="CV169" s="446"/>
      <c r="CW169" s="446"/>
      <c r="CX169" s="446"/>
      <c r="CY169" s="446"/>
      <c r="CZ169" s="446"/>
      <c r="DA169" s="446"/>
      <c r="DB169" s="446"/>
      <c r="DC169" s="446"/>
      <c r="DD169" s="446"/>
      <c r="DE169" s="446"/>
      <c r="DF169" s="446"/>
      <c r="DG169" s="446"/>
      <c r="DH169" s="446"/>
      <c r="DI169" s="446"/>
      <c r="DJ169" s="446"/>
      <c r="DK169" s="446"/>
      <c r="DL169" s="446"/>
      <c r="DM169" s="446"/>
      <c r="DN169" s="446"/>
      <c r="DO169" s="446"/>
      <c r="DP169" s="446"/>
      <c r="DQ169" s="446"/>
      <c r="DR169" s="446"/>
      <c r="DS169" s="446"/>
      <c r="DT169" s="446"/>
      <c r="DU169" s="446"/>
      <c r="DV169" s="446"/>
      <c r="DW169" s="446"/>
      <c r="DX169" s="446"/>
      <c r="DY169" s="446"/>
      <c r="DZ169" s="446"/>
      <c r="EA169" s="446"/>
      <c r="EB169" s="446"/>
      <c r="EC169" s="446"/>
      <c r="ED169" s="446"/>
      <c r="EE169" s="446"/>
      <c r="EF169" s="446"/>
      <c r="EG169" s="446"/>
      <c r="EH169" s="446"/>
      <c r="EI169" s="446"/>
      <c r="EJ169" s="446"/>
      <c r="EK169" s="446"/>
      <c r="EL169" s="446"/>
      <c r="EM169" s="446"/>
      <c r="EN169" s="446"/>
      <c r="EO169" s="446"/>
      <c r="EP169" s="446"/>
      <c r="EQ169" s="446"/>
      <c r="ER169" s="446"/>
      <c r="ES169" s="446"/>
      <c r="ET169" s="446"/>
      <c r="EU169" s="446"/>
      <c r="EV169" s="446"/>
      <c r="EW169" s="446"/>
      <c r="EX169" s="446"/>
    </row>
    <row r="170" spans="1:154" s="373" customFormat="1" x14ac:dyDescent="0.2">
      <c r="A170" s="373" t="s">
        <v>145</v>
      </c>
      <c r="C170" s="671">
        <f>SUM(C169)</f>
        <v>259000</v>
      </c>
      <c r="D170" s="451"/>
      <c r="E170" s="686"/>
      <c r="F170" s="450">
        <f>SUM(F169)</f>
        <v>259000</v>
      </c>
      <c r="G170" s="451"/>
      <c r="H170" s="452"/>
      <c r="I170" s="450">
        <f>SUM(I169)</f>
        <v>259000</v>
      </c>
      <c r="J170" s="451"/>
      <c r="K170" s="452"/>
      <c r="L170" s="450">
        <f>SUM(L169)</f>
        <v>259000</v>
      </c>
      <c r="M170" s="451"/>
      <c r="N170" s="450"/>
      <c r="O170" s="701">
        <f>SUM(O169)</f>
        <v>259000</v>
      </c>
      <c r="P170" s="451"/>
      <c r="Q170" s="452"/>
      <c r="R170" s="450">
        <f>SUM(R169)</f>
        <v>259000</v>
      </c>
      <c r="S170" s="451"/>
      <c r="T170" s="452"/>
      <c r="U170" s="450">
        <f>SUM(U169)</f>
        <v>259000</v>
      </c>
      <c r="V170" s="451"/>
      <c r="W170" s="452"/>
      <c r="X170" s="450">
        <f>SUM(X169)</f>
        <v>259000</v>
      </c>
      <c r="Y170" s="451"/>
      <c r="Z170" s="452"/>
      <c r="AA170" s="450">
        <f>SUM(AA169)</f>
        <v>259000</v>
      </c>
      <c r="AB170" s="451"/>
      <c r="AC170" s="452"/>
      <c r="AD170" s="450">
        <f>SUM(AD169)</f>
        <v>259000</v>
      </c>
      <c r="AE170" s="451"/>
      <c r="AF170" s="452"/>
      <c r="AG170" s="450">
        <f>SUM(AG169)</f>
        <v>259000</v>
      </c>
      <c r="AH170" s="451"/>
      <c r="AI170" s="452"/>
      <c r="AJ170" s="450">
        <f>SUM(AJ169)</f>
        <v>259000</v>
      </c>
      <c r="AK170" s="451"/>
      <c r="AL170" s="452"/>
      <c r="AM170" s="450">
        <f>SUM(AM169)</f>
        <v>0</v>
      </c>
      <c r="AN170" s="451"/>
      <c r="AO170" s="452"/>
      <c r="AP170" s="450">
        <f>SUM(AP169)</f>
        <v>0</v>
      </c>
      <c r="AQ170" s="451"/>
      <c r="AR170" s="452"/>
      <c r="AS170" s="450">
        <f>SUM(AS169)</f>
        <v>0</v>
      </c>
      <c r="AT170" s="451"/>
      <c r="AU170" s="452"/>
      <c r="AV170" s="450">
        <f>SUM(AV169)</f>
        <v>0</v>
      </c>
      <c r="AW170" s="451"/>
      <c r="AX170" s="452"/>
      <c r="AY170" s="450">
        <f>SUM(AY169)</f>
        <v>0</v>
      </c>
      <c r="AZ170" s="451"/>
      <c r="BA170" s="452"/>
      <c r="BB170" s="450">
        <f>SUM(BB169)</f>
        <v>0</v>
      </c>
      <c r="BC170" s="451"/>
      <c r="BD170" s="452"/>
      <c r="BE170" s="450">
        <f>SUM(BE169)</f>
        <v>0</v>
      </c>
      <c r="BF170" s="451"/>
      <c r="BG170" s="452"/>
      <c r="BH170" s="450">
        <f>SUM(BH169)</f>
        <v>0</v>
      </c>
      <c r="BI170" s="451"/>
      <c r="BJ170" s="452"/>
      <c r="BK170" s="450">
        <f>SUM(BK169)</f>
        <v>0</v>
      </c>
      <c r="BL170" s="451"/>
      <c r="BM170" s="452"/>
      <c r="BN170" s="450">
        <f>SUM(BN169)</f>
        <v>0</v>
      </c>
      <c r="BO170" s="451"/>
      <c r="BP170" s="452"/>
      <c r="BQ170" s="450">
        <f>SUM(BQ169)</f>
        <v>0</v>
      </c>
      <c r="BR170" s="451"/>
      <c r="BS170" s="452"/>
      <c r="BT170" s="450">
        <f>SUM(BT169)</f>
        <v>0</v>
      </c>
      <c r="BU170" s="451"/>
      <c r="BV170" s="452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  <c r="CO170" s="451"/>
      <c r="CP170" s="451"/>
      <c r="CQ170" s="451"/>
      <c r="CR170" s="451"/>
      <c r="CS170" s="451"/>
      <c r="CT170" s="451"/>
      <c r="CU170" s="451"/>
      <c r="CV170" s="451"/>
      <c r="CW170" s="451"/>
      <c r="CX170" s="451"/>
      <c r="CY170" s="451"/>
      <c r="CZ170" s="451"/>
      <c r="DA170" s="451"/>
      <c r="DB170" s="451"/>
      <c r="DC170" s="451"/>
      <c r="DD170" s="451"/>
      <c r="DE170" s="451"/>
      <c r="DF170" s="451"/>
      <c r="DG170" s="451"/>
      <c r="DH170" s="451"/>
      <c r="DI170" s="451"/>
      <c r="DJ170" s="451"/>
      <c r="DK170" s="451"/>
      <c r="DL170" s="451"/>
      <c r="DM170" s="451"/>
      <c r="DN170" s="451"/>
      <c r="DO170" s="451"/>
      <c r="DP170" s="451"/>
      <c r="DQ170" s="451"/>
      <c r="DR170" s="451"/>
      <c r="DS170" s="451"/>
      <c r="DT170" s="451"/>
      <c r="DU170" s="451"/>
      <c r="DV170" s="451"/>
      <c r="DW170" s="451"/>
      <c r="DX170" s="451"/>
      <c r="DY170" s="451"/>
      <c r="DZ170" s="451"/>
      <c r="EA170" s="451"/>
      <c r="EB170" s="451"/>
      <c r="EC170" s="451"/>
      <c r="ED170" s="451"/>
      <c r="EE170" s="451"/>
      <c r="EF170" s="451"/>
      <c r="EG170" s="451"/>
      <c r="EH170" s="451"/>
      <c r="EI170" s="451"/>
      <c r="EJ170" s="451"/>
      <c r="EK170" s="451"/>
      <c r="EL170" s="451"/>
      <c r="EM170" s="451"/>
      <c r="EN170" s="451"/>
      <c r="EO170" s="451"/>
      <c r="EP170" s="451"/>
      <c r="EQ170" s="451"/>
      <c r="ER170" s="451"/>
      <c r="ES170" s="451"/>
      <c r="ET170" s="451"/>
      <c r="EU170" s="451"/>
      <c r="EV170" s="451"/>
      <c r="EW170" s="451"/>
      <c r="EX170" s="451"/>
    </row>
    <row r="171" spans="1:154" s="439" customFormat="1" x14ac:dyDescent="0.2">
      <c r="A171" s="439" t="s">
        <v>136</v>
      </c>
      <c r="B171" s="439" t="s">
        <v>52</v>
      </c>
      <c r="C171" s="670">
        <f>C38+C63-C147</f>
        <v>0</v>
      </c>
      <c r="D171" s="446"/>
      <c r="E171" s="685"/>
      <c r="F171" s="445">
        <f>F38+F63-F147</f>
        <v>0</v>
      </c>
      <c r="G171" s="446"/>
      <c r="H171" s="447"/>
      <c r="I171" s="445">
        <f>I38+I63-I147</f>
        <v>0</v>
      </c>
      <c r="J171" s="446"/>
      <c r="K171" s="447"/>
      <c r="L171" s="445">
        <f>L38+L63-L147</f>
        <v>0</v>
      </c>
      <c r="M171" s="446"/>
      <c r="N171" s="445"/>
      <c r="O171" s="700">
        <f>O38+O63-O147</f>
        <v>0</v>
      </c>
      <c r="P171" s="446"/>
      <c r="Q171" s="447"/>
      <c r="R171" s="445">
        <f>R38+R63-R147</f>
        <v>0</v>
      </c>
      <c r="S171" s="446"/>
      <c r="T171" s="447"/>
      <c r="U171" s="445">
        <f>U38+U63-U147</f>
        <v>0</v>
      </c>
      <c r="V171" s="446"/>
      <c r="W171" s="447"/>
      <c r="X171" s="445">
        <f>X38+X63-X147</f>
        <v>0</v>
      </c>
      <c r="Y171" s="446"/>
      <c r="Z171" s="447"/>
      <c r="AA171" s="445">
        <f>AA38+AA63-AA147</f>
        <v>0</v>
      </c>
      <c r="AB171" s="446"/>
      <c r="AC171" s="447"/>
      <c r="AD171" s="445">
        <f>AD38+AD63-AD147</f>
        <v>0</v>
      </c>
      <c r="AE171" s="446"/>
      <c r="AF171" s="447"/>
      <c r="AG171" s="445">
        <f>AG38+AG63-AG147</f>
        <v>0</v>
      </c>
      <c r="AH171" s="446"/>
      <c r="AI171" s="447"/>
      <c r="AJ171" s="445">
        <f>AJ38+AJ63-AJ147</f>
        <v>0</v>
      </c>
      <c r="AK171" s="446"/>
      <c r="AL171" s="447"/>
      <c r="AM171" s="445">
        <f>AM38+AM63-AM147</f>
        <v>0</v>
      </c>
      <c r="AN171" s="446"/>
      <c r="AO171" s="447"/>
      <c r="AP171" s="445">
        <f>AP38+AP63-AP147</f>
        <v>0</v>
      </c>
      <c r="AQ171" s="446"/>
      <c r="AR171" s="447"/>
      <c r="AS171" s="445">
        <f>AS38+AS63-AS147</f>
        <v>0</v>
      </c>
      <c r="AT171" s="446"/>
      <c r="AU171" s="447"/>
      <c r="AV171" s="445">
        <f>AV38+AV63-AV147</f>
        <v>0</v>
      </c>
      <c r="AW171" s="446"/>
      <c r="AX171" s="447"/>
      <c r="AY171" s="445">
        <f>AY38+AY63-AY147</f>
        <v>0</v>
      </c>
      <c r="AZ171" s="446"/>
      <c r="BA171" s="447"/>
      <c r="BB171" s="445">
        <f>BB38+BB63-BB147</f>
        <v>0</v>
      </c>
      <c r="BC171" s="446"/>
      <c r="BD171" s="447"/>
      <c r="BE171" s="445">
        <f>BE38+BE63-BE147</f>
        <v>0</v>
      </c>
      <c r="BF171" s="446"/>
      <c r="BG171" s="447"/>
      <c r="BH171" s="445">
        <f>BH38+BH63-BH147</f>
        <v>0</v>
      </c>
      <c r="BI171" s="446"/>
      <c r="BJ171" s="447"/>
      <c r="BK171" s="445">
        <f>BK38+BK63-BK147</f>
        <v>0</v>
      </c>
      <c r="BL171" s="446"/>
      <c r="BM171" s="447"/>
      <c r="BN171" s="445">
        <f>BN38+BN63-BN147</f>
        <v>0</v>
      </c>
      <c r="BO171" s="446"/>
      <c r="BP171" s="447"/>
      <c r="BQ171" s="445">
        <f>BQ38+BQ63-BQ147</f>
        <v>0</v>
      </c>
      <c r="BR171" s="446"/>
      <c r="BS171" s="447"/>
      <c r="BT171" s="445">
        <f>BT38+BT63-BT147</f>
        <v>0</v>
      </c>
      <c r="BU171" s="446"/>
      <c r="BV171" s="447"/>
      <c r="BW171" s="446"/>
      <c r="BX171" s="446"/>
      <c r="BY171" s="446"/>
      <c r="BZ171" s="446"/>
      <c r="CA171" s="446"/>
      <c r="CB171" s="446"/>
      <c r="CC171" s="446"/>
      <c r="CD171" s="446"/>
      <c r="CE171" s="446"/>
      <c r="CF171" s="446"/>
      <c r="CG171" s="446"/>
      <c r="CH171" s="446"/>
      <c r="CI171" s="446"/>
      <c r="CJ171" s="446"/>
      <c r="CK171" s="446"/>
      <c r="CL171" s="446"/>
      <c r="CM171" s="446"/>
      <c r="CN171" s="446"/>
      <c r="CO171" s="446"/>
      <c r="CP171" s="446"/>
      <c r="CQ171" s="446"/>
      <c r="CR171" s="446"/>
      <c r="CS171" s="446"/>
      <c r="CT171" s="446"/>
      <c r="CU171" s="446"/>
      <c r="CV171" s="446"/>
      <c r="CW171" s="446"/>
      <c r="CX171" s="446"/>
      <c r="CY171" s="446"/>
      <c r="CZ171" s="446"/>
      <c r="DA171" s="446"/>
      <c r="DB171" s="446"/>
      <c r="DC171" s="446"/>
      <c r="DD171" s="446"/>
      <c r="DE171" s="446"/>
      <c r="DF171" s="446"/>
      <c r="DG171" s="446"/>
      <c r="DH171" s="446"/>
      <c r="DI171" s="446"/>
      <c r="DJ171" s="446"/>
      <c r="DK171" s="446"/>
      <c r="DL171" s="446"/>
      <c r="DM171" s="446"/>
      <c r="DN171" s="446"/>
      <c r="DO171" s="446"/>
      <c r="DP171" s="446"/>
      <c r="DQ171" s="446"/>
      <c r="DR171" s="446"/>
      <c r="DS171" s="446"/>
      <c r="DT171" s="446"/>
      <c r="DU171" s="446"/>
      <c r="DV171" s="446"/>
      <c r="DW171" s="446"/>
      <c r="DX171" s="446"/>
      <c r="DY171" s="446"/>
      <c r="DZ171" s="446"/>
      <c r="EA171" s="446"/>
      <c r="EB171" s="446"/>
      <c r="EC171" s="446"/>
      <c r="ED171" s="446"/>
      <c r="EE171" s="446"/>
      <c r="EF171" s="446"/>
      <c r="EG171" s="446"/>
      <c r="EH171" s="446"/>
      <c r="EI171" s="446"/>
      <c r="EJ171" s="446"/>
      <c r="EK171" s="446"/>
      <c r="EL171" s="446"/>
      <c r="EM171" s="446"/>
      <c r="EN171" s="446"/>
      <c r="EO171" s="446"/>
      <c r="EP171" s="446"/>
      <c r="EQ171" s="446"/>
      <c r="ER171" s="446"/>
      <c r="ES171" s="446"/>
      <c r="ET171" s="446"/>
      <c r="EU171" s="446"/>
      <c r="EV171" s="446"/>
      <c r="EW171" s="446"/>
      <c r="EX171" s="446"/>
    </row>
    <row r="172" spans="1:154" s="439" customFormat="1" x14ac:dyDescent="0.2">
      <c r="A172" s="439" t="s">
        <v>137</v>
      </c>
      <c r="B172" s="439" t="s">
        <v>52</v>
      </c>
      <c r="C172" s="670">
        <f>C39+C64-C148</f>
        <v>0</v>
      </c>
      <c r="D172" s="446"/>
      <c r="E172" s="685"/>
      <c r="F172" s="445">
        <f>F39+F64-F148</f>
        <v>0</v>
      </c>
      <c r="G172" s="446"/>
      <c r="H172" s="447"/>
      <c r="I172" s="445">
        <f>I39+I64-I148</f>
        <v>0</v>
      </c>
      <c r="J172" s="446"/>
      <c r="K172" s="447"/>
      <c r="L172" s="445">
        <f>L39+L64-L148</f>
        <v>0</v>
      </c>
      <c r="M172" s="446"/>
      <c r="N172" s="445"/>
      <c r="O172" s="700">
        <f>O39+O64-O148</f>
        <v>0</v>
      </c>
      <c r="P172" s="446"/>
      <c r="Q172" s="447"/>
      <c r="R172" s="445">
        <f>R39+R64-R148</f>
        <v>0</v>
      </c>
      <c r="S172" s="446"/>
      <c r="T172" s="447"/>
      <c r="U172" s="445">
        <f>U39+U64-U148</f>
        <v>0</v>
      </c>
      <c r="V172" s="446"/>
      <c r="W172" s="447"/>
      <c r="X172" s="445">
        <f>X39+X64-X148</f>
        <v>0</v>
      </c>
      <c r="Y172" s="446"/>
      <c r="Z172" s="447"/>
      <c r="AA172" s="445">
        <f>AA39+AA64-AA148</f>
        <v>0</v>
      </c>
      <c r="AB172" s="446"/>
      <c r="AC172" s="447"/>
      <c r="AD172" s="445">
        <f>AD39+AD64-AD148</f>
        <v>0</v>
      </c>
      <c r="AE172" s="446"/>
      <c r="AF172" s="447"/>
      <c r="AG172" s="445">
        <f>AG39+AG64-AG148</f>
        <v>0</v>
      </c>
      <c r="AH172" s="446"/>
      <c r="AI172" s="447"/>
      <c r="AJ172" s="445">
        <f>AJ39+AJ64-AJ148</f>
        <v>0</v>
      </c>
      <c r="AK172" s="446"/>
      <c r="AL172" s="447"/>
      <c r="AM172" s="445">
        <f>AM39+AM64-AM148</f>
        <v>-477500</v>
      </c>
      <c r="AN172" s="446"/>
      <c r="AO172" s="447"/>
      <c r="AP172" s="445">
        <f>AP39+AP64-AP148</f>
        <v>-477500</v>
      </c>
      <c r="AQ172" s="446"/>
      <c r="AR172" s="447"/>
      <c r="AS172" s="445">
        <f>AS39+AS64-AS148</f>
        <v>-477500</v>
      </c>
      <c r="AT172" s="446"/>
      <c r="AU172" s="447"/>
      <c r="AV172" s="445">
        <f>AV39+AV64-AV148</f>
        <v>-477500</v>
      </c>
      <c r="AW172" s="446"/>
      <c r="AX172" s="447"/>
      <c r="AY172" s="445">
        <f>AY39+AY64-AY148</f>
        <v>-477500</v>
      </c>
      <c r="AZ172" s="446"/>
      <c r="BA172" s="447"/>
      <c r="BB172" s="445">
        <f>BB39+BB64-BB148</f>
        <v>-477500</v>
      </c>
      <c r="BC172" s="446"/>
      <c r="BD172" s="447"/>
      <c r="BE172" s="445">
        <f>BE39+BE64-BE148</f>
        <v>-477500</v>
      </c>
      <c r="BF172" s="446"/>
      <c r="BG172" s="447"/>
      <c r="BH172" s="445">
        <f>BH39+BH64-BH148</f>
        <v>-477500</v>
      </c>
      <c r="BI172" s="446"/>
      <c r="BJ172" s="447"/>
      <c r="BK172" s="445">
        <f>BK39+BK64-BK148</f>
        <v>-477500</v>
      </c>
      <c r="BL172" s="446"/>
      <c r="BM172" s="447"/>
      <c r="BN172" s="445">
        <f>BN39+BN64-BN148</f>
        <v>-477500</v>
      </c>
      <c r="BO172" s="446"/>
      <c r="BP172" s="447"/>
      <c r="BQ172" s="445">
        <f>BQ39+BQ64-BQ148</f>
        <v>-477500</v>
      </c>
      <c r="BR172" s="446"/>
      <c r="BS172" s="447"/>
      <c r="BT172" s="445">
        <f>BT39+BT64-BT148</f>
        <v>-477500</v>
      </c>
      <c r="BU172" s="446"/>
      <c r="BV172" s="447"/>
      <c r="BW172" s="446"/>
      <c r="BX172" s="446"/>
      <c r="BY172" s="446"/>
      <c r="BZ172" s="446"/>
      <c r="CA172" s="446"/>
      <c r="CB172" s="446"/>
      <c r="CC172" s="446"/>
      <c r="CD172" s="446"/>
      <c r="CE172" s="446"/>
      <c r="CF172" s="446"/>
      <c r="CG172" s="446"/>
      <c r="CH172" s="446"/>
      <c r="CI172" s="446"/>
      <c r="CJ172" s="446"/>
      <c r="CK172" s="446"/>
      <c r="CL172" s="446"/>
      <c r="CM172" s="446"/>
      <c r="CN172" s="446"/>
      <c r="CO172" s="446"/>
      <c r="CP172" s="446"/>
      <c r="CQ172" s="446"/>
      <c r="CR172" s="446"/>
      <c r="CS172" s="446"/>
      <c r="CT172" s="446"/>
      <c r="CU172" s="446"/>
      <c r="CV172" s="446"/>
      <c r="CW172" s="446"/>
      <c r="CX172" s="446"/>
      <c r="CY172" s="446"/>
      <c r="CZ172" s="446"/>
      <c r="DA172" s="446"/>
      <c r="DB172" s="446"/>
      <c r="DC172" s="446"/>
      <c r="DD172" s="446"/>
      <c r="DE172" s="446"/>
      <c r="DF172" s="446"/>
      <c r="DG172" s="446"/>
      <c r="DH172" s="446"/>
      <c r="DI172" s="446"/>
      <c r="DJ172" s="446"/>
      <c r="DK172" s="446"/>
      <c r="DL172" s="446"/>
      <c r="DM172" s="446"/>
      <c r="DN172" s="446"/>
      <c r="DO172" s="446"/>
      <c r="DP172" s="446"/>
      <c r="DQ172" s="446"/>
      <c r="DR172" s="446"/>
      <c r="DS172" s="446"/>
      <c r="DT172" s="446"/>
      <c r="DU172" s="446"/>
      <c r="DV172" s="446"/>
      <c r="DW172" s="446"/>
      <c r="DX172" s="446"/>
      <c r="DY172" s="446"/>
      <c r="DZ172" s="446"/>
      <c r="EA172" s="446"/>
      <c r="EB172" s="446"/>
      <c r="EC172" s="446"/>
      <c r="ED172" s="446"/>
      <c r="EE172" s="446"/>
      <c r="EF172" s="446"/>
      <c r="EG172" s="446"/>
      <c r="EH172" s="446"/>
      <c r="EI172" s="446"/>
      <c r="EJ172" s="446"/>
      <c r="EK172" s="446"/>
      <c r="EL172" s="446"/>
      <c r="EM172" s="446"/>
      <c r="EN172" s="446"/>
      <c r="EO172" s="446"/>
      <c r="EP172" s="446"/>
      <c r="EQ172" s="446"/>
      <c r="ER172" s="446"/>
      <c r="ES172" s="446"/>
      <c r="ET172" s="446"/>
      <c r="EU172" s="446"/>
      <c r="EV172" s="446"/>
      <c r="EW172" s="446"/>
      <c r="EX172" s="446"/>
    </row>
    <row r="173" spans="1:154" s="373" customFormat="1" x14ac:dyDescent="0.2">
      <c r="A173" s="373" t="s">
        <v>144</v>
      </c>
      <c r="C173" s="671">
        <f>SUM(C171:C172)</f>
        <v>0</v>
      </c>
      <c r="D173" s="451"/>
      <c r="E173" s="686"/>
      <c r="F173" s="450">
        <f>SUM(F171:F172)</f>
        <v>0</v>
      </c>
      <c r="G173" s="451"/>
      <c r="H173" s="452"/>
      <c r="I173" s="450">
        <f>SUM(I171:I172)</f>
        <v>0</v>
      </c>
      <c r="J173" s="451"/>
      <c r="K173" s="452"/>
      <c r="L173" s="450">
        <f>SUM(L171:L172)</f>
        <v>0</v>
      </c>
      <c r="M173" s="451"/>
      <c r="N173" s="450"/>
      <c r="O173" s="701">
        <f>SUM(O171:O172)</f>
        <v>0</v>
      </c>
      <c r="P173" s="451"/>
      <c r="Q173" s="452"/>
      <c r="R173" s="450">
        <f>SUM(R171:R172)</f>
        <v>0</v>
      </c>
      <c r="S173" s="451"/>
      <c r="T173" s="452"/>
      <c r="U173" s="450">
        <f>SUM(U171:U172)</f>
        <v>0</v>
      </c>
      <c r="V173" s="451"/>
      <c r="W173" s="452"/>
      <c r="X173" s="450">
        <f>SUM(X171:X172)</f>
        <v>0</v>
      </c>
      <c r="Y173" s="451"/>
      <c r="Z173" s="452"/>
      <c r="AA173" s="450">
        <f>SUM(AA171:AA172)</f>
        <v>0</v>
      </c>
      <c r="AB173" s="451"/>
      <c r="AC173" s="452"/>
      <c r="AD173" s="450">
        <f>SUM(AD171:AD172)</f>
        <v>0</v>
      </c>
      <c r="AE173" s="451"/>
      <c r="AF173" s="452"/>
      <c r="AG173" s="450">
        <f>SUM(AG171:AG172)</f>
        <v>0</v>
      </c>
      <c r="AH173" s="451"/>
      <c r="AI173" s="452"/>
      <c r="AJ173" s="450">
        <f>SUM(AJ171:AJ172)</f>
        <v>0</v>
      </c>
      <c r="AK173" s="451"/>
      <c r="AL173" s="452"/>
      <c r="AM173" s="450">
        <f>SUM(AM171:AM172)</f>
        <v>-477500</v>
      </c>
      <c r="AN173" s="451"/>
      <c r="AO173" s="452"/>
      <c r="AP173" s="450">
        <f>SUM(AP171:AP172)</f>
        <v>-477500</v>
      </c>
      <c r="AQ173" s="451"/>
      <c r="AR173" s="452"/>
      <c r="AS173" s="450">
        <f>SUM(AS171:AS172)</f>
        <v>-477500</v>
      </c>
      <c r="AT173" s="451"/>
      <c r="AU173" s="452"/>
      <c r="AV173" s="450">
        <f>SUM(AV171:AV172)</f>
        <v>-477500</v>
      </c>
      <c r="AW173" s="451"/>
      <c r="AX173" s="452"/>
      <c r="AY173" s="450">
        <f>SUM(AY171:AY172)</f>
        <v>-477500</v>
      </c>
      <c r="AZ173" s="451"/>
      <c r="BA173" s="452"/>
      <c r="BB173" s="450">
        <f>SUM(BB171:BB172)</f>
        <v>-477500</v>
      </c>
      <c r="BC173" s="451"/>
      <c r="BD173" s="452"/>
      <c r="BE173" s="450">
        <f>SUM(BE171:BE172)</f>
        <v>-477500</v>
      </c>
      <c r="BF173" s="451"/>
      <c r="BG173" s="452"/>
      <c r="BH173" s="450">
        <f>SUM(BH171:BH172)</f>
        <v>-477500</v>
      </c>
      <c r="BI173" s="451"/>
      <c r="BJ173" s="452"/>
      <c r="BK173" s="450">
        <f>SUM(BK171:BK172)</f>
        <v>-477500</v>
      </c>
      <c r="BL173" s="451"/>
      <c r="BM173" s="452"/>
      <c r="BN173" s="450">
        <f>SUM(BN171:BN172)</f>
        <v>-477500</v>
      </c>
      <c r="BO173" s="451"/>
      <c r="BP173" s="452"/>
      <c r="BQ173" s="450">
        <f>SUM(BQ171:BQ172)</f>
        <v>-477500</v>
      </c>
      <c r="BR173" s="451"/>
      <c r="BS173" s="452"/>
      <c r="BT173" s="450">
        <f>SUM(BT171:BT172)</f>
        <v>-477500</v>
      </c>
      <c r="BU173" s="451"/>
      <c r="BV173" s="452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  <c r="CO173" s="451"/>
      <c r="CP173" s="451"/>
      <c r="CQ173" s="451"/>
      <c r="CR173" s="451"/>
      <c r="CS173" s="451"/>
      <c r="CT173" s="451"/>
      <c r="CU173" s="451"/>
      <c r="CV173" s="451"/>
      <c r="CW173" s="451"/>
      <c r="CX173" s="451"/>
      <c r="CY173" s="451"/>
      <c r="CZ173" s="451"/>
      <c r="DA173" s="451"/>
      <c r="DB173" s="451"/>
      <c r="DC173" s="451"/>
      <c r="DD173" s="451"/>
      <c r="DE173" s="451"/>
      <c r="DF173" s="451"/>
      <c r="DG173" s="451"/>
      <c r="DH173" s="451"/>
      <c r="DI173" s="451"/>
      <c r="DJ173" s="451"/>
      <c r="DK173" s="451"/>
      <c r="DL173" s="451"/>
      <c r="DM173" s="451"/>
      <c r="DN173" s="451"/>
      <c r="DO173" s="451"/>
      <c r="DP173" s="451"/>
      <c r="DQ173" s="451"/>
      <c r="DR173" s="451"/>
      <c r="DS173" s="451"/>
      <c r="DT173" s="451"/>
      <c r="DU173" s="451"/>
      <c r="DV173" s="451"/>
      <c r="DW173" s="451"/>
      <c r="DX173" s="451"/>
      <c r="DY173" s="451"/>
      <c r="DZ173" s="451"/>
      <c r="EA173" s="451"/>
      <c r="EB173" s="451"/>
      <c r="EC173" s="451"/>
      <c r="ED173" s="451"/>
      <c r="EE173" s="451"/>
      <c r="EF173" s="451"/>
      <c r="EG173" s="451"/>
      <c r="EH173" s="451"/>
      <c r="EI173" s="451"/>
      <c r="EJ173" s="451"/>
      <c r="EK173" s="451"/>
      <c r="EL173" s="451"/>
      <c r="EM173" s="451"/>
      <c r="EN173" s="451"/>
      <c r="EO173" s="451"/>
      <c r="EP173" s="451"/>
      <c r="EQ173" s="451"/>
      <c r="ER173" s="451"/>
      <c r="ES173" s="451"/>
      <c r="ET173" s="451"/>
      <c r="EU173" s="451"/>
      <c r="EV173" s="451"/>
      <c r="EW173" s="451"/>
      <c r="EX173" s="451"/>
    </row>
    <row r="174" spans="1:154" s="439" customFormat="1" x14ac:dyDescent="0.2">
      <c r="A174" s="439" t="s">
        <v>138</v>
      </c>
      <c r="B174" s="439" t="s">
        <v>52</v>
      </c>
      <c r="C174" s="670">
        <f>C41+C66-C150</f>
        <v>216500</v>
      </c>
      <c r="D174" s="446"/>
      <c r="E174" s="685"/>
      <c r="F174" s="445">
        <f>F41+F66-F150</f>
        <v>236500</v>
      </c>
      <c r="G174" s="446"/>
      <c r="H174" s="447"/>
      <c r="I174" s="445">
        <f>I41+I66-I150</f>
        <v>236500</v>
      </c>
      <c r="J174" s="446"/>
      <c r="K174" s="447"/>
      <c r="L174" s="445">
        <f>L41+L66-L150</f>
        <v>222500</v>
      </c>
      <c r="M174" s="446"/>
      <c r="N174" s="445"/>
      <c r="O174" s="700">
        <f>O41+O66-O150</f>
        <v>222500</v>
      </c>
      <c r="P174" s="446"/>
      <c r="Q174" s="447"/>
      <c r="R174" s="445">
        <f>R41+R66-R150</f>
        <v>302500</v>
      </c>
      <c r="S174" s="446"/>
      <c r="T174" s="447"/>
      <c r="U174" s="445">
        <f>U41+U66-U150</f>
        <v>342500</v>
      </c>
      <c r="V174" s="446"/>
      <c r="W174" s="447"/>
      <c r="X174" s="445">
        <f>X41+X66-X150</f>
        <v>342500</v>
      </c>
      <c r="Y174" s="446"/>
      <c r="Z174" s="447"/>
      <c r="AA174" s="445">
        <f>AA41+AA66-AA150</f>
        <v>342500</v>
      </c>
      <c r="AB174" s="446"/>
      <c r="AC174" s="447"/>
      <c r="AD174" s="445">
        <f>AD41+AD66-AD150</f>
        <v>342500</v>
      </c>
      <c r="AE174" s="446"/>
      <c r="AF174" s="447"/>
      <c r="AG174" s="445">
        <f>AG41+AG66-AG150</f>
        <v>335000</v>
      </c>
      <c r="AH174" s="446"/>
      <c r="AI174" s="447"/>
      <c r="AJ174" s="445">
        <f>AJ41+AJ66-AJ150</f>
        <v>335000</v>
      </c>
      <c r="AK174" s="446"/>
      <c r="AL174" s="447"/>
      <c r="AM174" s="445">
        <f>AM41+AM66-AM150</f>
        <v>-314000</v>
      </c>
      <c r="AN174" s="446"/>
      <c r="AO174" s="447"/>
      <c r="AP174" s="445">
        <f>AP41+AP66-AP150</f>
        <v>-314000</v>
      </c>
      <c r="AQ174" s="446"/>
      <c r="AR174" s="447"/>
      <c r="AS174" s="445">
        <f>AS41+AS66-AS150</f>
        <v>-314000</v>
      </c>
      <c r="AT174" s="446"/>
      <c r="AU174" s="447"/>
      <c r="AV174" s="445">
        <f>AV41+AV66-AV150</f>
        <v>-306000</v>
      </c>
      <c r="AW174" s="446"/>
      <c r="AX174" s="447"/>
      <c r="AY174" s="445">
        <f>AY41+AY66-AY150</f>
        <v>-306000</v>
      </c>
      <c r="AZ174" s="446"/>
      <c r="BA174" s="447"/>
      <c r="BB174" s="445">
        <f>BB41+BB66-BB150</f>
        <v>-306000</v>
      </c>
      <c r="BC174" s="446"/>
      <c r="BD174" s="447"/>
      <c r="BE174" s="445">
        <f>BE41+BE66-BE150</f>
        <v>-306000</v>
      </c>
      <c r="BF174" s="446"/>
      <c r="BG174" s="447"/>
      <c r="BH174" s="445">
        <f>BH41+BH66-BH150</f>
        <v>-306000</v>
      </c>
      <c r="BI174" s="446"/>
      <c r="BJ174" s="447"/>
      <c r="BK174" s="445">
        <f>BK41+BK66-BK150</f>
        <v>-306000</v>
      </c>
      <c r="BL174" s="446"/>
      <c r="BM174" s="447"/>
      <c r="BN174" s="445">
        <f>BN41+BN66-BN150</f>
        <v>-306000</v>
      </c>
      <c r="BO174" s="446"/>
      <c r="BP174" s="447"/>
      <c r="BQ174" s="445">
        <f>BQ41+BQ66-BQ150</f>
        <v>-306000</v>
      </c>
      <c r="BR174" s="446"/>
      <c r="BS174" s="447"/>
      <c r="BT174" s="445">
        <f>BT41+BT66-BT150</f>
        <v>-306000</v>
      </c>
      <c r="BU174" s="446"/>
      <c r="BV174" s="447"/>
      <c r="BW174" s="446"/>
      <c r="BX174" s="446"/>
      <c r="BY174" s="446"/>
      <c r="BZ174" s="446"/>
      <c r="CA174" s="446"/>
      <c r="CB174" s="446"/>
      <c r="CC174" s="446"/>
      <c r="CD174" s="446"/>
      <c r="CE174" s="446"/>
      <c r="CF174" s="446"/>
      <c r="CG174" s="446"/>
      <c r="CH174" s="446"/>
      <c r="CI174" s="446"/>
      <c r="CJ174" s="446"/>
      <c r="CK174" s="446"/>
      <c r="CL174" s="446"/>
      <c r="CM174" s="446"/>
      <c r="CN174" s="446"/>
      <c r="CO174" s="446"/>
      <c r="CP174" s="446"/>
      <c r="CQ174" s="446"/>
      <c r="CR174" s="446"/>
      <c r="CS174" s="446"/>
      <c r="CT174" s="446"/>
      <c r="CU174" s="446"/>
      <c r="CV174" s="446"/>
      <c r="CW174" s="446"/>
      <c r="CX174" s="446"/>
      <c r="CY174" s="446"/>
      <c r="CZ174" s="446"/>
      <c r="DA174" s="446"/>
      <c r="DB174" s="446"/>
      <c r="DC174" s="446"/>
      <c r="DD174" s="446"/>
      <c r="DE174" s="446"/>
      <c r="DF174" s="446"/>
      <c r="DG174" s="446"/>
      <c r="DH174" s="446"/>
      <c r="DI174" s="446"/>
      <c r="DJ174" s="446"/>
      <c r="DK174" s="446"/>
      <c r="DL174" s="446"/>
      <c r="DM174" s="446"/>
      <c r="DN174" s="446"/>
      <c r="DO174" s="446"/>
      <c r="DP174" s="446"/>
      <c r="DQ174" s="446"/>
      <c r="DR174" s="446"/>
      <c r="DS174" s="446"/>
      <c r="DT174" s="446"/>
      <c r="DU174" s="446"/>
      <c r="DV174" s="446"/>
      <c r="DW174" s="446"/>
      <c r="DX174" s="446"/>
      <c r="DY174" s="446"/>
      <c r="DZ174" s="446"/>
      <c r="EA174" s="446"/>
      <c r="EB174" s="446"/>
      <c r="EC174" s="446"/>
      <c r="ED174" s="446"/>
      <c r="EE174" s="446"/>
      <c r="EF174" s="446"/>
      <c r="EG174" s="446"/>
      <c r="EH174" s="446"/>
      <c r="EI174" s="446"/>
      <c r="EJ174" s="446"/>
      <c r="EK174" s="446"/>
      <c r="EL174" s="446"/>
      <c r="EM174" s="446"/>
      <c r="EN174" s="446"/>
      <c r="EO174" s="446"/>
      <c r="EP174" s="446"/>
      <c r="EQ174" s="446"/>
      <c r="ER174" s="446"/>
      <c r="ES174" s="446"/>
      <c r="ET174" s="446"/>
      <c r="EU174" s="446"/>
      <c r="EV174" s="446"/>
      <c r="EW174" s="446"/>
      <c r="EX174" s="446"/>
    </row>
    <row r="175" spans="1:154" s="439" customFormat="1" x14ac:dyDescent="0.2">
      <c r="A175" s="439" t="s">
        <v>139</v>
      </c>
      <c r="B175" s="439" t="s">
        <v>52</v>
      </c>
      <c r="C175" s="670">
        <f>C42+C67-C151</f>
        <v>60000</v>
      </c>
      <c r="D175" s="446"/>
      <c r="E175" s="685"/>
      <c r="F175" s="445">
        <f>F42+F67-F151</f>
        <v>60000</v>
      </c>
      <c r="G175" s="446"/>
      <c r="H175" s="447"/>
      <c r="I175" s="445">
        <f>I42+I67-I151</f>
        <v>60000</v>
      </c>
      <c r="J175" s="446"/>
      <c r="K175" s="447"/>
      <c r="L175" s="445">
        <f>L42+L67-L151</f>
        <v>60000</v>
      </c>
      <c r="M175" s="446"/>
      <c r="N175" s="445"/>
      <c r="O175" s="700">
        <f>O42+O67-O151</f>
        <v>60000</v>
      </c>
      <c r="P175" s="446"/>
      <c r="Q175" s="447"/>
      <c r="R175" s="445">
        <f>R42+R67-R151</f>
        <v>60000</v>
      </c>
      <c r="S175" s="446"/>
      <c r="T175" s="447"/>
      <c r="U175" s="445">
        <f>U42+U67-U151</f>
        <v>60000</v>
      </c>
      <c r="V175" s="446"/>
      <c r="W175" s="447"/>
      <c r="X175" s="445">
        <f>X42+X67-X151</f>
        <v>60000</v>
      </c>
      <c r="Y175" s="446"/>
      <c r="Z175" s="447"/>
      <c r="AA175" s="445">
        <f>AA42+AA67-AA151</f>
        <v>60000</v>
      </c>
      <c r="AB175" s="446"/>
      <c r="AC175" s="447"/>
      <c r="AD175" s="445">
        <f>AD42+AD67-AD151</f>
        <v>60000</v>
      </c>
      <c r="AE175" s="446"/>
      <c r="AF175" s="447"/>
      <c r="AG175" s="445">
        <f>AG42+AG67-AG151</f>
        <v>60000</v>
      </c>
      <c r="AH175" s="446"/>
      <c r="AI175" s="447"/>
      <c r="AJ175" s="445">
        <f>AJ42+AJ67-AJ151</f>
        <v>60000</v>
      </c>
      <c r="AK175" s="446"/>
      <c r="AL175" s="447"/>
      <c r="AM175" s="445">
        <f>AM42+AM67-AM151</f>
        <v>0</v>
      </c>
      <c r="AN175" s="446"/>
      <c r="AO175" s="447"/>
      <c r="AP175" s="445">
        <f>AP42+AP67-AP151</f>
        <v>0</v>
      </c>
      <c r="AQ175" s="446"/>
      <c r="AR175" s="447"/>
      <c r="AS175" s="445">
        <f>AS42+AS67-AS151</f>
        <v>0</v>
      </c>
      <c r="AT175" s="446"/>
      <c r="AU175" s="447"/>
      <c r="AV175" s="445">
        <f>AV42+AV67-AV151</f>
        <v>0</v>
      </c>
      <c r="AW175" s="446"/>
      <c r="AX175" s="447"/>
      <c r="AY175" s="445">
        <f>AY42+AY67-AY151</f>
        <v>0</v>
      </c>
      <c r="AZ175" s="446"/>
      <c r="BA175" s="447"/>
      <c r="BB175" s="445">
        <f>BB42+BB67-BB151</f>
        <v>0</v>
      </c>
      <c r="BC175" s="446"/>
      <c r="BD175" s="447"/>
      <c r="BE175" s="445">
        <f>BE42+BE67-BE151</f>
        <v>0</v>
      </c>
      <c r="BF175" s="446"/>
      <c r="BG175" s="447"/>
      <c r="BH175" s="445">
        <f>BH42+BH67-BH151</f>
        <v>0</v>
      </c>
      <c r="BI175" s="446"/>
      <c r="BJ175" s="447"/>
      <c r="BK175" s="445">
        <f>BK42+BK67-BK151</f>
        <v>0</v>
      </c>
      <c r="BL175" s="446"/>
      <c r="BM175" s="447"/>
      <c r="BN175" s="445">
        <f>BN42+BN67-BN151</f>
        <v>0</v>
      </c>
      <c r="BO175" s="446"/>
      <c r="BP175" s="447"/>
      <c r="BQ175" s="445">
        <f>BQ42+BQ67-BQ151</f>
        <v>0</v>
      </c>
      <c r="BR175" s="446"/>
      <c r="BS175" s="447"/>
      <c r="BT175" s="445">
        <f>BT42+BT67-BT151</f>
        <v>0</v>
      </c>
      <c r="BU175" s="446"/>
      <c r="BV175" s="447"/>
      <c r="BW175" s="446"/>
      <c r="BX175" s="446"/>
      <c r="BY175" s="446"/>
      <c r="BZ175" s="446"/>
      <c r="CA175" s="446"/>
      <c r="CB175" s="446"/>
      <c r="CC175" s="446"/>
      <c r="CD175" s="446"/>
      <c r="CE175" s="446"/>
      <c r="CF175" s="446"/>
      <c r="CG175" s="446"/>
      <c r="CH175" s="446"/>
      <c r="CI175" s="446"/>
      <c r="CJ175" s="446"/>
      <c r="CK175" s="446"/>
      <c r="CL175" s="446"/>
      <c r="CM175" s="446"/>
      <c r="CN175" s="446"/>
      <c r="CO175" s="446"/>
      <c r="CP175" s="446"/>
      <c r="CQ175" s="446"/>
      <c r="CR175" s="446"/>
      <c r="CS175" s="446"/>
      <c r="CT175" s="446"/>
      <c r="CU175" s="446"/>
      <c r="CV175" s="446"/>
      <c r="CW175" s="446"/>
      <c r="CX175" s="446"/>
      <c r="CY175" s="446"/>
      <c r="CZ175" s="446"/>
      <c r="DA175" s="446"/>
      <c r="DB175" s="446"/>
      <c r="DC175" s="446"/>
      <c r="DD175" s="446"/>
      <c r="DE175" s="446"/>
      <c r="DF175" s="446"/>
      <c r="DG175" s="446"/>
      <c r="DH175" s="446"/>
      <c r="DI175" s="446"/>
      <c r="DJ175" s="446"/>
      <c r="DK175" s="446"/>
      <c r="DL175" s="446"/>
      <c r="DM175" s="446"/>
      <c r="DN175" s="446"/>
      <c r="DO175" s="446"/>
      <c r="DP175" s="446"/>
      <c r="DQ175" s="446"/>
      <c r="DR175" s="446"/>
      <c r="DS175" s="446"/>
      <c r="DT175" s="446"/>
      <c r="DU175" s="446"/>
      <c r="DV175" s="446"/>
      <c r="DW175" s="446"/>
      <c r="DX175" s="446"/>
      <c r="DY175" s="446"/>
      <c r="DZ175" s="446"/>
      <c r="EA175" s="446"/>
      <c r="EB175" s="446"/>
      <c r="EC175" s="446"/>
      <c r="ED175" s="446"/>
      <c r="EE175" s="446"/>
      <c r="EF175" s="446"/>
      <c r="EG175" s="446"/>
      <c r="EH175" s="446"/>
      <c r="EI175" s="446"/>
      <c r="EJ175" s="446"/>
      <c r="EK175" s="446"/>
      <c r="EL175" s="446"/>
      <c r="EM175" s="446"/>
      <c r="EN175" s="446"/>
      <c r="EO175" s="446"/>
      <c r="EP175" s="446"/>
      <c r="EQ175" s="446"/>
      <c r="ER175" s="446"/>
      <c r="ES175" s="446"/>
      <c r="ET175" s="446"/>
      <c r="EU175" s="446"/>
      <c r="EV175" s="446"/>
      <c r="EW175" s="446"/>
      <c r="EX175" s="446"/>
    </row>
    <row r="176" spans="1:154" s="439" customFormat="1" x14ac:dyDescent="0.2">
      <c r="A176" s="439" t="s">
        <v>140</v>
      </c>
      <c r="B176" s="439" t="s">
        <v>52</v>
      </c>
      <c r="C176" s="670">
        <f>C43+C68-C152</f>
        <v>183600</v>
      </c>
      <c r="D176" s="446"/>
      <c r="E176" s="685"/>
      <c r="F176" s="445">
        <f>F43+F68-F152</f>
        <v>183600</v>
      </c>
      <c r="G176" s="446"/>
      <c r="H176" s="447"/>
      <c r="I176" s="445">
        <f>I43+I68-I152</f>
        <v>183600</v>
      </c>
      <c r="J176" s="446"/>
      <c r="K176" s="447"/>
      <c r="L176" s="445">
        <f>L43+L68-L152</f>
        <v>183600</v>
      </c>
      <c r="M176" s="446"/>
      <c r="N176" s="445"/>
      <c r="O176" s="700">
        <f>O43+O68-O152</f>
        <v>183600</v>
      </c>
      <c r="P176" s="446"/>
      <c r="Q176" s="447"/>
      <c r="R176" s="445">
        <f>R43+R68-R152</f>
        <v>183600</v>
      </c>
      <c r="S176" s="446"/>
      <c r="T176" s="447"/>
      <c r="U176" s="445">
        <f>U43+U68-U152</f>
        <v>183600</v>
      </c>
      <c r="V176" s="446"/>
      <c r="W176" s="447"/>
      <c r="X176" s="445">
        <f>X43+X68-X152</f>
        <v>183600</v>
      </c>
      <c r="Y176" s="446"/>
      <c r="Z176" s="447"/>
      <c r="AA176" s="445">
        <f>AA43+AA68-AA152</f>
        <v>183600</v>
      </c>
      <c r="AB176" s="446"/>
      <c r="AC176" s="447"/>
      <c r="AD176" s="445">
        <f>AD43+AD68-AD152</f>
        <v>183600</v>
      </c>
      <c r="AE176" s="446"/>
      <c r="AF176" s="447"/>
      <c r="AG176" s="445">
        <f>AG43+AG68-AG152</f>
        <v>183600</v>
      </c>
      <c r="AH176" s="446"/>
      <c r="AI176" s="447"/>
      <c r="AJ176" s="445">
        <f>AJ43+AJ68-AJ152</f>
        <v>183600</v>
      </c>
      <c r="AK176" s="446"/>
      <c r="AL176" s="447"/>
      <c r="AM176" s="445">
        <f>AM43+AM68-AM152</f>
        <v>-20000</v>
      </c>
      <c r="AN176" s="446"/>
      <c r="AO176" s="447"/>
      <c r="AP176" s="445">
        <f>AP43+AP68-AP152</f>
        <v>-20000</v>
      </c>
      <c r="AQ176" s="446"/>
      <c r="AR176" s="447"/>
      <c r="AS176" s="445">
        <f>AS43+AS68-AS152</f>
        <v>-20000</v>
      </c>
      <c r="AT176" s="446"/>
      <c r="AU176" s="447"/>
      <c r="AV176" s="445">
        <f>AV43+AV68-AV152</f>
        <v>-20000</v>
      </c>
      <c r="AW176" s="446"/>
      <c r="AX176" s="447"/>
      <c r="AY176" s="445">
        <f>AY43+AY68-AY152</f>
        <v>-20000</v>
      </c>
      <c r="AZ176" s="446"/>
      <c r="BA176" s="447"/>
      <c r="BB176" s="445">
        <f>BB43+BB68-BB152</f>
        <v>-20000</v>
      </c>
      <c r="BC176" s="446"/>
      <c r="BD176" s="447"/>
      <c r="BE176" s="445">
        <f>BE43+BE68-BE152</f>
        <v>-20000</v>
      </c>
      <c r="BF176" s="446"/>
      <c r="BG176" s="447"/>
      <c r="BH176" s="445">
        <f>BH43+BH68-BH152</f>
        <v>-20000</v>
      </c>
      <c r="BI176" s="446"/>
      <c r="BJ176" s="447"/>
      <c r="BK176" s="445">
        <f>BK43+BK68-BK152</f>
        <v>-20000</v>
      </c>
      <c r="BL176" s="446"/>
      <c r="BM176" s="447"/>
      <c r="BN176" s="445">
        <f>BN43+BN68-BN152</f>
        <v>-20000</v>
      </c>
      <c r="BO176" s="446"/>
      <c r="BP176" s="447"/>
      <c r="BQ176" s="445">
        <f>BQ43+BQ68-BQ152</f>
        <v>-20000</v>
      </c>
      <c r="BR176" s="446"/>
      <c r="BS176" s="447"/>
      <c r="BT176" s="445">
        <f>BT43+BT68-BT152</f>
        <v>-20000</v>
      </c>
      <c r="BU176" s="446"/>
      <c r="BV176" s="447"/>
      <c r="BW176" s="446"/>
      <c r="BX176" s="446"/>
      <c r="BY176" s="446"/>
      <c r="BZ176" s="446"/>
      <c r="CA176" s="446"/>
      <c r="CB176" s="446"/>
      <c r="CC176" s="446"/>
      <c r="CD176" s="446"/>
      <c r="CE176" s="446"/>
      <c r="CF176" s="446"/>
      <c r="CG176" s="446"/>
      <c r="CH176" s="446"/>
      <c r="CI176" s="446"/>
      <c r="CJ176" s="446"/>
      <c r="CK176" s="446"/>
      <c r="CL176" s="446"/>
      <c r="CM176" s="446"/>
      <c r="CN176" s="446"/>
      <c r="CO176" s="446"/>
      <c r="CP176" s="446"/>
      <c r="CQ176" s="446"/>
      <c r="CR176" s="446"/>
      <c r="CS176" s="446"/>
      <c r="CT176" s="446"/>
      <c r="CU176" s="446"/>
      <c r="CV176" s="446"/>
      <c r="CW176" s="446"/>
      <c r="CX176" s="446"/>
      <c r="CY176" s="446"/>
      <c r="CZ176" s="446"/>
      <c r="DA176" s="446"/>
      <c r="DB176" s="446"/>
      <c r="DC176" s="446"/>
      <c r="DD176" s="446"/>
      <c r="DE176" s="446"/>
      <c r="DF176" s="446"/>
      <c r="DG176" s="446"/>
      <c r="DH176" s="446"/>
      <c r="DI176" s="446"/>
      <c r="DJ176" s="446"/>
      <c r="DK176" s="446"/>
      <c r="DL176" s="446"/>
      <c r="DM176" s="446"/>
      <c r="DN176" s="446"/>
      <c r="DO176" s="446"/>
      <c r="DP176" s="446"/>
      <c r="DQ176" s="446"/>
      <c r="DR176" s="446"/>
      <c r="DS176" s="446"/>
      <c r="DT176" s="446"/>
      <c r="DU176" s="446"/>
      <c r="DV176" s="446"/>
      <c r="DW176" s="446"/>
      <c r="DX176" s="446"/>
      <c r="DY176" s="446"/>
      <c r="DZ176" s="446"/>
      <c r="EA176" s="446"/>
      <c r="EB176" s="446"/>
      <c r="EC176" s="446"/>
      <c r="ED176" s="446"/>
      <c r="EE176" s="446"/>
      <c r="EF176" s="446"/>
      <c r="EG176" s="446"/>
      <c r="EH176" s="446"/>
      <c r="EI176" s="446"/>
      <c r="EJ176" s="446"/>
      <c r="EK176" s="446"/>
      <c r="EL176" s="446"/>
      <c r="EM176" s="446"/>
      <c r="EN176" s="446"/>
      <c r="EO176" s="446"/>
      <c r="EP176" s="446"/>
      <c r="EQ176" s="446"/>
      <c r="ER176" s="446"/>
      <c r="ES176" s="446"/>
      <c r="ET176" s="446"/>
      <c r="EU176" s="446"/>
      <c r="EV176" s="446"/>
      <c r="EW176" s="446"/>
      <c r="EX176" s="446"/>
    </row>
    <row r="177" spans="1:154" s="439" customFormat="1" x14ac:dyDescent="0.2">
      <c r="A177" s="439" t="s">
        <v>141</v>
      </c>
      <c r="B177" s="439" t="s">
        <v>52</v>
      </c>
      <c r="C177" s="670">
        <f>C44+C69-C153</f>
        <v>0</v>
      </c>
      <c r="D177" s="446"/>
      <c r="E177" s="685"/>
      <c r="F177" s="445">
        <f>F44+F69-F153</f>
        <v>0</v>
      </c>
      <c r="G177" s="446"/>
      <c r="H177" s="447"/>
      <c r="I177" s="445">
        <f>I44+I69-I153</f>
        <v>0</v>
      </c>
      <c r="J177" s="446"/>
      <c r="K177" s="447"/>
      <c r="L177" s="445">
        <f>L44+L69-L153</f>
        <v>0</v>
      </c>
      <c r="M177" s="446"/>
      <c r="N177" s="445"/>
      <c r="O177" s="700">
        <f>O44+O69-O153</f>
        <v>0</v>
      </c>
      <c r="P177" s="446"/>
      <c r="Q177" s="447"/>
      <c r="R177" s="445">
        <f>R44+R69-R153</f>
        <v>0</v>
      </c>
      <c r="S177" s="446"/>
      <c r="T177" s="447"/>
      <c r="U177" s="445">
        <f>U44+U69-U153</f>
        <v>0</v>
      </c>
      <c r="V177" s="446"/>
      <c r="W177" s="447"/>
      <c r="X177" s="445">
        <f>X44+X69-X153</f>
        <v>0</v>
      </c>
      <c r="Y177" s="446"/>
      <c r="Z177" s="447"/>
      <c r="AA177" s="445">
        <f>AA44+AA69-AA153</f>
        <v>0</v>
      </c>
      <c r="AB177" s="446"/>
      <c r="AC177" s="447"/>
      <c r="AD177" s="445">
        <f>AD44+AD69-AD153</f>
        <v>0</v>
      </c>
      <c r="AE177" s="446"/>
      <c r="AF177" s="447"/>
      <c r="AG177" s="445">
        <f>AG44+AG69-AG153</f>
        <v>0</v>
      </c>
      <c r="AH177" s="446"/>
      <c r="AI177" s="447"/>
      <c r="AJ177" s="445">
        <f>AJ44+AJ69-AJ153</f>
        <v>0</v>
      </c>
      <c r="AK177" s="446"/>
      <c r="AL177" s="447"/>
      <c r="AM177" s="445">
        <f>AM44+AM69-AM153</f>
        <v>-245000</v>
      </c>
      <c r="AN177" s="446"/>
      <c r="AO177" s="447"/>
      <c r="AP177" s="445">
        <f>AP44+AP69-AP153</f>
        <v>-245000</v>
      </c>
      <c r="AQ177" s="446"/>
      <c r="AR177" s="447"/>
      <c r="AS177" s="445">
        <f>AS44+AS69-AS153</f>
        <v>-245000</v>
      </c>
      <c r="AT177" s="446"/>
      <c r="AU177" s="447"/>
      <c r="AV177" s="445">
        <f>AV44+AV69-AV153</f>
        <v>-245000</v>
      </c>
      <c r="AW177" s="446"/>
      <c r="AX177" s="447"/>
      <c r="AY177" s="445">
        <f>AY44+AY69-AY153</f>
        <v>-245000</v>
      </c>
      <c r="AZ177" s="446"/>
      <c r="BA177" s="447"/>
      <c r="BB177" s="445">
        <f>BB44+BB69-BB153</f>
        <v>-245000</v>
      </c>
      <c r="BC177" s="446"/>
      <c r="BD177" s="447"/>
      <c r="BE177" s="445">
        <f>BE44+BE69-BE153</f>
        <v>-245000</v>
      </c>
      <c r="BF177" s="446"/>
      <c r="BG177" s="447"/>
      <c r="BH177" s="445">
        <f>BH44+BH69-BH153</f>
        <v>-245000</v>
      </c>
      <c r="BI177" s="446"/>
      <c r="BJ177" s="447"/>
      <c r="BK177" s="445">
        <f>BK44+BK69-BK153</f>
        <v>-245000</v>
      </c>
      <c r="BL177" s="446"/>
      <c r="BM177" s="447"/>
      <c r="BN177" s="445">
        <f>BN44+BN69-BN153</f>
        <v>-245000</v>
      </c>
      <c r="BO177" s="446"/>
      <c r="BP177" s="447"/>
      <c r="BQ177" s="445">
        <f>BQ44+BQ69-BQ153</f>
        <v>-245000</v>
      </c>
      <c r="BR177" s="446"/>
      <c r="BS177" s="447"/>
      <c r="BT177" s="445">
        <f>BT44+BT69-BT153</f>
        <v>-245000</v>
      </c>
      <c r="BU177" s="446"/>
      <c r="BV177" s="447"/>
      <c r="BW177" s="446"/>
      <c r="BX177" s="446"/>
      <c r="BY177" s="446"/>
      <c r="BZ177" s="446"/>
      <c r="CA177" s="446"/>
      <c r="CB177" s="446"/>
      <c r="CC177" s="446"/>
      <c r="CD177" s="446"/>
      <c r="CE177" s="446"/>
      <c r="CF177" s="446"/>
      <c r="CG177" s="446"/>
      <c r="CH177" s="446"/>
      <c r="CI177" s="446"/>
      <c r="CJ177" s="446"/>
      <c r="CK177" s="446"/>
      <c r="CL177" s="446"/>
      <c r="CM177" s="446"/>
      <c r="CN177" s="446"/>
      <c r="CO177" s="446"/>
      <c r="CP177" s="446"/>
      <c r="CQ177" s="446"/>
      <c r="CR177" s="446"/>
      <c r="CS177" s="446"/>
      <c r="CT177" s="446"/>
      <c r="CU177" s="446"/>
      <c r="CV177" s="446"/>
      <c r="CW177" s="446"/>
      <c r="CX177" s="446"/>
      <c r="CY177" s="446"/>
      <c r="CZ177" s="446"/>
      <c r="DA177" s="446"/>
      <c r="DB177" s="446"/>
      <c r="DC177" s="446"/>
      <c r="DD177" s="446"/>
      <c r="DE177" s="446"/>
      <c r="DF177" s="446"/>
      <c r="DG177" s="446"/>
      <c r="DH177" s="446"/>
      <c r="DI177" s="446"/>
      <c r="DJ177" s="446"/>
      <c r="DK177" s="446"/>
      <c r="DL177" s="446"/>
      <c r="DM177" s="446"/>
      <c r="DN177" s="446"/>
      <c r="DO177" s="446"/>
      <c r="DP177" s="446"/>
      <c r="DQ177" s="446"/>
      <c r="DR177" s="446"/>
      <c r="DS177" s="446"/>
      <c r="DT177" s="446"/>
      <c r="DU177" s="446"/>
      <c r="DV177" s="446"/>
      <c r="DW177" s="446"/>
      <c r="DX177" s="446"/>
      <c r="DY177" s="446"/>
      <c r="DZ177" s="446"/>
      <c r="EA177" s="446"/>
      <c r="EB177" s="446"/>
      <c r="EC177" s="446"/>
      <c r="ED177" s="446"/>
      <c r="EE177" s="446"/>
      <c r="EF177" s="446"/>
      <c r="EG177" s="446"/>
      <c r="EH177" s="446"/>
      <c r="EI177" s="446"/>
      <c r="EJ177" s="446"/>
      <c r="EK177" s="446"/>
      <c r="EL177" s="446"/>
      <c r="EM177" s="446"/>
      <c r="EN177" s="446"/>
      <c r="EO177" s="446"/>
      <c r="EP177" s="446"/>
      <c r="EQ177" s="446"/>
      <c r="ER177" s="446"/>
      <c r="ES177" s="446"/>
      <c r="ET177" s="446"/>
      <c r="EU177" s="446"/>
      <c r="EV177" s="446"/>
      <c r="EW177" s="446"/>
      <c r="EX177" s="446"/>
    </row>
    <row r="178" spans="1:154" s="439" customFormat="1" x14ac:dyDescent="0.2">
      <c r="A178" s="439" t="s">
        <v>228</v>
      </c>
      <c r="B178" s="439" t="s">
        <v>52</v>
      </c>
      <c r="C178" s="670">
        <f>C45+C70-C154</f>
        <v>0</v>
      </c>
      <c r="D178" s="446"/>
      <c r="E178" s="685"/>
      <c r="F178" s="445">
        <f>F45+F70-F154</f>
        <v>0</v>
      </c>
      <c r="G178" s="446"/>
      <c r="H178" s="447"/>
      <c r="I178" s="445">
        <f>I45+I70-I154</f>
        <v>0</v>
      </c>
      <c r="J178" s="446"/>
      <c r="K178" s="447"/>
      <c r="L178" s="445">
        <f>L45+L70-L154</f>
        <v>0</v>
      </c>
      <c r="M178" s="446"/>
      <c r="N178" s="445"/>
      <c r="O178" s="700">
        <f>O45+O70-O154</f>
        <v>0</v>
      </c>
      <c r="P178" s="446"/>
      <c r="Q178" s="447"/>
      <c r="R178" s="445">
        <f>R45+R70-R154</f>
        <v>1300</v>
      </c>
      <c r="S178" s="446"/>
      <c r="T178" s="447"/>
      <c r="U178" s="445">
        <f>U45+U70-U154</f>
        <v>1300</v>
      </c>
      <c r="V178" s="446"/>
      <c r="W178" s="447"/>
      <c r="X178" s="445">
        <f>X45+X70-X154</f>
        <v>1300</v>
      </c>
      <c r="Y178" s="446"/>
      <c r="Z178" s="447"/>
      <c r="AA178" s="445">
        <f>AA45+AA70-AA154</f>
        <v>1300</v>
      </c>
      <c r="AB178" s="446"/>
      <c r="AC178" s="447"/>
      <c r="AD178" s="445">
        <f>AD45+AD70-AD154</f>
        <v>1300</v>
      </c>
      <c r="AE178" s="446"/>
      <c r="AF178" s="447"/>
      <c r="AG178" s="445">
        <f>AG45+AG70-AG154</f>
        <v>1300</v>
      </c>
      <c r="AH178" s="446"/>
      <c r="AI178" s="447"/>
      <c r="AJ178" s="445">
        <f>AJ45+AJ70-AJ154</f>
        <v>1300</v>
      </c>
      <c r="AK178" s="446"/>
      <c r="AL178" s="447"/>
      <c r="AM178" s="445">
        <f>AM45+AM70-AM154</f>
        <v>-1300</v>
      </c>
      <c r="AN178" s="446"/>
      <c r="AO178" s="447"/>
      <c r="AP178" s="445">
        <f>AP45+AP70-AP154</f>
        <v>-1300</v>
      </c>
      <c r="AQ178" s="446"/>
      <c r="AR178" s="447"/>
      <c r="AS178" s="445">
        <f>AS45+AS70-AS154</f>
        <v>-1300</v>
      </c>
      <c r="AT178" s="446"/>
      <c r="AU178" s="447"/>
      <c r="AV178" s="445">
        <f>AV45+AV70-AV154</f>
        <v>-1300</v>
      </c>
      <c r="AW178" s="446"/>
      <c r="AX178" s="447"/>
      <c r="AY178" s="445">
        <f>AY45+AY70-AY154</f>
        <v>-1300</v>
      </c>
      <c r="AZ178" s="446"/>
      <c r="BA178" s="447"/>
      <c r="BB178" s="445">
        <f>BB45+BB70-BB154</f>
        <v>-1300</v>
      </c>
      <c r="BC178" s="446"/>
      <c r="BD178" s="447"/>
      <c r="BE178" s="445">
        <f>BE45+BE70-BE154</f>
        <v>-1300</v>
      </c>
      <c r="BF178" s="446"/>
      <c r="BG178" s="447"/>
      <c r="BH178" s="445">
        <f>BH45+BH70-BH154</f>
        <v>-1300</v>
      </c>
      <c r="BI178" s="446"/>
      <c r="BJ178" s="447"/>
      <c r="BK178" s="445">
        <f>BK45+BK70-BK154</f>
        <v>-1300</v>
      </c>
      <c r="BL178" s="446"/>
      <c r="BM178" s="447"/>
      <c r="BN178" s="445">
        <f>BN45+BN70-BN154</f>
        <v>-1300</v>
      </c>
      <c r="BO178" s="446"/>
      <c r="BP178" s="447"/>
      <c r="BQ178" s="445">
        <f>BQ45+BQ70-BQ154</f>
        <v>-1300</v>
      </c>
      <c r="BR178" s="446"/>
      <c r="BS178" s="447"/>
      <c r="BT178" s="445">
        <f>BT45+BT70-BT154</f>
        <v>-1300</v>
      </c>
      <c r="BU178" s="446"/>
      <c r="BV178" s="447"/>
      <c r="BW178" s="446"/>
      <c r="BX178" s="446"/>
      <c r="BY178" s="446"/>
      <c r="BZ178" s="446"/>
      <c r="CA178" s="446"/>
      <c r="CB178" s="446"/>
      <c r="CC178" s="446"/>
      <c r="CD178" s="446"/>
      <c r="CE178" s="446"/>
      <c r="CF178" s="446"/>
      <c r="CG178" s="446"/>
      <c r="CH178" s="446"/>
      <c r="CI178" s="446"/>
      <c r="CJ178" s="446"/>
      <c r="CK178" s="446"/>
      <c r="CL178" s="446"/>
      <c r="CM178" s="446"/>
      <c r="CN178" s="446"/>
      <c r="CO178" s="446"/>
      <c r="CP178" s="446"/>
      <c r="CQ178" s="446"/>
      <c r="CR178" s="446"/>
      <c r="CS178" s="446"/>
      <c r="CT178" s="446"/>
      <c r="CU178" s="446"/>
      <c r="CV178" s="446"/>
      <c r="CW178" s="446"/>
      <c r="CX178" s="446"/>
      <c r="CY178" s="446"/>
      <c r="CZ178" s="446"/>
      <c r="DA178" s="446"/>
      <c r="DB178" s="446"/>
      <c r="DC178" s="446"/>
      <c r="DD178" s="446"/>
      <c r="DE178" s="446"/>
      <c r="DF178" s="446"/>
      <c r="DG178" s="446"/>
      <c r="DH178" s="446"/>
      <c r="DI178" s="446"/>
      <c r="DJ178" s="446"/>
      <c r="DK178" s="446"/>
      <c r="DL178" s="446"/>
      <c r="DM178" s="446"/>
      <c r="DN178" s="446"/>
      <c r="DO178" s="446"/>
      <c r="DP178" s="446"/>
      <c r="DQ178" s="446"/>
      <c r="DR178" s="446"/>
      <c r="DS178" s="446"/>
      <c r="DT178" s="446"/>
      <c r="DU178" s="446"/>
      <c r="DV178" s="446"/>
      <c r="DW178" s="446"/>
      <c r="DX178" s="446"/>
      <c r="DY178" s="446"/>
      <c r="DZ178" s="446"/>
      <c r="EA178" s="446"/>
      <c r="EB178" s="446"/>
      <c r="EC178" s="446"/>
      <c r="ED178" s="446"/>
      <c r="EE178" s="446"/>
      <c r="EF178" s="446"/>
      <c r="EG178" s="446"/>
      <c r="EH178" s="446"/>
      <c r="EI178" s="446"/>
      <c r="EJ178" s="446"/>
      <c r="EK178" s="446"/>
      <c r="EL178" s="446"/>
      <c r="EM178" s="446"/>
      <c r="EN178" s="446"/>
      <c r="EO178" s="446"/>
      <c r="EP178" s="446"/>
      <c r="EQ178" s="446"/>
      <c r="ER178" s="446"/>
      <c r="ES178" s="446"/>
      <c r="ET178" s="446"/>
      <c r="EU178" s="446"/>
      <c r="EV178" s="446"/>
      <c r="EW178" s="446"/>
      <c r="EX178" s="446"/>
    </row>
    <row r="179" spans="1:154" s="373" customFormat="1" x14ac:dyDescent="0.2">
      <c r="A179" s="373" t="s">
        <v>143</v>
      </c>
      <c r="C179" s="671">
        <f>SUM(C174:C178)</f>
        <v>460100</v>
      </c>
      <c r="D179" s="451"/>
      <c r="E179" s="686"/>
      <c r="F179" s="450">
        <f>SUM(F174:F178)</f>
        <v>480100</v>
      </c>
      <c r="G179" s="451"/>
      <c r="H179" s="452"/>
      <c r="I179" s="450">
        <f>SUM(I174:I178)</f>
        <v>480100</v>
      </c>
      <c r="J179" s="451"/>
      <c r="K179" s="452"/>
      <c r="L179" s="450">
        <f>SUM(L174:L178)</f>
        <v>466100</v>
      </c>
      <c r="M179" s="451"/>
      <c r="N179" s="450"/>
      <c r="O179" s="701">
        <f>SUM(O174:O178)</f>
        <v>466100</v>
      </c>
      <c r="P179" s="451"/>
      <c r="Q179" s="452"/>
      <c r="R179" s="450">
        <f>SUM(R174:R178)</f>
        <v>547400</v>
      </c>
      <c r="S179" s="451"/>
      <c r="T179" s="452"/>
      <c r="U179" s="450">
        <f>SUM(U174:U178)</f>
        <v>587400</v>
      </c>
      <c r="V179" s="451"/>
      <c r="W179" s="452"/>
      <c r="X179" s="450">
        <f>SUM(X174:X178)</f>
        <v>587400</v>
      </c>
      <c r="Y179" s="451"/>
      <c r="Z179" s="452"/>
      <c r="AA179" s="450">
        <f>SUM(AA174:AA178)</f>
        <v>587400</v>
      </c>
      <c r="AB179" s="451"/>
      <c r="AC179" s="452"/>
      <c r="AD179" s="450">
        <f>SUM(AD174:AD178)</f>
        <v>587400</v>
      </c>
      <c r="AE179" s="451"/>
      <c r="AF179" s="452"/>
      <c r="AG179" s="450">
        <f>SUM(AG174:AG178)</f>
        <v>579900</v>
      </c>
      <c r="AH179" s="451"/>
      <c r="AI179" s="452"/>
      <c r="AJ179" s="450">
        <f>SUM(AJ174:AJ178)</f>
        <v>579900</v>
      </c>
      <c r="AK179" s="451"/>
      <c r="AL179" s="452"/>
      <c r="AM179" s="450">
        <f>SUM(AM174:AM178)</f>
        <v>-580300</v>
      </c>
      <c r="AN179" s="451"/>
      <c r="AO179" s="452"/>
      <c r="AP179" s="450">
        <f>SUM(AP174:AP178)</f>
        <v>-580300</v>
      </c>
      <c r="AQ179" s="451"/>
      <c r="AR179" s="452"/>
      <c r="AS179" s="450">
        <f>SUM(AS174:AS178)</f>
        <v>-580300</v>
      </c>
      <c r="AT179" s="451"/>
      <c r="AU179" s="452"/>
      <c r="AV179" s="450">
        <f>SUM(AV174:AV178)</f>
        <v>-572300</v>
      </c>
      <c r="AW179" s="451"/>
      <c r="AX179" s="452"/>
      <c r="AY179" s="450">
        <f>SUM(AY174:AY178)</f>
        <v>-572300</v>
      </c>
      <c r="AZ179" s="451"/>
      <c r="BA179" s="452"/>
      <c r="BB179" s="450">
        <f>SUM(BB174:BB178)</f>
        <v>-572300</v>
      </c>
      <c r="BC179" s="451"/>
      <c r="BD179" s="452"/>
      <c r="BE179" s="450">
        <f>SUM(BE174:BE178)</f>
        <v>-572300</v>
      </c>
      <c r="BF179" s="451"/>
      <c r="BG179" s="452"/>
      <c r="BH179" s="450">
        <f>SUM(BH174:BH178)</f>
        <v>-572300</v>
      </c>
      <c r="BI179" s="451"/>
      <c r="BJ179" s="452"/>
      <c r="BK179" s="450">
        <f>SUM(BK174:BK178)</f>
        <v>-572300</v>
      </c>
      <c r="BL179" s="451"/>
      <c r="BM179" s="452"/>
      <c r="BN179" s="450">
        <f>SUM(BN174:BN178)</f>
        <v>-572300</v>
      </c>
      <c r="BO179" s="451"/>
      <c r="BP179" s="452"/>
      <c r="BQ179" s="450">
        <f>SUM(BQ174:BQ178)</f>
        <v>-572300</v>
      </c>
      <c r="BR179" s="451"/>
      <c r="BS179" s="452"/>
      <c r="BT179" s="450">
        <f>SUM(BT174:BT178)</f>
        <v>-572300</v>
      </c>
      <c r="BU179" s="451"/>
      <c r="BV179" s="452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  <c r="CO179" s="451"/>
      <c r="CP179" s="451"/>
      <c r="CQ179" s="451"/>
      <c r="CR179" s="451"/>
      <c r="CS179" s="451"/>
      <c r="CT179" s="451"/>
      <c r="CU179" s="451"/>
      <c r="CV179" s="451"/>
      <c r="CW179" s="451"/>
      <c r="CX179" s="451"/>
      <c r="CY179" s="451"/>
      <c r="CZ179" s="451"/>
      <c r="DA179" s="451"/>
      <c r="DB179" s="451"/>
      <c r="DC179" s="451"/>
      <c r="DD179" s="451"/>
      <c r="DE179" s="451"/>
      <c r="DF179" s="451"/>
      <c r="DG179" s="451"/>
      <c r="DH179" s="451"/>
      <c r="DI179" s="451"/>
      <c r="DJ179" s="451"/>
      <c r="DK179" s="451"/>
      <c r="DL179" s="451"/>
      <c r="DM179" s="451"/>
      <c r="DN179" s="451"/>
      <c r="DO179" s="451"/>
      <c r="DP179" s="451"/>
      <c r="DQ179" s="451"/>
      <c r="DR179" s="451"/>
      <c r="DS179" s="451"/>
      <c r="DT179" s="451"/>
      <c r="DU179" s="451"/>
      <c r="DV179" s="451"/>
      <c r="DW179" s="451"/>
      <c r="DX179" s="451"/>
      <c r="DY179" s="451"/>
      <c r="DZ179" s="451"/>
      <c r="EA179" s="451"/>
      <c r="EB179" s="451"/>
      <c r="EC179" s="451"/>
      <c r="ED179" s="451"/>
      <c r="EE179" s="451"/>
      <c r="EF179" s="451"/>
      <c r="EG179" s="451"/>
      <c r="EH179" s="451"/>
      <c r="EI179" s="451"/>
      <c r="EJ179" s="451"/>
      <c r="EK179" s="451"/>
      <c r="EL179" s="451"/>
      <c r="EM179" s="451"/>
      <c r="EN179" s="451"/>
      <c r="EO179" s="451"/>
      <c r="EP179" s="451"/>
      <c r="EQ179" s="451"/>
      <c r="ER179" s="451"/>
      <c r="ES179" s="451"/>
      <c r="ET179" s="451"/>
      <c r="EU179" s="451"/>
      <c r="EV179" s="451"/>
      <c r="EW179" s="451"/>
      <c r="EX179" s="451"/>
    </row>
    <row r="182" spans="1:154" s="61" customFormat="1" x14ac:dyDescent="0.2">
      <c r="C182" s="668"/>
      <c r="D182" s="375"/>
      <c r="E182" s="679"/>
      <c r="F182" s="375"/>
      <c r="G182" s="375"/>
      <c r="H182" s="376"/>
      <c r="I182" s="375"/>
      <c r="J182" s="375"/>
      <c r="K182" s="376"/>
      <c r="L182" s="375"/>
      <c r="M182" s="375"/>
      <c r="N182" s="374"/>
      <c r="O182" s="448"/>
      <c r="P182" s="398"/>
      <c r="Q182" s="379"/>
      <c r="R182" s="378"/>
      <c r="S182" s="378"/>
      <c r="T182" s="379"/>
      <c r="U182" s="378"/>
      <c r="V182" s="378"/>
      <c r="W182" s="379"/>
      <c r="X182" s="378"/>
      <c r="Y182" s="378"/>
      <c r="Z182" s="379"/>
      <c r="AA182" s="378"/>
      <c r="AB182" s="395"/>
      <c r="AC182" s="404"/>
      <c r="AF182" s="404"/>
      <c r="AI182" s="404"/>
      <c r="AL182" s="404"/>
      <c r="AO182" s="404"/>
      <c r="AR182" s="404"/>
      <c r="AU182" s="404"/>
      <c r="AX182" s="404"/>
      <c r="BA182" s="404"/>
      <c r="BD182" s="404"/>
      <c r="BG182" s="404"/>
      <c r="BJ182" s="404"/>
      <c r="BM182" s="404"/>
      <c r="BP182" s="404"/>
      <c r="BS182" s="404"/>
      <c r="BV182" s="404"/>
    </row>
    <row r="183" spans="1:154" s="389" customFormat="1" x14ac:dyDescent="0.2">
      <c r="A183" s="406" t="s">
        <v>454</v>
      </c>
      <c r="B183" s="406" t="s">
        <v>455</v>
      </c>
      <c r="C183" s="669"/>
      <c r="D183" s="384"/>
      <c r="E183" s="681"/>
      <c r="F183" s="384"/>
      <c r="G183" s="384"/>
      <c r="H183" s="385"/>
      <c r="I183" s="384"/>
      <c r="J183" s="384"/>
      <c r="K183" s="385"/>
      <c r="L183" s="384"/>
      <c r="M183" s="384"/>
      <c r="N183" s="383"/>
      <c r="O183" s="697"/>
      <c r="P183" s="399"/>
      <c r="Q183" s="388"/>
      <c r="R183" s="387"/>
      <c r="S183" s="387"/>
      <c r="T183" s="388"/>
      <c r="U183" s="387"/>
      <c r="V183" s="387"/>
      <c r="W183" s="388"/>
      <c r="X183" s="387"/>
      <c r="Y183" s="387"/>
      <c r="Z183" s="388"/>
      <c r="AA183" s="387"/>
      <c r="AB183" s="396"/>
      <c r="AC183" s="405"/>
      <c r="AF183" s="405"/>
      <c r="AI183" s="405"/>
      <c r="AL183" s="405"/>
      <c r="AO183" s="405"/>
      <c r="AR183" s="405"/>
      <c r="AU183" s="405"/>
      <c r="AX183" s="405"/>
      <c r="BA183" s="405"/>
      <c r="BD183" s="405"/>
      <c r="BG183" s="405"/>
      <c r="BJ183" s="405"/>
      <c r="BM183" s="405"/>
      <c r="BP183" s="405"/>
      <c r="BS183" s="405"/>
      <c r="BV183" s="405"/>
    </row>
    <row r="184" spans="1:154" s="389" customFormat="1" x14ac:dyDescent="0.2">
      <c r="A184" s="381" t="s">
        <v>456</v>
      </c>
      <c r="B184" s="382"/>
      <c r="C184" s="669"/>
      <c r="D184" s="384"/>
      <c r="E184" s="681"/>
      <c r="F184" s="384"/>
      <c r="G184" s="384"/>
      <c r="H184" s="385"/>
      <c r="I184" s="384"/>
      <c r="J184" s="384"/>
      <c r="K184" s="385"/>
      <c r="L184" s="384"/>
      <c r="M184" s="384"/>
      <c r="N184" s="383"/>
      <c r="O184" s="697"/>
      <c r="P184" s="399"/>
      <c r="Q184" s="388"/>
      <c r="R184" s="387"/>
      <c r="S184" s="387"/>
      <c r="T184" s="388"/>
      <c r="U184" s="387"/>
      <c r="V184" s="387"/>
      <c r="W184" s="388"/>
      <c r="X184" s="387"/>
      <c r="Y184" s="387"/>
      <c r="Z184" s="388"/>
      <c r="AA184" s="387"/>
      <c r="AB184" s="396"/>
      <c r="AC184" s="405"/>
      <c r="AF184" s="405"/>
      <c r="AI184" s="405"/>
      <c r="AL184" s="405"/>
      <c r="AO184" s="405"/>
      <c r="AR184" s="405"/>
      <c r="AU184" s="405"/>
      <c r="AX184" s="405"/>
      <c r="BA184" s="405"/>
      <c r="BD184" s="405"/>
      <c r="BG184" s="405"/>
      <c r="BJ184" s="405"/>
      <c r="BM184" s="405"/>
      <c r="BP184" s="405"/>
      <c r="BS184" s="405"/>
      <c r="BV184" s="405"/>
    </row>
    <row r="185" spans="1:154" s="439" customFormat="1" x14ac:dyDescent="0.2">
      <c r="A185" s="439" t="s">
        <v>131</v>
      </c>
      <c r="B185" s="439" t="s">
        <v>52</v>
      </c>
      <c r="C185" s="445">
        <f>IF(C112&gt;0,IF(C161&gt;C137,((C161*C$76)-C112),C161*C$76),C161*C$76)</f>
        <v>114494.16</v>
      </c>
      <c r="D185" s="436">
        <f>D88</f>
        <v>9.1999999999999998E-3</v>
      </c>
      <c r="E185" s="679">
        <f>C185*D185*E$8</f>
        <v>32653.734432000001</v>
      </c>
      <c r="F185" s="445">
        <f>IF(F112&gt;0,IF(F161&gt;F137,((F161*F$76)-F112),F161*F$76),F161*F$76)</f>
        <v>114494.16</v>
      </c>
      <c r="G185" s="436">
        <f>G88</f>
        <v>9.1999999999999998E-3</v>
      </c>
      <c r="H185" s="376">
        <f>F185*G185*H$8</f>
        <v>29493.695616000001</v>
      </c>
      <c r="I185" s="445">
        <f>IF(I112&gt;0,IF(I161&gt;I137,((I161*I$76)-I112),I161*I$76),I161*I$76)</f>
        <v>94694.16</v>
      </c>
      <c r="J185" s="436">
        <f>J88</f>
        <v>9.1999999999999998E-3</v>
      </c>
      <c r="K185" s="376">
        <f>I185*J185*K$8</f>
        <v>27006.774432000002</v>
      </c>
      <c r="L185" s="445">
        <f>IF(L112&gt;0,IF(L161&gt;L137,((L161*L$76)-L112),L161*L$76),L161*L$76)</f>
        <v>120519.84000000001</v>
      </c>
      <c r="M185" s="436">
        <f>M88</f>
        <v>9.1999999999999998E-3</v>
      </c>
      <c r="N185" s="374">
        <f>L185*M185*N$8</f>
        <v>33263.475840000006</v>
      </c>
      <c r="O185" s="700">
        <f>IF(O112&gt;0,IF(O161&gt;O137,((O161*O$76)-O112),O161*O$76),O161*O$76)</f>
        <v>115041.38999999998</v>
      </c>
      <c r="P185" s="436">
        <f>P88</f>
        <v>9.1999999999999998E-3</v>
      </c>
      <c r="Q185" s="376">
        <f>O185*P185*Q$8</f>
        <v>32809.804427999996</v>
      </c>
      <c r="R185" s="445">
        <f>IF(R112&gt;0,IF(R161&gt;R137,((R161*R$76)-R112),R161*R$76),R161*R$76)</f>
        <v>115386.32</v>
      </c>
      <c r="S185" s="436">
        <f>S88</f>
        <v>9.1999999999999998E-3</v>
      </c>
      <c r="T185" s="376">
        <f>R185*S185*T$8</f>
        <v>31846.624319999999</v>
      </c>
      <c r="U185" s="445">
        <f>IF(U112&gt;0,IF(U161&gt;U137,((U161*U$76)-U112),U161*U$76),U161*U$76)</f>
        <v>111627.01000000001</v>
      </c>
      <c r="V185" s="436">
        <f>V88</f>
        <v>9.1999999999999998E-3</v>
      </c>
      <c r="W185" s="376">
        <f>U185*V185*W$8</f>
        <v>31836.023251999999</v>
      </c>
      <c r="X185" s="445">
        <f>IF(X112&gt;0,IF(X161&gt;X137,((X161*X$76)-X112),X161*X$76),X161*X$76)</f>
        <v>109917.23000000001</v>
      </c>
      <c r="Y185" s="436">
        <f>Y88</f>
        <v>9.1999999999999998E-3</v>
      </c>
      <c r="Z185" s="376">
        <f>X185*Y185*Z$8</f>
        <v>31348.393996000003</v>
      </c>
      <c r="AA185" s="445">
        <f>IF(AA112&gt;0,IF(AA161&gt;AA137,((AA161*AA$76)-AA112),AA161*AA$76),AA161*AA$76)</f>
        <v>98513.03</v>
      </c>
      <c r="AB185" s="436">
        <f>AB88</f>
        <v>9.1999999999999998E-3</v>
      </c>
      <c r="AC185" s="376">
        <f>AA185*AB185*AC$8</f>
        <v>27189.596280000002</v>
      </c>
      <c r="AD185" s="445">
        <f>IF(AD112&gt;0,IF(AD161&gt;AD137,((AD161*AD$76)-AD112),AD161*AD$76),AD161*AD$76)</f>
        <v>92040</v>
      </c>
      <c r="AE185" s="436">
        <f>AE88</f>
        <v>9.1999999999999998E-3</v>
      </c>
      <c r="AF185" s="376">
        <f>AD185*AE185*AF$8</f>
        <v>26249.808000000001</v>
      </c>
      <c r="AG185" s="445">
        <f>IF(AG112&gt;0,IF(AG161&gt;AG137,((AG161*AG$76)-AG112),AG161*AG$76),AG161*AG$76)</f>
        <v>117660</v>
      </c>
      <c r="AH185" s="436">
        <f>AH88</f>
        <v>9.1999999999999998E-3</v>
      </c>
      <c r="AI185" s="376">
        <f>AG185*AH185*AI$8</f>
        <v>32474.16</v>
      </c>
      <c r="AJ185" s="445">
        <f>IF(AJ112&gt;0,IF(AJ161&gt;AJ137,((AJ161*AJ$76)-AJ112),AJ161*AJ$76),AJ161*AJ$76)</f>
        <v>122100.00000000001</v>
      </c>
      <c r="AK185" s="436">
        <f>AK88</f>
        <v>9.1999999999999998E-3</v>
      </c>
      <c r="AL185" s="376">
        <f>AJ185*AK185*AL$8</f>
        <v>34822.920000000006</v>
      </c>
      <c r="AM185" s="445">
        <f>AM161*AM$76</f>
        <v>-165000</v>
      </c>
      <c r="AN185" s="436">
        <v>9.2999999999999992E-3</v>
      </c>
      <c r="AO185" s="376">
        <f>AM185*AN185*AO$8</f>
        <v>-47569.499999999993</v>
      </c>
      <c r="AP185" s="445">
        <f>AP161*AP$76</f>
        <v>0</v>
      </c>
      <c r="AQ185" s="436">
        <v>9.2999999999999992E-3</v>
      </c>
      <c r="AR185" s="376">
        <f>AP185*AQ185*AR$8</f>
        <v>0</v>
      </c>
      <c r="AS185" s="445">
        <f>AS161*AS$76</f>
        <v>0</v>
      </c>
      <c r="AT185" s="436">
        <v>9.2999999999999992E-3</v>
      </c>
      <c r="AU185" s="376">
        <f>AS185*AT185*AU$8</f>
        <v>0</v>
      </c>
      <c r="AV185" s="445">
        <f>AV161*AV$76</f>
        <v>0</v>
      </c>
      <c r="AW185" s="436">
        <v>9.2999999999999992E-3</v>
      </c>
      <c r="AX185" s="376">
        <f>AV185*AW185*AX$8</f>
        <v>0</v>
      </c>
      <c r="AY185" s="445">
        <f>AY161*AY$76</f>
        <v>0</v>
      </c>
      <c r="AZ185" s="436">
        <v>9.2999999999999992E-3</v>
      </c>
      <c r="BA185" s="376">
        <f>AY185*AZ185*BA$8</f>
        <v>0</v>
      </c>
      <c r="BB185" s="445">
        <f>BB161*BB$76</f>
        <v>0</v>
      </c>
      <c r="BC185" s="436">
        <v>9.2999999999999992E-3</v>
      </c>
      <c r="BD185" s="376">
        <f>BB185*BC185*BD$8</f>
        <v>0</v>
      </c>
      <c r="BE185" s="445">
        <f>BE161*BE$76</f>
        <v>0</v>
      </c>
      <c r="BF185" s="436">
        <v>9.2999999999999992E-3</v>
      </c>
      <c r="BG185" s="376">
        <f>BE185*BF185*BG$8</f>
        <v>0</v>
      </c>
      <c r="BH185" s="445">
        <f>BH161*BH$76</f>
        <v>0</v>
      </c>
      <c r="BI185" s="436">
        <v>9.2999999999999992E-3</v>
      </c>
      <c r="BJ185" s="376">
        <f>BH185*BI185*BJ$8</f>
        <v>0</v>
      </c>
      <c r="BK185" s="445">
        <f>BK161*BK$76</f>
        <v>0</v>
      </c>
      <c r="BL185" s="436">
        <v>9.2999999999999992E-3</v>
      </c>
      <c r="BM185" s="376">
        <f>BK185*BL185*BM$8</f>
        <v>0</v>
      </c>
      <c r="BN185" s="445">
        <f>BN161*BN$76</f>
        <v>0</v>
      </c>
      <c r="BO185" s="436">
        <v>9.2999999999999992E-3</v>
      </c>
      <c r="BP185" s="376">
        <f>BN185*BO185*BP$8</f>
        <v>0</v>
      </c>
      <c r="BQ185" s="445">
        <f>BQ161*BQ$76</f>
        <v>0</v>
      </c>
      <c r="BR185" s="436">
        <v>9.2999999999999992E-3</v>
      </c>
      <c r="BS185" s="376">
        <f>BQ185*BR185*BS$8</f>
        <v>0</v>
      </c>
      <c r="BT185" s="445">
        <f>BT161*BT$76</f>
        <v>0</v>
      </c>
      <c r="BU185" s="436">
        <v>9.2999999999999992E-3</v>
      </c>
      <c r="BV185" s="376">
        <f>BT185*BU185*BV$8</f>
        <v>0</v>
      </c>
      <c r="BW185" s="446"/>
      <c r="BX185" s="446"/>
      <c r="BY185" s="446"/>
      <c r="BZ185" s="446"/>
      <c r="CA185" s="446"/>
      <c r="CB185" s="446"/>
      <c r="CC185" s="446"/>
      <c r="CD185" s="446"/>
      <c r="CE185" s="446"/>
      <c r="CF185" s="446"/>
      <c r="CG185" s="446"/>
      <c r="CH185" s="446"/>
      <c r="CI185" s="446"/>
      <c r="CJ185" s="446"/>
      <c r="CK185" s="446"/>
      <c r="CL185" s="446"/>
      <c r="CM185" s="446"/>
      <c r="CN185" s="446"/>
      <c r="CO185" s="446"/>
      <c r="CP185" s="446"/>
      <c r="CQ185" s="446"/>
      <c r="CR185" s="446"/>
      <c r="CS185" s="446"/>
      <c r="CT185" s="446"/>
      <c r="CU185" s="446"/>
      <c r="CV185" s="446"/>
      <c r="CW185" s="446"/>
      <c r="CX185" s="446"/>
      <c r="CY185" s="446"/>
      <c r="CZ185" s="446"/>
      <c r="DA185" s="446"/>
      <c r="DB185" s="446"/>
      <c r="DC185" s="446"/>
      <c r="DD185" s="446"/>
      <c r="DE185" s="446"/>
      <c r="DF185" s="446"/>
      <c r="DG185" s="446"/>
      <c r="DH185" s="446"/>
      <c r="DI185" s="446"/>
      <c r="DJ185" s="446"/>
      <c r="DK185" s="446"/>
      <c r="DL185" s="446"/>
      <c r="DM185" s="446"/>
      <c r="DN185" s="446"/>
      <c r="DO185" s="446"/>
      <c r="DP185" s="446"/>
      <c r="DQ185" s="446"/>
      <c r="DR185" s="446"/>
      <c r="DS185" s="446"/>
      <c r="DT185" s="446"/>
      <c r="DU185" s="446"/>
      <c r="DV185" s="446"/>
      <c r="DW185" s="446"/>
      <c r="DX185" s="446"/>
      <c r="DY185" s="446"/>
      <c r="DZ185" s="446"/>
      <c r="EA185" s="446"/>
      <c r="EB185" s="446"/>
      <c r="EC185" s="446"/>
      <c r="ED185" s="446"/>
      <c r="EE185" s="446"/>
      <c r="EF185" s="446"/>
      <c r="EG185" s="446"/>
      <c r="EH185" s="446"/>
      <c r="EI185" s="446"/>
      <c r="EJ185" s="446"/>
      <c r="EK185" s="446"/>
      <c r="EL185" s="446"/>
      <c r="EM185" s="446"/>
      <c r="EN185" s="446"/>
      <c r="EO185" s="446"/>
      <c r="EP185" s="446"/>
      <c r="EQ185" s="446"/>
      <c r="ER185" s="446"/>
      <c r="ES185" s="446"/>
      <c r="ET185" s="446"/>
      <c r="EU185" s="446"/>
      <c r="EV185" s="446"/>
      <c r="EW185" s="446"/>
      <c r="EX185" s="446"/>
    </row>
    <row r="186" spans="1:154" s="439" customFormat="1" x14ac:dyDescent="0.2">
      <c r="A186" s="439" t="s">
        <v>132</v>
      </c>
      <c r="B186" s="439" t="s">
        <v>52</v>
      </c>
      <c r="C186" s="445">
        <f>IF(C113&gt;0,IF(C162&gt;C138,((C162*C$77)-C113),C162*C$77),C162*C$77)</f>
        <v>0</v>
      </c>
      <c r="D186" s="436">
        <f t="shared" ref="D186:D202" si="13">D89</f>
        <v>1.03E-2</v>
      </c>
      <c r="E186" s="679">
        <f>C186*D186*E$8</f>
        <v>0</v>
      </c>
      <c r="F186" s="445">
        <f>IF(F113&gt;0,IF(F162&gt;F138,((F162*F$77)-F113),F162*F$77),F162*F$77)</f>
        <v>0</v>
      </c>
      <c r="G186" s="436">
        <f t="shared" ref="G186:G202" si="14">G89</f>
        <v>1.03E-2</v>
      </c>
      <c r="H186" s="376">
        <f>F186*G186*H$8</f>
        <v>0</v>
      </c>
      <c r="I186" s="445">
        <f>IF(I113&gt;0,IF(I162&gt;I138,((I162*I$77)-I113),I162*I$77),I162*I$77)</f>
        <v>0</v>
      </c>
      <c r="J186" s="436">
        <f t="shared" ref="J186:J202" si="15">J89</f>
        <v>1.03E-2</v>
      </c>
      <c r="K186" s="376">
        <f>I186*J186*K$8</f>
        <v>0</v>
      </c>
      <c r="L186" s="445">
        <f>IF(L113&gt;0,IF(L162&gt;L138,((L162*L$77)-L113),L162*L$77),L162*L$77)</f>
        <v>0</v>
      </c>
      <c r="M186" s="436">
        <f t="shared" ref="M186:M202" si="16">M89</f>
        <v>1.03E-2</v>
      </c>
      <c r="N186" s="374">
        <f>L186*M186*N$8</f>
        <v>0</v>
      </c>
      <c r="O186" s="700">
        <f>IF(O113&gt;0,IF(O162&gt;O138,((O162*O$77)-O113),O162*O$77),O162*O$77)</f>
        <v>0</v>
      </c>
      <c r="P186" s="436">
        <f t="shared" ref="P186:P202" si="17">P89</f>
        <v>1.03E-2</v>
      </c>
      <c r="Q186" s="376">
        <f>O186*P186*Q$8</f>
        <v>0</v>
      </c>
      <c r="R186" s="445">
        <f>IF(R113&gt;0,IF(R162&gt;R138,((R162*R$77)-R113),R162*R$77),R162*R$77)</f>
        <v>0</v>
      </c>
      <c r="S186" s="436">
        <f t="shared" ref="S186:S202" si="18">S89</f>
        <v>1.03E-2</v>
      </c>
      <c r="T186" s="376">
        <f>R186*S186*T$8</f>
        <v>0</v>
      </c>
      <c r="U186" s="445">
        <f>IF(U113&gt;0,IF(U162&gt;U138,((U162*U$77)-U113),U162*U$77),U162*U$77)</f>
        <v>0</v>
      </c>
      <c r="V186" s="436">
        <f t="shared" ref="V186:V202" si="19">V89</f>
        <v>1.03E-2</v>
      </c>
      <c r="W186" s="376">
        <f>U186*V186*W$8</f>
        <v>0</v>
      </c>
      <c r="X186" s="445">
        <f>IF(X113&gt;0,IF(X162&gt;X138,((X162*X$77)-X113),X162*X$77),X162*X$77)</f>
        <v>0</v>
      </c>
      <c r="Y186" s="436">
        <f t="shared" ref="Y186:Y202" si="20">Y89</f>
        <v>1.03E-2</v>
      </c>
      <c r="Z186" s="376">
        <f>X186*Y186*Z$8</f>
        <v>0</v>
      </c>
      <c r="AA186" s="445">
        <f>IF(AA113&gt;0,IF(AA162&gt;AA138,((AA162*AA$77)-AA113),AA162*AA$77),AA162*AA$77)</f>
        <v>0</v>
      </c>
      <c r="AB186" s="436">
        <f t="shared" ref="AB186:AB202" si="21">AB89</f>
        <v>1.03E-2</v>
      </c>
      <c r="AC186" s="376">
        <f>AA186*AB186*AC$8</f>
        <v>0</v>
      </c>
      <c r="AD186" s="445">
        <f>IF(AD113&gt;0,IF(AD162&gt;AD138,((AD162*AD$77)-AD113),AD162*AD$77),AD162*AD$77)</f>
        <v>0</v>
      </c>
      <c r="AE186" s="436">
        <f t="shared" ref="AE186:AE202" si="22">AE89</f>
        <v>1.03E-2</v>
      </c>
      <c r="AF186" s="376">
        <f>AD186*AE186*AF$8</f>
        <v>0</v>
      </c>
      <c r="AG186" s="445">
        <f>IF(AG113&gt;0,IF(AG162&gt;AG138,((AG162*AG$77)-AG113),AG162*AG$77),AG162*AG$77)</f>
        <v>0</v>
      </c>
      <c r="AH186" s="436">
        <f t="shared" ref="AH186:AH202" si="23">AH89</f>
        <v>1.03E-2</v>
      </c>
      <c r="AI186" s="376">
        <f>AG186*AH186*AI$8</f>
        <v>0</v>
      </c>
      <c r="AJ186" s="445">
        <f>IF(AJ113&gt;0,IF(AJ162&gt;AJ138,((AJ162*AJ$77)-AJ113),AJ162*AJ$77),AJ162*AJ$77)</f>
        <v>0</v>
      </c>
      <c r="AK186" s="436">
        <f t="shared" ref="AK186:AK202" si="24">AK89</f>
        <v>1.03E-2</v>
      </c>
      <c r="AL186" s="376">
        <f>AJ186*AK186*AL$8</f>
        <v>0</v>
      </c>
      <c r="AM186" s="445">
        <f>AM162*AM$77</f>
        <v>0</v>
      </c>
      <c r="AN186" s="436">
        <v>1.04E-2</v>
      </c>
      <c r="AO186" s="376">
        <f>AM186*AN186*AO$8</f>
        <v>0</v>
      </c>
      <c r="AP186" s="445">
        <f>AP162*AP$77</f>
        <v>0</v>
      </c>
      <c r="AQ186" s="436">
        <v>1.04E-2</v>
      </c>
      <c r="AR186" s="376">
        <f>AP186*AQ186*AR$8</f>
        <v>0</v>
      </c>
      <c r="AS186" s="445">
        <f>AS162*AS$77</f>
        <v>0</v>
      </c>
      <c r="AT186" s="436">
        <v>1.04E-2</v>
      </c>
      <c r="AU186" s="376">
        <f>AS186*AT186*AU$8</f>
        <v>0</v>
      </c>
      <c r="AV186" s="445">
        <f>AV162*AV$77</f>
        <v>0</v>
      </c>
      <c r="AW186" s="436">
        <v>1.04E-2</v>
      </c>
      <c r="AX186" s="376">
        <f>AV186*AW186*AX$8</f>
        <v>0</v>
      </c>
      <c r="AY186" s="445">
        <f>AY162*AY$77</f>
        <v>0</v>
      </c>
      <c r="AZ186" s="436">
        <v>1.04E-2</v>
      </c>
      <c r="BA186" s="376">
        <f>AY186*AZ186*BA$8</f>
        <v>0</v>
      </c>
      <c r="BB186" s="445">
        <f>BB162*BB$77</f>
        <v>0</v>
      </c>
      <c r="BC186" s="436">
        <v>1.04E-2</v>
      </c>
      <c r="BD186" s="376">
        <f>BB186*BC186*BD$8</f>
        <v>0</v>
      </c>
      <c r="BE186" s="445">
        <f>BE162*BE$77</f>
        <v>0</v>
      </c>
      <c r="BF186" s="436">
        <v>1.04E-2</v>
      </c>
      <c r="BG186" s="376">
        <f>BE186*BF186*BG$8</f>
        <v>0</v>
      </c>
      <c r="BH186" s="445">
        <f>BH162*BH$77</f>
        <v>0</v>
      </c>
      <c r="BI186" s="436">
        <v>1.04E-2</v>
      </c>
      <c r="BJ186" s="376">
        <f>BH186*BI186*BJ$8</f>
        <v>0</v>
      </c>
      <c r="BK186" s="445">
        <f>BK162*BK$77</f>
        <v>0</v>
      </c>
      <c r="BL186" s="436">
        <v>1.04E-2</v>
      </c>
      <c r="BM186" s="376">
        <f>BK186*BL186*BM$8</f>
        <v>0</v>
      </c>
      <c r="BN186" s="445">
        <f>BN162*BN$77</f>
        <v>0</v>
      </c>
      <c r="BO186" s="436">
        <v>1.04E-2</v>
      </c>
      <c r="BP186" s="376">
        <f>BN186*BO186*BP$8</f>
        <v>0</v>
      </c>
      <c r="BQ186" s="445">
        <f>BQ162*BQ$77</f>
        <v>0</v>
      </c>
      <c r="BR186" s="436">
        <v>1.04E-2</v>
      </c>
      <c r="BS186" s="376">
        <f>BQ186*BR186*BS$8</f>
        <v>0</v>
      </c>
      <c r="BT186" s="445">
        <f>BT162*BT$77</f>
        <v>0</v>
      </c>
      <c r="BU186" s="436">
        <v>1.04E-2</v>
      </c>
      <c r="BV186" s="376">
        <f>BT186*BU186*BV$8</f>
        <v>0</v>
      </c>
      <c r="BW186" s="446"/>
      <c r="BX186" s="446"/>
      <c r="BY186" s="446"/>
      <c r="BZ186" s="446"/>
      <c r="CA186" s="446"/>
      <c r="CB186" s="446"/>
      <c r="CC186" s="446"/>
      <c r="CD186" s="446"/>
      <c r="CE186" s="446"/>
      <c r="CF186" s="446"/>
      <c r="CG186" s="446"/>
      <c r="CH186" s="446"/>
      <c r="CI186" s="446"/>
      <c r="CJ186" s="446"/>
      <c r="CK186" s="446"/>
      <c r="CL186" s="446"/>
      <c r="CM186" s="446"/>
      <c r="CN186" s="446"/>
      <c r="CO186" s="446"/>
      <c r="CP186" s="446"/>
      <c r="CQ186" s="446"/>
      <c r="CR186" s="446"/>
      <c r="CS186" s="446"/>
      <c r="CT186" s="446"/>
      <c r="CU186" s="446"/>
      <c r="CV186" s="446"/>
      <c r="CW186" s="446"/>
      <c r="CX186" s="446"/>
      <c r="CY186" s="446"/>
      <c r="CZ186" s="446"/>
      <c r="DA186" s="446"/>
      <c r="DB186" s="446"/>
      <c r="DC186" s="446"/>
      <c r="DD186" s="446"/>
      <c r="DE186" s="446"/>
      <c r="DF186" s="446"/>
      <c r="DG186" s="446"/>
      <c r="DH186" s="446"/>
      <c r="DI186" s="446"/>
      <c r="DJ186" s="446"/>
      <c r="DK186" s="446"/>
      <c r="DL186" s="446"/>
      <c r="DM186" s="446"/>
      <c r="DN186" s="446"/>
      <c r="DO186" s="446"/>
      <c r="DP186" s="446"/>
      <c r="DQ186" s="446"/>
      <c r="DR186" s="446"/>
      <c r="DS186" s="446"/>
      <c r="DT186" s="446"/>
      <c r="DU186" s="446"/>
      <c r="DV186" s="446"/>
      <c r="DW186" s="446"/>
      <c r="DX186" s="446"/>
      <c r="DY186" s="446"/>
      <c r="DZ186" s="446"/>
      <c r="EA186" s="446"/>
      <c r="EB186" s="446"/>
      <c r="EC186" s="446"/>
      <c r="ED186" s="446"/>
      <c r="EE186" s="446"/>
      <c r="EF186" s="446"/>
      <c r="EG186" s="446"/>
      <c r="EH186" s="446"/>
      <c r="EI186" s="446"/>
      <c r="EJ186" s="446"/>
      <c r="EK186" s="446"/>
      <c r="EL186" s="446"/>
      <c r="EM186" s="446"/>
      <c r="EN186" s="446"/>
      <c r="EO186" s="446"/>
      <c r="EP186" s="446"/>
      <c r="EQ186" s="446"/>
      <c r="ER186" s="446"/>
      <c r="ES186" s="446"/>
      <c r="ET186" s="446"/>
      <c r="EU186" s="446"/>
      <c r="EV186" s="446"/>
      <c r="EW186" s="446"/>
      <c r="EX186" s="446"/>
    </row>
    <row r="187" spans="1:154" s="439" customFormat="1" x14ac:dyDescent="0.2">
      <c r="A187" s="439" t="s">
        <v>133</v>
      </c>
      <c r="B187" s="439" t="s">
        <v>52</v>
      </c>
      <c r="C187" s="445">
        <f>IF(C114&gt;0,IF(C163&gt;C139,((C163*C$77)-C114),C163*C$77),C163*C$77)</f>
        <v>54900</v>
      </c>
      <c r="D187" s="436">
        <f t="shared" si="13"/>
        <v>1.03E-2</v>
      </c>
      <c r="E187" s="679">
        <f>C187*D187*E$8</f>
        <v>17529.57</v>
      </c>
      <c r="F187" s="445">
        <f>IF(F114&gt;0,IF(F163&gt;F139,((F163*F$77)-F114),F163*F$77),F163*F$77)</f>
        <v>59000</v>
      </c>
      <c r="G187" s="436">
        <f t="shared" si="14"/>
        <v>1.03E-2</v>
      </c>
      <c r="H187" s="376">
        <f>F187*G187*H$8</f>
        <v>17015.600000000002</v>
      </c>
      <c r="I187" s="445">
        <f>IF(I114&gt;0,IF(I163&gt;I139,((I163*I$77)-I114),I163*I$77),I163*I$77)</f>
        <v>54300</v>
      </c>
      <c r="J187" s="436">
        <f t="shared" si="15"/>
        <v>1.03E-2</v>
      </c>
      <c r="K187" s="376">
        <f>I187*J187*K$8</f>
        <v>17337.989999999998</v>
      </c>
      <c r="L187" s="445">
        <f>IF(L114&gt;0,IF(L163&gt;L139,((L163*L$77)-L114),L163*L$77),L163*L$77)</f>
        <v>65600</v>
      </c>
      <c r="M187" s="436">
        <f t="shared" si="16"/>
        <v>1.03E-2</v>
      </c>
      <c r="N187" s="374">
        <f>L187*M187*N$8</f>
        <v>20270.400000000001</v>
      </c>
      <c r="O187" s="700">
        <f>IF(O114&gt;0,IF(O163&gt;O139,((O163*O$77)-O114),O163*O$77),O163*O$77)</f>
        <v>61000</v>
      </c>
      <c r="P187" s="436">
        <f t="shared" si="17"/>
        <v>1.03E-2</v>
      </c>
      <c r="Q187" s="376">
        <f>O187*P187*Q$8</f>
        <v>19477.3</v>
      </c>
      <c r="R187" s="445">
        <f>IF(R114&gt;0,IF(R163&gt;R139,((R163*R$77)-R114),R163*R$77),R163*R$77)</f>
        <v>47400</v>
      </c>
      <c r="S187" s="436">
        <f t="shared" si="18"/>
        <v>1.03E-2</v>
      </c>
      <c r="T187" s="376">
        <f>R187*S187*T$8</f>
        <v>14646.6</v>
      </c>
      <c r="U187" s="445">
        <f>IF(U114&gt;0,IF(U163&gt;U139,((U163*U$77)-U114),U163*U$77),U163*U$77)</f>
        <v>71700</v>
      </c>
      <c r="V187" s="436">
        <f t="shared" si="19"/>
        <v>1.03E-2</v>
      </c>
      <c r="W187" s="376">
        <f>U187*V187*W$8</f>
        <v>22893.81</v>
      </c>
      <c r="X187" s="445">
        <f>IF(X114&gt;0,IF(X163&gt;X139,((X163*X$77)-X114),X163*X$77),X163*X$77)</f>
        <v>63000.000000000007</v>
      </c>
      <c r="Y187" s="436">
        <f t="shared" si="20"/>
        <v>1.03E-2</v>
      </c>
      <c r="Z187" s="376">
        <f>X187*Y187*Z$8</f>
        <v>20115.900000000001</v>
      </c>
      <c r="AA187" s="445">
        <f>IF(AA114&gt;0,IF(AA163&gt;AA139,((AA163*AA$77)-AA114),AA163*AA$77),AA163*AA$77)</f>
        <v>70300</v>
      </c>
      <c r="AB187" s="436">
        <f t="shared" si="21"/>
        <v>1.03E-2</v>
      </c>
      <c r="AC187" s="376">
        <f>AA187*AB187*AC$8</f>
        <v>21722.7</v>
      </c>
      <c r="AD187" s="445">
        <f>IF(AD114&gt;0,IF(AD163&gt;AD139,((AD163*AD$77)-AD114),AD163*AD$77),AD163*AD$77)</f>
        <v>50400</v>
      </c>
      <c r="AE187" s="436">
        <f t="shared" si="22"/>
        <v>1.03E-2</v>
      </c>
      <c r="AF187" s="376">
        <f>AD187*AE187*AF$8</f>
        <v>16092.72</v>
      </c>
      <c r="AG187" s="445">
        <f>IF(AG114&gt;0,IF(AG163&gt;AG139,((AG163*AG$77)-AG114),AG163*AG$77),AG163*AG$77)</f>
        <v>58600</v>
      </c>
      <c r="AH187" s="436">
        <f t="shared" si="23"/>
        <v>1.03E-2</v>
      </c>
      <c r="AI187" s="376">
        <f>AG187*AH187*AI$8</f>
        <v>18107.400000000001</v>
      </c>
      <c r="AJ187" s="445">
        <f>IF(AJ114&gt;0,IF(AJ163&gt;AJ139,((AJ163*AJ$77)-AJ114),AJ163*AJ$77),AJ163*AJ$77)</f>
        <v>44200.000000000007</v>
      </c>
      <c r="AK187" s="436">
        <f t="shared" si="24"/>
        <v>1.03E-2</v>
      </c>
      <c r="AL187" s="376">
        <f>AJ187*AK187*AL$8</f>
        <v>14113.060000000003</v>
      </c>
      <c r="AM187" s="445">
        <f>AM163*AM$77</f>
        <v>0</v>
      </c>
      <c r="AN187" s="436">
        <v>1.04E-2</v>
      </c>
      <c r="AO187" s="376">
        <f>AM187*AN187*AO$8</f>
        <v>0</v>
      </c>
      <c r="AP187" s="445">
        <f>AP163*AP$77</f>
        <v>0</v>
      </c>
      <c r="AQ187" s="436">
        <v>1.04E-2</v>
      </c>
      <c r="AR187" s="376">
        <f>AP187*AQ187*AR$8</f>
        <v>0</v>
      </c>
      <c r="AS187" s="445">
        <f>AS163*AS$77</f>
        <v>0</v>
      </c>
      <c r="AT187" s="436">
        <v>1.04E-2</v>
      </c>
      <c r="AU187" s="376">
        <f>AS187*AT187*AU$8</f>
        <v>0</v>
      </c>
      <c r="AV187" s="445">
        <f>AV163*AV$77</f>
        <v>0</v>
      </c>
      <c r="AW187" s="436">
        <v>1.04E-2</v>
      </c>
      <c r="AX187" s="376">
        <f>AV187*AW187*AX$8</f>
        <v>0</v>
      </c>
      <c r="AY187" s="445">
        <f>AY163*AY$77</f>
        <v>0</v>
      </c>
      <c r="AZ187" s="436">
        <v>1.04E-2</v>
      </c>
      <c r="BA187" s="376">
        <f>AY187*AZ187*BA$8</f>
        <v>0</v>
      </c>
      <c r="BB187" s="445">
        <f>BB163*BB$77</f>
        <v>0</v>
      </c>
      <c r="BC187" s="436">
        <v>1.04E-2</v>
      </c>
      <c r="BD187" s="376">
        <f>BB187*BC187*BD$8</f>
        <v>0</v>
      </c>
      <c r="BE187" s="445">
        <f>BE163*BE$77</f>
        <v>0</v>
      </c>
      <c r="BF187" s="436">
        <v>1.04E-2</v>
      </c>
      <c r="BG187" s="376">
        <f>BE187*BF187*BG$8</f>
        <v>0</v>
      </c>
      <c r="BH187" s="445">
        <f>BH163*BH$77</f>
        <v>0</v>
      </c>
      <c r="BI187" s="436">
        <v>1.04E-2</v>
      </c>
      <c r="BJ187" s="376">
        <f>BH187*BI187*BJ$8</f>
        <v>0</v>
      </c>
      <c r="BK187" s="445">
        <f>BK163*BK$77</f>
        <v>0</v>
      </c>
      <c r="BL187" s="436">
        <v>1.04E-2</v>
      </c>
      <c r="BM187" s="376">
        <f>BK187*BL187*BM$8</f>
        <v>0</v>
      </c>
      <c r="BN187" s="445">
        <f>BN163*BN$77</f>
        <v>0</v>
      </c>
      <c r="BO187" s="436">
        <v>1.04E-2</v>
      </c>
      <c r="BP187" s="376">
        <f>BN187*BO187*BP$8</f>
        <v>0</v>
      </c>
      <c r="BQ187" s="445">
        <f>BQ163*BQ$77</f>
        <v>0</v>
      </c>
      <c r="BR187" s="436">
        <v>1.04E-2</v>
      </c>
      <c r="BS187" s="376">
        <f>BQ187*BR187*BS$8</f>
        <v>0</v>
      </c>
      <c r="BT187" s="445">
        <f>BT163*BT$77</f>
        <v>0</v>
      </c>
      <c r="BU187" s="436">
        <v>1.04E-2</v>
      </c>
      <c r="BV187" s="376">
        <f>BT187*BU187*BV$8</f>
        <v>0</v>
      </c>
      <c r="BW187" s="446"/>
      <c r="BX187" s="446"/>
      <c r="BY187" s="446"/>
      <c r="BZ187" s="446"/>
      <c r="CA187" s="446"/>
      <c r="CB187" s="446"/>
      <c r="CC187" s="446"/>
      <c r="CD187" s="446"/>
      <c r="CE187" s="446"/>
      <c r="CF187" s="446"/>
      <c r="CG187" s="446"/>
      <c r="CH187" s="446"/>
      <c r="CI187" s="446"/>
      <c r="CJ187" s="446"/>
      <c r="CK187" s="446"/>
      <c r="CL187" s="446"/>
      <c r="CM187" s="446"/>
      <c r="CN187" s="446"/>
      <c r="CO187" s="446"/>
      <c r="CP187" s="446"/>
      <c r="CQ187" s="446"/>
      <c r="CR187" s="446"/>
      <c r="CS187" s="446"/>
      <c r="CT187" s="446"/>
      <c r="CU187" s="446"/>
      <c r="CV187" s="446"/>
      <c r="CW187" s="446"/>
      <c r="CX187" s="446"/>
      <c r="CY187" s="446"/>
      <c r="CZ187" s="446"/>
      <c r="DA187" s="446"/>
      <c r="DB187" s="446"/>
      <c r="DC187" s="446"/>
      <c r="DD187" s="446"/>
      <c r="DE187" s="446"/>
      <c r="DF187" s="446"/>
      <c r="DG187" s="446"/>
      <c r="DH187" s="446"/>
      <c r="DI187" s="446"/>
      <c r="DJ187" s="446"/>
      <c r="DK187" s="446"/>
      <c r="DL187" s="446"/>
      <c r="DM187" s="446"/>
      <c r="DN187" s="446"/>
      <c r="DO187" s="446"/>
      <c r="DP187" s="446"/>
      <c r="DQ187" s="446"/>
      <c r="DR187" s="446"/>
      <c r="DS187" s="446"/>
      <c r="DT187" s="446"/>
      <c r="DU187" s="446"/>
      <c r="DV187" s="446"/>
      <c r="DW187" s="446"/>
      <c r="DX187" s="446"/>
      <c r="DY187" s="446"/>
      <c r="DZ187" s="446"/>
      <c r="EA187" s="446"/>
      <c r="EB187" s="446"/>
      <c r="EC187" s="446"/>
      <c r="ED187" s="446"/>
      <c r="EE187" s="446"/>
      <c r="EF187" s="446"/>
      <c r="EG187" s="446"/>
      <c r="EH187" s="446"/>
      <c r="EI187" s="446"/>
      <c r="EJ187" s="446"/>
      <c r="EK187" s="446"/>
      <c r="EL187" s="446"/>
      <c r="EM187" s="446"/>
      <c r="EN187" s="446"/>
      <c r="EO187" s="446"/>
      <c r="EP187" s="446"/>
      <c r="EQ187" s="446"/>
      <c r="ER187" s="446"/>
      <c r="ES187" s="446"/>
      <c r="ET187" s="446"/>
      <c r="EU187" s="446"/>
      <c r="EV187" s="446"/>
      <c r="EW187" s="446"/>
      <c r="EX187" s="446"/>
    </row>
    <row r="188" spans="1:154" s="439" customFormat="1" x14ac:dyDescent="0.2">
      <c r="A188" s="439" t="s">
        <v>134</v>
      </c>
      <c r="B188" s="439" t="s">
        <v>52</v>
      </c>
      <c r="C188" s="445">
        <f>IF(C115&gt;0,IF(C164&gt;C140,((C164*C$76)-C115),C164*C$76),C164*C$76)</f>
        <v>0</v>
      </c>
      <c r="D188" s="436">
        <f t="shared" si="13"/>
        <v>9.1999999999999998E-3</v>
      </c>
      <c r="E188" s="679">
        <f>C188*D188*E$8</f>
        <v>0</v>
      </c>
      <c r="F188" s="445">
        <f>IF(F115&gt;0,IF(F164&gt;F140,((F164*F$76)-F115),F164*F$76),F164*F$76)</f>
        <v>0</v>
      </c>
      <c r="G188" s="436">
        <f t="shared" si="14"/>
        <v>9.1999999999999998E-3</v>
      </c>
      <c r="H188" s="376">
        <f>F188*G188*H$8</f>
        <v>0</v>
      </c>
      <c r="I188" s="445">
        <f>IF(I115&gt;0,IF(I164&gt;I140,((I164*I$76)-I115),I164*I$76),I164*I$76)</f>
        <v>0</v>
      </c>
      <c r="J188" s="436">
        <f t="shared" si="15"/>
        <v>9.1999999999999998E-3</v>
      </c>
      <c r="K188" s="376">
        <f>I188*J188*K$8</f>
        <v>0</v>
      </c>
      <c r="L188" s="445">
        <f>IF(L115&gt;0,IF(L164&gt;L140,((L164*L$76)-L115),L164*L$76),L164*L$76)</f>
        <v>0</v>
      </c>
      <c r="M188" s="436">
        <f t="shared" si="16"/>
        <v>9.1999999999999998E-3</v>
      </c>
      <c r="N188" s="374">
        <f>L188*M188*N$8</f>
        <v>0</v>
      </c>
      <c r="O188" s="700">
        <f>IF(O115&gt;0,IF(O164&gt;O140,((O164*O$76)-O115),O164*O$76),O164*O$76)</f>
        <v>0</v>
      </c>
      <c r="P188" s="436">
        <f t="shared" si="17"/>
        <v>9.1999999999999998E-3</v>
      </c>
      <c r="Q188" s="376">
        <f>O188*P188*Q$8</f>
        <v>0</v>
      </c>
      <c r="R188" s="445">
        <f>IF(R115&gt;0,IF(R164&gt;R140,((R164*R$76)-R115),R164*R$76),R164*R$76)</f>
        <v>0</v>
      </c>
      <c r="S188" s="436">
        <f t="shared" si="18"/>
        <v>9.1999999999999998E-3</v>
      </c>
      <c r="T188" s="376">
        <f>R188*S188*T$8</f>
        <v>0</v>
      </c>
      <c r="U188" s="445">
        <f>IF(U115&gt;0,IF(U164&gt;U140,((U164*U$76)-U115),U164*U$76),U164*U$76)</f>
        <v>0</v>
      </c>
      <c r="V188" s="436">
        <f t="shared" si="19"/>
        <v>9.1999999999999998E-3</v>
      </c>
      <c r="W188" s="376">
        <f>U188*V188*W$8</f>
        <v>0</v>
      </c>
      <c r="X188" s="445">
        <f>IF(X115&gt;0,IF(X164&gt;X140,((X164*X$76)-X115),X164*X$76),X164*X$76)</f>
        <v>0</v>
      </c>
      <c r="Y188" s="436">
        <f t="shared" si="20"/>
        <v>9.1999999999999998E-3</v>
      </c>
      <c r="Z188" s="376">
        <f>X188*Y188*Z$8</f>
        <v>0</v>
      </c>
      <c r="AA188" s="445">
        <f>IF(AA115&gt;0,IF(AA164&gt;AA140,((AA164*AA$76)-AA115),AA164*AA$76),AA164*AA$76)</f>
        <v>0</v>
      </c>
      <c r="AB188" s="436">
        <f t="shared" si="21"/>
        <v>9.1999999999999998E-3</v>
      </c>
      <c r="AC188" s="376">
        <f>AA188*AB188*AC$8</f>
        <v>0</v>
      </c>
      <c r="AD188" s="445">
        <f>IF(AD115&gt;0,IF(AD164&gt;AD140,((AD164*AD$76)-AD115),AD164*AD$76),AD164*AD$76)</f>
        <v>0</v>
      </c>
      <c r="AE188" s="436">
        <f t="shared" si="22"/>
        <v>9.1999999999999998E-3</v>
      </c>
      <c r="AF188" s="376">
        <f>AD188*AE188*AF$8</f>
        <v>0</v>
      </c>
      <c r="AG188" s="445">
        <f>IF(AG115&gt;0,IF(AG164&gt;AG140,((AG164*AG$76)-AG115),AG164*AG$76),AG164*AG$76)</f>
        <v>0</v>
      </c>
      <c r="AH188" s="436">
        <f t="shared" si="23"/>
        <v>9.1999999999999998E-3</v>
      </c>
      <c r="AI188" s="376">
        <f>AG188*AH188*AI$8</f>
        <v>0</v>
      </c>
      <c r="AJ188" s="445">
        <f>IF(AJ115&gt;0,IF(AJ164&gt;AJ140,((AJ164*AJ$76)-AJ115),AJ164*AJ$76),AJ164*AJ$76)</f>
        <v>0</v>
      </c>
      <c r="AK188" s="436">
        <f t="shared" si="24"/>
        <v>9.1999999999999998E-3</v>
      </c>
      <c r="AL188" s="376">
        <f>AJ188*AK188*AL$8</f>
        <v>0</v>
      </c>
      <c r="AM188" s="445">
        <f>AM164*AM$76</f>
        <v>0</v>
      </c>
      <c r="AN188" s="436">
        <v>9.2999999999999992E-3</v>
      </c>
      <c r="AO188" s="376">
        <f>AM188*AN188*AO$8</f>
        <v>0</v>
      </c>
      <c r="AP188" s="445">
        <f>AP164*AP$76</f>
        <v>0</v>
      </c>
      <c r="AQ188" s="436">
        <v>9.2999999999999992E-3</v>
      </c>
      <c r="AR188" s="376">
        <f>AP188*AQ188*AR$8</f>
        <v>0</v>
      </c>
      <c r="AS188" s="445">
        <f>AS164*AS$76</f>
        <v>0</v>
      </c>
      <c r="AT188" s="436">
        <v>9.2999999999999992E-3</v>
      </c>
      <c r="AU188" s="376">
        <f>AS188*AT188*AU$8</f>
        <v>0</v>
      </c>
      <c r="AV188" s="445">
        <f>AV164*AV$76</f>
        <v>0</v>
      </c>
      <c r="AW188" s="436">
        <v>9.2999999999999992E-3</v>
      </c>
      <c r="AX188" s="376">
        <f>AV188*AW188*AX$8</f>
        <v>0</v>
      </c>
      <c r="AY188" s="445">
        <f>AY164*AY$76</f>
        <v>0</v>
      </c>
      <c r="AZ188" s="436">
        <v>9.2999999999999992E-3</v>
      </c>
      <c r="BA188" s="376">
        <f>AY188*AZ188*BA$8</f>
        <v>0</v>
      </c>
      <c r="BB188" s="445">
        <f>BB164*BB$76</f>
        <v>0</v>
      </c>
      <c r="BC188" s="436">
        <v>9.2999999999999992E-3</v>
      </c>
      <c r="BD188" s="376">
        <f>BB188*BC188*BD$8</f>
        <v>0</v>
      </c>
      <c r="BE188" s="445">
        <f>BE164*BE$76</f>
        <v>0</v>
      </c>
      <c r="BF188" s="436">
        <v>9.2999999999999992E-3</v>
      </c>
      <c r="BG188" s="376">
        <f>BE188*BF188*BG$8</f>
        <v>0</v>
      </c>
      <c r="BH188" s="445">
        <f>BH164*BH$76</f>
        <v>0</v>
      </c>
      <c r="BI188" s="436">
        <v>9.2999999999999992E-3</v>
      </c>
      <c r="BJ188" s="376">
        <f>BH188*BI188*BJ$8</f>
        <v>0</v>
      </c>
      <c r="BK188" s="445">
        <f>BK164*BK$76</f>
        <v>0</v>
      </c>
      <c r="BL188" s="436">
        <v>9.2999999999999992E-3</v>
      </c>
      <c r="BM188" s="376">
        <f>BK188*BL188*BM$8</f>
        <v>0</v>
      </c>
      <c r="BN188" s="445">
        <f>BN164*BN$76</f>
        <v>0</v>
      </c>
      <c r="BO188" s="436">
        <v>9.2999999999999992E-3</v>
      </c>
      <c r="BP188" s="376">
        <f>BN188*BO188*BP$8</f>
        <v>0</v>
      </c>
      <c r="BQ188" s="445">
        <f>BQ164*BQ$76</f>
        <v>0</v>
      </c>
      <c r="BR188" s="436">
        <v>9.2999999999999992E-3</v>
      </c>
      <c r="BS188" s="376">
        <f>BQ188*BR188*BS$8</f>
        <v>0</v>
      </c>
      <c r="BT188" s="445">
        <f>BT164*BT$76</f>
        <v>0</v>
      </c>
      <c r="BU188" s="436">
        <v>9.2999999999999992E-3</v>
      </c>
      <c r="BV188" s="376">
        <f>BT188*BU188*BV$8</f>
        <v>0</v>
      </c>
      <c r="BW188" s="446"/>
      <c r="BX188" s="446"/>
      <c r="BY188" s="446"/>
      <c r="BZ188" s="446"/>
      <c r="CA188" s="446"/>
      <c r="CB188" s="446"/>
      <c r="CC188" s="446"/>
      <c r="CD188" s="446"/>
      <c r="CE188" s="446"/>
      <c r="CF188" s="446"/>
      <c r="CG188" s="446"/>
      <c r="CH188" s="446"/>
      <c r="CI188" s="446"/>
      <c r="CJ188" s="446"/>
      <c r="CK188" s="446"/>
      <c r="CL188" s="446"/>
      <c r="CM188" s="446"/>
      <c r="CN188" s="446"/>
      <c r="CO188" s="446"/>
      <c r="CP188" s="446"/>
      <c r="CQ188" s="446"/>
      <c r="CR188" s="446"/>
      <c r="CS188" s="446"/>
      <c r="CT188" s="446"/>
      <c r="CU188" s="446"/>
      <c r="CV188" s="446"/>
      <c r="CW188" s="446"/>
      <c r="CX188" s="446"/>
      <c r="CY188" s="446"/>
      <c r="CZ188" s="446"/>
      <c r="DA188" s="446"/>
      <c r="DB188" s="446"/>
      <c r="DC188" s="446"/>
      <c r="DD188" s="446"/>
      <c r="DE188" s="446"/>
      <c r="DF188" s="446"/>
      <c r="DG188" s="446"/>
      <c r="DH188" s="446"/>
      <c r="DI188" s="446"/>
      <c r="DJ188" s="446"/>
      <c r="DK188" s="446"/>
      <c r="DL188" s="446"/>
      <c r="DM188" s="446"/>
      <c r="DN188" s="446"/>
      <c r="DO188" s="446"/>
      <c r="DP188" s="446"/>
      <c r="DQ188" s="446"/>
      <c r="DR188" s="446"/>
      <c r="DS188" s="446"/>
      <c r="DT188" s="446"/>
      <c r="DU188" s="446"/>
      <c r="DV188" s="446"/>
      <c r="DW188" s="446"/>
      <c r="DX188" s="446"/>
      <c r="DY188" s="446"/>
      <c r="DZ188" s="446"/>
      <c r="EA188" s="446"/>
      <c r="EB188" s="446"/>
      <c r="EC188" s="446"/>
      <c r="ED188" s="446"/>
      <c r="EE188" s="446"/>
      <c r="EF188" s="446"/>
      <c r="EG188" s="446"/>
      <c r="EH188" s="446"/>
      <c r="EI188" s="446"/>
      <c r="EJ188" s="446"/>
      <c r="EK188" s="446"/>
      <c r="EL188" s="446"/>
      <c r="EM188" s="446"/>
      <c r="EN188" s="446"/>
      <c r="EO188" s="446"/>
      <c r="EP188" s="446"/>
      <c r="EQ188" s="446"/>
      <c r="ER188" s="446"/>
      <c r="ES188" s="446"/>
      <c r="ET188" s="446"/>
      <c r="EU188" s="446"/>
      <c r="EV188" s="446"/>
      <c r="EW188" s="446"/>
      <c r="EX188" s="446"/>
    </row>
    <row r="189" spans="1:154" s="439" customFormat="1" x14ac:dyDescent="0.2">
      <c r="A189" s="439" t="s">
        <v>135</v>
      </c>
      <c r="B189" s="439" t="s">
        <v>52</v>
      </c>
      <c r="C189" s="445">
        <f>IF(C116&gt;0,IF(C165&gt;C141,((C165*C$76)-C116),C165*C$76),C165*C$76)</f>
        <v>0</v>
      </c>
      <c r="D189" s="436">
        <f t="shared" si="13"/>
        <v>9.1999999999999998E-3</v>
      </c>
      <c r="E189" s="679">
        <f>C189*D189*E$8</f>
        <v>0</v>
      </c>
      <c r="F189" s="445">
        <f>IF(F116&gt;0,IF(F165&gt;F141,((F165*F$76)-F116),F165*F$76),F165*F$76)</f>
        <v>0</v>
      </c>
      <c r="G189" s="436">
        <f t="shared" si="14"/>
        <v>9.1999999999999998E-3</v>
      </c>
      <c r="H189" s="376">
        <f>F189*G189*H$8</f>
        <v>0</v>
      </c>
      <c r="I189" s="445">
        <f>IF(I116&gt;0,IF(I165&gt;I141,((I165*I$76)-I116),I165*I$76),I165*I$76)</f>
        <v>0</v>
      </c>
      <c r="J189" s="436">
        <f t="shared" si="15"/>
        <v>9.1999999999999998E-3</v>
      </c>
      <c r="K189" s="376">
        <f>I189*J189*K$8</f>
        <v>0</v>
      </c>
      <c r="L189" s="445">
        <f>IF(L116&gt;0,IF(L165&gt;L141,((L165*L$76)-L116),L165*L$76),L165*L$76)</f>
        <v>0</v>
      </c>
      <c r="M189" s="436">
        <f t="shared" si="16"/>
        <v>9.1999999999999998E-3</v>
      </c>
      <c r="N189" s="374">
        <f>L189*M189*N$8</f>
        <v>0</v>
      </c>
      <c r="O189" s="700">
        <f>IF(O116&gt;0,IF(O165&gt;O141,((O165*O$76)-O116),O165*O$76),O165*O$76)</f>
        <v>0</v>
      </c>
      <c r="P189" s="436">
        <f t="shared" si="17"/>
        <v>9.1999999999999998E-3</v>
      </c>
      <c r="Q189" s="376">
        <f>O189*P189*Q$8</f>
        <v>0</v>
      </c>
      <c r="R189" s="445">
        <f>IF(R116&gt;0,IF(R165&gt;R141,((R165*R$76)-R116),R165*R$76),R165*R$76)</f>
        <v>0</v>
      </c>
      <c r="S189" s="436">
        <f t="shared" si="18"/>
        <v>9.1999999999999998E-3</v>
      </c>
      <c r="T189" s="376">
        <f>R189*S189*T$8</f>
        <v>0</v>
      </c>
      <c r="U189" s="445">
        <f>IF(U116&gt;0,IF(U165&gt;U141,((U165*U$76)-U116),U165*U$76),U165*U$76)</f>
        <v>0</v>
      </c>
      <c r="V189" s="436">
        <f t="shared" si="19"/>
        <v>9.1999999999999998E-3</v>
      </c>
      <c r="W189" s="376">
        <f>U189*V189*W$8</f>
        <v>0</v>
      </c>
      <c r="X189" s="445">
        <f>IF(X116&gt;0,IF(X165&gt;X141,((X165*X$76)-X116),X165*X$76),X165*X$76)</f>
        <v>0</v>
      </c>
      <c r="Y189" s="436">
        <f t="shared" si="20"/>
        <v>9.1999999999999998E-3</v>
      </c>
      <c r="Z189" s="376">
        <f>X189*Y189*Z$8</f>
        <v>0</v>
      </c>
      <c r="AA189" s="445">
        <f>IF(AA116&gt;0,IF(AA165&gt;AA141,((AA165*AA$76)-AA116),AA165*AA$76),AA165*AA$76)</f>
        <v>0</v>
      </c>
      <c r="AB189" s="436">
        <f t="shared" si="21"/>
        <v>9.1999999999999998E-3</v>
      </c>
      <c r="AC189" s="376">
        <f>AA189*AB189*AC$8</f>
        <v>0</v>
      </c>
      <c r="AD189" s="445">
        <f>IF(AD116&gt;0,IF(AD165&gt;AD141,((AD165*AD$76)-AD116),AD165*AD$76),AD165*AD$76)</f>
        <v>0</v>
      </c>
      <c r="AE189" s="436">
        <f t="shared" si="22"/>
        <v>9.1999999999999998E-3</v>
      </c>
      <c r="AF189" s="376">
        <f>AD189*AE189*AF$8</f>
        <v>0</v>
      </c>
      <c r="AG189" s="445">
        <f>IF(AG116&gt;0,IF(AG165&gt;AG141,((AG165*AG$76)-AG116),AG165*AG$76),AG165*AG$76)</f>
        <v>0</v>
      </c>
      <c r="AH189" s="436">
        <f t="shared" si="23"/>
        <v>9.1999999999999998E-3</v>
      </c>
      <c r="AI189" s="376">
        <f>AG189*AH189*AI$8</f>
        <v>0</v>
      </c>
      <c r="AJ189" s="445">
        <f>IF(AJ116&gt;0,IF(AJ165&gt;AJ141,((AJ165*AJ$76)-AJ116),AJ165*AJ$76),AJ165*AJ$76)</f>
        <v>0</v>
      </c>
      <c r="AK189" s="436">
        <f t="shared" si="24"/>
        <v>9.1999999999999998E-3</v>
      </c>
      <c r="AL189" s="376">
        <f>AJ189*AK189*AL$8</f>
        <v>0</v>
      </c>
      <c r="AM189" s="445">
        <f>AM165*AM$76</f>
        <v>-35200</v>
      </c>
      <c r="AN189" s="436">
        <v>9.2999999999999992E-3</v>
      </c>
      <c r="AO189" s="376">
        <f>AM189*AN189*AO$8</f>
        <v>-10148.159999999998</v>
      </c>
      <c r="AP189" s="445">
        <f>AP165*AP$76</f>
        <v>0</v>
      </c>
      <c r="AQ189" s="436">
        <v>9.2999999999999992E-3</v>
      </c>
      <c r="AR189" s="376">
        <f>AP189*AQ189*AR$8</f>
        <v>0</v>
      </c>
      <c r="AS189" s="445">
        <f>AS165*AS$76</f>
        <v>0</v>
      </c>
      <c r="AT189" s="436">
        <v>9.2999999999999992E-3</v>
      </c>
      <c r="AU189" s="376">
        <f>AS189*AT189*AU$8</f>
        <v>0</v>
      </c>
      <c r="AV189" s="445">
        <f>AV165*AV$76</f>
        <v>0</v>
      </c>
      <c r="AW189" s="436">
        <v>9.2999999999999992E-3</v>
      </c>
      <c r="AX189" s="376">
        <f>AV189*AW189*AX$8</f>
        <v>0</v>
      </c>
      <c r="AY189" s="445">
        <f>AY165*AY$76</f>
        <v>0</v>
      </c>
      <c r="AZ189" s="436">
        <v>9.2999999999999992E-3</v>
      </c>
      <c r="BA189" s="376">
        <f>AY189*AZ189*BA$8</f>
        <v>0</v>
      </c>
      <c r="BB189" s="445">
        <f>BB165*BB$76</f>
        <v>0</v>
      </c>
      <c r="BC189" s="436">
        <v>9.2999999999999992E-3</v>
      </c>
      <c r="BD189" s="376">
        <f>BB189*BC189*BD$8</f>
        <v>0</v>
      </c>
      <c r="BE189" s="445">
        <f>BE165*BE$76</f>
        <v>0</v>
      </c>
      <c r="BF189" s="436">
        <v>9.2999999999999992E-3</v>
      </c>
      <c r="BG189" s="376">
        <f>BE189*BF189*BG$8</f>
        <v>0</v>
      </c>
      <c r="BH189" s="445">
        <f>BH165*BH$76</f>
        <v>0</v>
      </c>
      <c r="BI189" s="436">
        <v>9.2999999999999992E-3</v>
      </c>
      <c r="BJ189" s="376">
        <f>BH189*BI189*BJ$8</f>
        <v>0</v>
      </c>
      <c r="BK189" s="445">
        <f>BK165*BK$76</f>
        <v>0</v>
      </c>
      <c r="BL189" s="436">
        <v>9.2999999999999992E-3</v>
      </c>
      <c r="BM189" s="376">
        <f>BK189*BL189*BM$8</f>
        <v>0</v>
      </c>
      <c r="BN189" s="445">
        <f>BN165*BN$76</f>
        <v>0</v>
      </c>
      <c r="BO189" s="436">
        <v>9.2999999999999992E-3</v>
      </c>
      <c r="BP189" s="376">
        <f>BN189*BO189*BP$8</f>
        <v>0</v>
      </c>
      <c r="BQ189" s="445">
        <f>BQ165*BQ$76</f>
        <v>0</v>
      </c>
      <c r="BR189" s="436">
        <v>9.2999999999999992E-3</v>
      </c>
      <c r="BS189" s="376">
        <f>BQ189*BR189*BS$8</f>
        <v>0</v>
      </c>
      <c r="BT189" s="445">
        <f>BT165*BT$76</f>
        <v>0</v>
      </c>
      <c r="BU189" s="436">
        <v>9.2999999999999992E-3</v>
      </c>
      <c r="BV189" s="376">
        <f>BT189*BU189*BV$8</f>
        <v>0</v>
      </c>
      <c r="BW189" s="446"/>
      <c r="BX189" s="446"/>
      <c r="BY189" s="446"/>
      <c r="BZ189" s="446"/>
      <c r="CA189" s="446"/>
      <c r="CB189" s="446"/>
      <c r="CC189" s="446"/>
      <c r="CD189" s="446"/>
      <c r="CE189" s="446"/>
      <c r="CF189" s="446"/>
      <c r="CG189" s="446"/>
      <c r="CH189" s="446"/>
      <c r="CI189" s="446"/>
      <c r="CJ189" s="446"/>
      <c r="CK189" s="446"/>
      <c r="CL189" s="446"/>
      <c r="CM189" s="446"/>
      <c r="CN189" s="446"/>
      <c r="CO189" s="446"/>
      <c r="CP189" s="446"/>
      <c r="CQ189" s="446"/>
      <c r="CR189" s="446"/>
      <c r="CS189" s="446"/>
      <c r="CT189" s="446"/>
      <c r="CU189" s="446"/>
      <c r="CV189" s="446"/>
      <c r="CW189" s="446"/>
      <c r="CX189" s="446"/>
      <c r="CY189" s="446"/>
      <c r="CZ189" s="446"/>
      <c r="DA189" s="446"/>
      <c r="DB189" s="446"/>
      <c r="DC189" s="446"/>
      <c r="DD189" s="446"/>
      <c r="DE189" s="446"/>
      <c r="DF189" s="446"/>
      <c r="DG189" s="446"/>
      <c r="DH189" s="446"/>
      <c r="DI189" s="446"/>
      <c r="DJ189" s="446"/>
      <c r="DK189" s="446"/>
      <c r="DL189" s="446"/>
      <c r="DM189" s="446"/>
      <c r="DN189" s="446"/>
      <c r="DO189" s="446"/>
      <c r="DP189" s="446"/>
      <c r="DQ189" s="446"/>
      <c r="DR189" s="446"/>
      <c r="DS189" s="446"/>
      <c r="DT189" s="446"/>
      <c r="DU189" s="446"/>
      <c r="DV189" s="446"/>
      <c r="DW189" s="446"/>
      <c r="DX189" s="446"/>
      <c r="DY189" s="446"/>
      <c r="DZ189" s="446"/>
      <c r="EA189" s="446"/>
      <c r="EB189" s="446"/>
      <c r="EC189" s="446"/>
      <c r="ED189" s="446"/>
      <c r="EE189" s="446"/>
      <c r="EF189" s="446"/>
      <c r="EG189" s="446"/>
      <c r="EH189" s="446"/>
      <c r="EI189" s="446"/>
      <c r="EJ189" s="446"/>
      <c r="EK189" s="446"/>
      <c r="EL189" s="446"/>
      <c r="EM189" s="446"/>
      <c r="EN189" s="446"/>
      <c r="EO189" s="446"/>
      <c r="EP189" s="446"/>
      <c r="EQ189" s="446"/>
      <c r="ER189" s="446"/>
      <c r="ES189" s="446"/>
      <c r="ET189" s="446"/>
      <c r="EU189" s="446"/>
      <c r="EV189" s="446"/>
      <c r="EW189" s="446"/>
      <c r="EX189" s="446"/>
    </row>
    <row r="190" spans="1:154" s="373" customFormat="1" x14ac:dyDescent="0.2">
      <c r="A190" s="373" t="s">
        <v>147</v>
      </c>
      <c r="C190" s="450">
        <f>SUM(C185:C189)</f>
        <v>169394.16</v>
      </c>
      <c r="D190" s="436"/>
      <c r="E190" s="684">
        <f>SUM(E185:E189)</f>
        <v>50183.304432000004</v>
      </c>
      <c r="F190" s="450">
        <f>SUM(F185:F189)</f>
        <v>173494.16</v>
      </c>
      <c r="G190" s="436"/>
      <c r="H190" s="438">
        <f>SUM(H185:H189)</f>
        <v>46509.295616000003</v>
      </c>
      <c r="I190" s="450">
        <f>SUM(I185:I189)</f>
        <v>148994.16</v>
      </c>
      <c r="J190" s="436"/>
      <c r="K190" s="438">
        <f>SUM(K185:K189)</f>
        <v>44344.764431999996</v>
      </c>
      <c r="L190" s="450">
        <f>SUM(L185:L189)</f>
        <v>186119.84000000003</v>
      </c>
      <c r="M190" s="436"/>
      <c r="N190" s="695">
        <f>SUM(N185:N189)</f>
        <v>53533.875840000008</v>
      </c>
      <c r="O190" s="701">
        <f>SUM(O185:O189)</f>
        <v>176041.38999999998</v>
      </c>
      <c r="P190" s="436"/>
      <c r="Q190" s="438">
        <f>SUM(Q185:Q189)</f>
        <v>52287.104427999991</v>
      </c>
      <c r="R190" s="450">
        <f>SUM(R185:R189)</f>
        <v>162786.32</v>
      </c>
      <c r="S190" s="436"/>
      <c r="T190" s="438">
        <f>SUM(T185:T189)</f>
        <v>46493.224320000001</v>
      </c>
      <c r="U190" s="450">
        <f>SUM(U185:U189)</f>
        <v>183327.01</v>
      </c>
      <c r="V190" s="436"/>
      <c r="W190" s="438">
        <f>SUM(W185:W189)</f>
        <v>54729.833251999997</v>
      </c>
      <c r="X190" s="450">
        <f>SUM(X185:X189)</f>
        <v>172917.23</v>
      </c>
      <c r="Y190" s="436"/>
      <c r="Z190" s="438">
        <f>SUM(Z185:Z189)</f>
        <v>51464.293996000008</v>
      </c>
      <c r="AA190" s="450">
        <f>SUM(AA185:AA189)</f>
        <v>168813.03</v>
      </c>
      <c r="AB190" s="436"/>
      <c r="AC190" s="438">
        <f>SUM(AC185:AC189)</f>
        <v>48912.296280000002</v>
      </c>
      <c r="AD190" s="450">
        <f>SUM(AD185:AD189)</f>
        <v>142440</v>
      </c>
      <c r="AE190" s="436"/>
      <c r="AF190" s="438">
        <f>SUM(AF185:AF189)</f>
        <v>42342.527999999998</v>
      </c>
      <c r="AG190" s="450">
        <f>SUM(AG185:AG189)</f>
        <v>176260</v>
      </c>
      <c r="AH190" s="436"/>
      <c r="AI190" s="438">
        <f>SUM(AI185:AI189)</f>
        <v>50581.56</v>
      </c>
      <c r="AJ190" s="450">
        <f>SUM(AJ185:AJ189)</f>
        <v>166300.00000000003</v>
      </c>
      <c r="AK190" s="436"/>
      <c r="AL190" s="438">
        <f>SUM(AL185:AL189)</f>
        <v>48935.98000000001</v>
      </c>
      <c r="AM190" s="450">
        <f>SUM(AM185:AM189)</f>
        <v>-200200</v>
      </c>
      <c r="AN190" s="437"/>
      <c r="AO190" s="438">
        <f>SUM(AO185:AO189)</f>
        <v>-57717.659999999989</v>
      </c>
      <c r="AP190" s="450">
        <f>SUM(AP185:AP189)</f>
        <v>0</v>
      </c>
      <c r="AQ190" s="437"/>
      <c r="AR190" s="438">
        <f>SUM(AR185:AR189)</f>
        <v>0</v>
      </c>
      <c r="AS190" s="450">
        <f>SUM(AS185:AS189)</f>
        <v>0</v>
      </c>
      <c r="AT190" s="437"/>
      <c r="AU190" s="438">
        <f>SUM(AU185:AU189)</f>
        <v>0</v>
      </c>
      <c r="AV190" s="450">
        <f>SUM(AV185:AV189)</f>
        <v>0</v>
      </c>
      <c r="AW190" s="437"/>
      <c r="AX190" s="438">
        <f>SUM(AX185:AX189)</f>
        <v>0</v>
      </c>
      <c r="AY190" s="450">
        <f>SUM(AY185:AY189)</f>
        <v>0</v>
      </c>
      <c r="AZ190" s="437"/>
      <c r="BA190" s="438">
        <f>SUM(BA185:BA189)</f>
        <v>0</v>
      </c>
      <c r="BB190" s="450">
        <f>SUM(BB185:BB189)</f>
        <v>0</v>
      </c>
      <c r="BC190" s="437"/>
      <c r="BD190" s="438">
        <f>SUM(BD185:BD189)</f>
        <v>0</v>
      </c>
      <c r="BE190" s="450">
        <f>SUM(BE185:BE189)</f>
        <v>0</v>
      </c>
      <c r="BF190" s="437"/>
      <c r="BG190" s="438">
        <f>SUM(BG185:BG189)</f>
        <v>0</v>
      </c>
      <c r="BH190" s="450">
        <f>SUM(BH185:BH189)</f>
        <v>0</v>
      </c>
      <c r="BI190" s="437"/>
      <c r="BJ190" s="438">
        <f>SUM(BJ185:BJ189)</f>
        <v>0</v>
      </c>
      <c r="BK190" s="450">
        <f>SUM(BK185:BK189)</f>
        <v>0</v>
      </c>
      <c r="BL190" s="437"/>
      <c r="BM190" s="438">
        <f>SUM(BM185:BM189)</f>
        <v>0</v>
      </c>
      <c r="BN190" s="450">
        <f>SUM(BN185:BN189)</f>
        <v>0</v>
      </c>
      <c r="BO190" s="437"/>
      <c r="BP190" s="438">
        <f>SUM(BP185:BP189)</f>
        <v>0</v>
      </c>
      <c r="BQ190" s="450">
        <f>SUM(BQ185:BQ189)</f>
        <v>0</v>
      </c>
      <c r="BR190" s="437"/>
      <c r="BS190" s="438">
        <f>SUM(BS185:BS189)</f>
        <v>0</v>
      </c>
      <c r="BT190" s="450">
        <f>SUM(BT185:BT189)</f>
        <v>0</v>
      </c>
      <c r="BU190" s="437"/>
      <c r="BV190" s="438">
        <f>SUM(BV185:BV189)</f>
        <v>0</v>
      </c>
      <c r="BW190" s="451"/>
      <c r="BX190" s="451"/>
      <c r="BY190" s="451"/>
      <c r="BZ190" s="451"/>
      <c r="CA190" s="451"/>
      <c r="CB190" s="451"/>
      <c r="CC190" s="451"/>
      <c r="CD190" s="451"/>
      <c r="CE190" s="451"/>
      <c r="CF190" s="451"/>
      <c r="CG190" s="451"/>
      <c r="CH190" s="451"/>
      <c r="CI190" s="451"/>
      <c r="CJ190" s="451"/>
      <c r="CK190" s="451"/>
      <c r="CL190" s="451"/>
      <c r="CM190" s="451"/>
      <c r="CN190" s="451"/>
      <c r="CO190" s="451"/>
      <c r="CP190" s="451"/>
      <c r="CQ190" s="451"/>
      <c r="CR190" s="451"/>
      <c r="CS190" s="451"/>
      <c r="CT190" s="451"/>
      <c r="CU190" s="451"/>
      <c r="CV190" s="451"/>
      <c r="CW190" s="451"/>
      <c r="CX190" s="451"/>
      <c r="CY190" s="451"/>
      <c r="CZ190" s="451"/>
      <c r="DA190" s="451"/>
      <c r="DB190" s="451"/>
      <c r="DC190" s="451"/>
      <c r="DD190" s="451"/>
      <c r="DE190" s="451"/>
      <c r="DF190" s="451"/>
      <c r="DG190" s="451"/>
      <c r="DH190" s="451"/>
      <c r="DI190" s="451"/>
      <c r="DJ190" s="451"/>
      <c r="DK190" s="451"/>
      <c r="DL190" s="451"/>
      <c r="DM190" s="451"/>
      <c r="DN190" s="451"/>
      <c r="DO190" s="451"/>
      <c r="DP190" s="451"/>
      <c r="DQ190" s="451"/>
      <c r="DR190" s="451"/>
      <c r="DS190" s="451"/>
      <c r="DT190" s="451"/>
      <c r="DU190" s="451"/>
      <c r="DV190" s="451"/>
      <c r="DW190" s="451"/>
      <c r="DX190" s="451"/>
      <c r="DY190" s="451"/>
      <c r="DZ190" s="451"/>
      <c r="EA190" s="451"/>
      <c r="EB190" s="451"/>
      <c r="EC190" s="451"/>
      <c r="ED190" s="451"/>
      <c r="EE190" s="451"/>
      <c r="EF190" s="451"/>
      <c r="EG190" s="451"/>
      <c r="EH190" s="451"/>
      <c r="EI190" s="451"/>
      <c r="EJ190" s="451"/>
      <c r="EK190" s="451"/>
      <c r="EL190" s="451"/>
      <c r="EM190" s="451"/>
      <c r="EN190" s="451"/>
      <c r="EO190" s="451"/>
      <c r="EP190" s="451"/>
      <c r="EQ190" s="451"/>
      <c r="ER190" s="451"/>
      <c r="ES190" s="451"/>
      <c r="ET190" s="451"/>
      <c r="EU190" s="451"/>
      <c r="EV190" s="451"/>
      <c r="EW190" s="451"/>
      <c r="EX190" s="451"/>
    </row>
    <row r="191" spans="1:154" s="439" customFormat="1" x14ac:dyDescent="0.2">
      <c r="A191" s="439" t="s">
        <v>216</v>
      </c>
      <c r="B191" s="439" t="s">
        <v>52</v>
      </c>
      <c r="C191" s="445">
        <f>IF(C118&gt;0,IF(C167&gt;C143,((C167*C$78)-C118),C167*C$78),C167*C$78)</f>
        <v>86915</v>
      </c>
      <c r="D191" s="436">
        <f t="shared" si="13"/>
        <v>3.2000000000000002E-3</v>
      </c>
      <c r="E191" s="679">
        <f>C191*D191*E$8</f>
        <v>8621.9679999999989</v>
      </c>
      <c r="F191" s="445">
        <f>IF(F118&gt;0,IF(F167&gt;F143,((F167*F$78)-F118),F167*F$78),F167*F$78)</f>
        <v>185430</v>
      </c>
      <c r="G191" s="436">
        <f t="shared" si="14"/>
        <v>3.2000000000000002E-3</v>
      </c>
      <c r="H191" s="376">
        <f>F191*G191*H$8</f>
        <v>16614.527999999998</v>
      </c>
      <c r="I191" s="445">
        <f>IF(I118&gt;0,IF(I167&gt;I143,((I167*I$78)-I118),I167*I$78),I167*I$78)</f>
        <v>187900</v>
      </c>
      <c r="J191" s="436">
        <f t="shared" si="15"/>
        <v>3.2000000000000002E-3</v>
      </c>
      <c r="K191" s="376">
        <f>I191*J191*K$8</f>
        <v>18639.68</v>
      </c>
      <c r="L191" s="445">
        <f>IF(L118&gt;0,IF(L167&gt;L143,((L167*L$78)-L118),L167*L$78),L167*L$78)</f>
        <v>114670</v>
      </c>
      <c r="M191" s="436">
        <f t="shared" si="16"/>
        <v>3.2000000000000002E-3</v>
      </c>
      <c r="N191" s="374">
        <f>L191*M191*N$8</f>
        <v>11008.32</v>
      </c>
      <c r="O191" s="700">
        <f>IF(O118&gt;0,IF(O167&gt;O143,((O167*O$78)-O118),O167*O$78),O167*O$78)</f>
        <v>90575</v>
      </c>
      <c r="P191" s="436">
        <f t="shared" si="17"/>
        <v>3.2000000000000002E-3</v>
      </c>
      <c r="Q191" s="376">
        <f>O191*P191*Q$8</f>
        <v>8985.0400000000009</v>
      </c>
      <c r="R191" s="445">
        <f>IF(R118&gt;0,IF(R167&gt;R143,((R167*R$78)-R118),R167*R$78),R167*R$78)</f>
        <v>95500</v>
      </c>
      <c r="S191" s="436">
        <f t="shared" si="18"/>
        <v>3.2000000000000002E-3</v>
      </c>
      <c r="T191" s="376">
        <f>R191*S191*T$8</f>
        <v>9168</v>
      </c>
      <c r="U191" s="445">
        <f>IF(U118&gt;0,IF(U167&gt;U143,((U167*U$78)-U118),U167*U$78),U167*U$78)</f>
        <v>65850</v>
      </c>
      <c r="V191" s="436">
        <f t="shared" si="19"/>
        <v>3.2000000000000002E-3</v>
      </c>
      <c r="W191" s="376">
        <f>U191*V191*W$8</f>
        <v>6532.32</v>
      </c>
      <c r="X191" s="445">
        <f>IF(X118&gt;0,IF(X167&gt;X143,((X167*X$78)-X118),X167*X$78),X167*X$78)</f>
        <v>153800</v>
      </c>
      <c r="Y191" s="436">
        <f t="shared" si="20"/>
        <v>3.2000000000000002E-3</v>
      </c>
      <c r="Z191" s="376">
        <f>X191*Y191*Z$8</f>
        <v>15256.960000000001</v>
      </c>
      <c r="AA191" s="445">
        <f>IF(AA118&gt;0,IF(AA167&gt;AA143,((AA167*AA$78)-AA118),AA167*AA$78),AA167*AA$78)</f>
        <v>107475</v>
      </c>
      <c r="AB191" s="436">
        <f t="shared" si="21"/>
        <v>3.2000000000000002E-3</v>
      </c>
      <c r="AC191" s="376">
        <f>AA191*AB191*AC$8</f>
        <v>10317.6</v>
      </c>
      <c r="AD191" s="445">
        <f>IF(AD118&gt;0,IF(AD167&gt;AD143,((AD167*AD$78)-AD118),AD167*AD$78),AD167*AD$78)</f>
        <v>156625</v>
      </c>
      <c r="AE191" s="436">
        <f t="shared" si="22"/>
        <v>3.2000000000000002E-3</v>
      </c>
      <c r="AF191" s="376">
        <f>AD191*AE191*AF$8</f>
        <v>15537.2</v>
      </c>
      <c r="AG191" s="445">
        <f>IF(AG118&gt;0,IF(AG167&gt;AG143,((AG167*AG$78)-AG118),AG167*AG$78),AG167*AG$78)</f>
        <v>200455</v>
      </c>
      <c r="AH191" s="436">
        <f t="shared" si="23"/>
        <v>3.2000000000000002E-3</v>
      </c>
      <c r="AI191" s="376">
        <f>AG191*AH191*AI$8</f>
        <v>19243.68</v>
      </c>
      <c r="AJ191" s="445">
        <f>IF(AJ118&gt;0,IF(AJ167&gt;AJ143,((AJ167*AJ$78)-AJ118),AJ167*AJ$78),AJ167*AJ$78)</f>
        <v>190100</v>
      </c>
      <c r="AK191" s="436">
        <f t="shared" si="24"/>
        <v>3.2000000000000002E-3</v>
      </c>
      <c r="AL191" s="376">
        <f>AJ191*AK191*AL$8</f>
        <v>18857.920000000002</v>
      </c>
      <c r="AM191" s="445">
        <f>AM167*AM$78</f>
        <v>-7500</v>
      </c>
      <c r="AN191" s="436">
        <v>3.3E-3</v>
      </c>
      <c r="AO191" s="376">
        <f>AM191*AN191*AO$8</f>
        <v>-767.25</v>
      </c>
      <c r="AP191" s="445">
        <f>AP167*AP$78</f>
        <v>0</v>
      </c>
      <c r="AQ191" s="436">
        <v>3.3E-3</v>
      </c>
      <c r="AR191" s="376">
        <f>AP191*AQ191*AR$8</f>
        <v>0</v>
      </c>
      <c r="AS191" s="445">
        <f>AS167*AS$78</f>
        <v>0</v>
      </c>
      <c r="AT191" s="436">
        <v>3.3E-3</v>
      </c>
      <c r="AU191" s="376">
        <f>AS191*AT191*AU$8</f>
        <v>0</v>
      </c>
      <c r="AV191" s="445">
        <f>AV167*AV$78</f>
        <v>0</v>
      </c>
      <c r="AW191" s="436">
        <v>3.3E-3</v>
      </c>
      <c r="AX191" s="376">
        <f>AV191*AW191*AX$8</f>
        <v>0</v>
      </c>
      <c r="AY191" s="445">
        <f>AY167*AY$78</f>
        <v>0</v>
      </c>
      <c r="AZ191" s="436">
        <v>3.3E-3</v>
      </c>
      <c r="BA191" s="376">
        <f>AY191*AZ191*BA$8</f>
        <v>0</v>
      </c>
      <c r="BB191" s="445">
        <f>BB167*BB$78</f>
        <v>0</v>
      </c>
      <c r="BC191" s="436">
        <v>3.3E-3</v>
      </c>
      <c r="BD191" s="376">
        <f>BB191*BC191*BD$8</f>
        <v>0</v>
      </c>
      <c r="BE191" s="445">
        <f>BE167*BE$78</f>
        <v>0</v>
      </c>
      <c r="BF191" s="436">
        <v>3.3E-3</v>
      </c>
      <c r="BG191" s="376">
        <f>BE191*BF191*BG$8</f>
        <v>0</v>
      </c>
      <c r="BH191" s="445">
        <f>BH167*BH$78</f>
        <v>0</v>
      </c>
      <c r="BI191" s="436">
        <v>3.3E-3</v>
      </c>
      <c r="BJ191" s="376">
        <f>BH191*BI191*BJ$8</f>
        <v>0</v>
      </c>
      <c r="BK191" s="445">
        <f>BK167*BK$78</f>
        <v>0</v>
      </c>
      <c r="BL191" s="436">
        <v>3.3E-3</v>
      </c>
      <c r="BM191" s="376">
        <f>BK191*BL191*BM$8</f>
        <v>0</v>
      </c>
      <c r="BN191" s="445">
        <f>BN167*BN$78</f>
        <v>0</v>
      </c>
      <c r="BO191" s="436">
        <v>3.3E-3</v>
      </c>
      <c r="BP191" s="376">
        <f>BN191*BO191*BP$8</f>
        <v>0</v>
      </c>
      <c r="BQ191" s="445">
        <f>BQ167*BQ$78</f>
        <v>0</v>
      </c>
      <c r="BR191" s="436">
        <v>3.3E-3</v>
      </c>
      <c r="BS191" s="376">
        <f>BQ191*BR191*BS$8</f>
        <v>0</v>
      </c>
      <c r="BT191" s="445">
        <f>BT167*BT$78</f>
        <v>0</v>
      </c>
      <c r="BU191" s="436">
        <v>3.3E-3</v>
      </c>
      <c r="BV191" s="376">
        <f>BT191*BU191*BV$8</f>
        <v>0</v>
      </c>
      <c r="BW191" s="446"/>
      <c r="BX191" s="446"/>
      <c r="BY191" s="446"/>
      <c r="BZ191" s="446"/>
      <c r="CA191" s="446"/>
      <c r="CB191" s="446"/>
      <c r="CC191" s="446"/>
      <c r="CD191" s="446"/>
      <c r="CE191" s="446"/>
      <c r="CF191" s="446"/>
      <c r="CG191" s="446"/>
      <c r="CH191" s="446"/>
      <c r="CI191" s="446"/>
      <c r="CJ191" s="446"/>
      <c r="CK191" s="446"/>
      <c r="CL191" s="446"/>
      <c r="CM191" s="446"/>
      <c r="CN191" s="446"/>
      <c r="CO191" s="446"/>
      <c r="CP191" s="446"/>
      <c r="CQ191" s="446"/>
      <c r="CR191" s="446"/>
      <c r="CS191" s="446"/>
      <c r="CT191" s="446"/>
      <c r="CU191" s="446"/>
      <c r="CV191" s="446"/>
      <c r="CW191" s="446"/>
      <c r="CX191" s="446"/>
      <c r="CY191" s="446"/>
      <c r="CZ191" s="446"/>
      <c r="DA191" s="446"/>
      <c r="DB191" s="446"/>
      <c r="DC191" s="446"/>
      <c r="DD191" s="446"/>
      <c r="DE191" s="446"/>
      <c r="DF191" s="446"/>
      <c r="DG191" s="446"/>
      <c r="DH191" s="446"/>
      <c r="DI191" s="446"/>
      <c r="DJ191" s="446"/>
      <c r="DK191" s="446"/>
      <c r="DL191" s="446"/>
      <c r="DM191" s="446"/>
      <c r="DN191" s="446"/>
      <c r="DO191" s="446"/>
      <c r="DP191" s="446"/>
      <c r="DQ191" s="446"/>
      <c r="DR191" s="446"/>
      <c r="DS191" s="446"/>
      <c r="DT191" s="446"/>
      <c r="DU191" s="446"/>
      <c r="DV191" s="446"/>
      <c r="DW191" s="446"/>
      <c r="DX191" s="446"/>
      <c r="DY191" s="446"/>
      <c r="DZ191" s="446"/>
      <c r="EA191" s="446"/>
      <c r="EB191" s="446"/>
      <c r="EC191" s="446"/>
      <c r="ED191" s="446"/>
      <c r="EE191" s="446"/>
      <c r="EF191" s="446"/>
      <c r="EG191" s="446"/>
      <c r="EH191" s="446"/>
      <c r="EI191" s="446"/>
      <c r="EJ191" s="446"/>
      <c r="EK191" s="446"/>
      <c r="EL191" s="446"/>
      <c r="EM191" s="446"/>
      <c r="EN191" s="446"/>
      <c r="EO191" s="446"/>
      <c r="EP191" s="446"/>
      <c r="EQ191" s="446"/>
      <c r="ER191" s="446"/>
      <c r="ES191" s="446"/>
      <c r="ET191" s="446"/>
      <c r="EU191" s="446"/>
      <c r="EV191" s="446"/>
      <c r="EW191" s="446"/>
      <c r="EX191" s="446"/>
    </row>
    <row r="192" spans="1:154" s="373" customFormat="1" x14ac:dyDescent="0.2">
      <c r="A192" s="373" t="s">
        <v>146</v>
      </c>
      <c r="C192" s="450">
        <f>SUM(C191)</f>
        <v>86915</v>
      </c>
      <c r="D192" s="436"/>
      <c r="E192" s="684">
        <f>SUM(E191)</f>
        <v>8621.9679999999989</v>
      </c>
      <c r="F192" s="450">
        <f>SUM(F191)</f>
        <v>185430</v>
      </c>
      <c r="G192" s="436"/>
      <c r="H192" s="438">
        <f>SUM(H191)</f>
        <v>16614.527999999998</v>
      </c>
      <c r="I192" s="450">
        <f>SUM(I191)</f>
        <v>187900</v>
      </c>
      <c r="J192" s="436"/>
      <c r="K192" s="438">
        <f>SUM(K191)</f>
        <v>18639.68</v>
      </c>
      <c r="L192" s="450">
        <f>SUM(L191)</f>
        <v>114670</v>
      </c>
      <c r="M192" s="436"/>
      <c r="N192" s="695">
        <f>SUM(N191)</f>
        <v>11008.32</v>
      </c>
      <c r="O192" s="701">
        <f>SUM(O191)</f>
        <v>90575</v>
      </c>
      <c r="P192" s="436"/>
      <c r="Q192" s="438">
        <f>SUM(Q191)</f>
        <v>8985.0400000000009</v>
      </c>
      <c r="R192" s="450">
        <f>SUM(R191)</f>
        <v>95500</v>
      </c>
      <c r="S192" s="436"/>
      <c r="T192" s="438">
        <f>SUM(T191)</f>
        <v>9168</v>
      </c>
      <c r="U192" s="450">
        <f>SUM(U191)</f>
        <v>65850</v>
      </c>
      <c r="V192" s="436"/>
      <c r="W192" s="438">
        <f>SUM(W191)</f>
        <v>6532.32</v>
      </c>
      <c r="X192" s="450">
        <f>SUM(X191)</f>
        <v>153800</v>
      </c>
      <c r="Y192" s="436"/>
      <c r="Z192" s="438">
        <f>SUM(Z191)</f>
        <v>15256.960000000001</v>
      </c>
      <c r="AA192" s="450">
        <f>SUM(AA191)</f>
        <v>107475</v>
      </c>
      <c r="AB192" s="436"/>
      <c r="AC192" s="438">
        <f>SUM(AC191)</f>
        <v>10317.6</v>
      </c>
      <c r="AD192" s="450">
        <f>SUM(AD191)</f>
        <v>156625</v>
      </c>
      <c r="AE192" s="436"/>
      <c r="AF192" s="438">
        <f>SUM(AF191)</f>
        <v>15537.2</v>
      </c>
      <c r="AG192" s="450">
        <f>SUM(AG191)</f>
        <v>200455</v>
      </c>
      <c r="AH192" s="436"/>
      <c r="AI192" s="438">
        <f>SUM(AI191)</f>
        <v>19243.68</v>
      </c>
      <c r="AJ192" s="450">
        <f>SUM(AJ191)</f>
        <v>190100</v>
      </c>
      <c r="AK192" s="436"/>
      <c r="AL192" s="438">
        <f>SUM(AL191)</f>
        <v>18857.920000000002</v>
      </c>
      <c r="AM192" s="450">
        <f>SUM(AM191)</f>
        <v>-7500</v>
      </c>
      <c r="AN192" s="437"/>
      <c r="AO192" s="438">
        <f>SUM(AO191)</f>
        <v>-767.25</v>
      </c>
      <c r="AP192" s="450">
        <f>SUM(AP191)</f>
        <v>0</v>
      </c>
      <c r="AQ192" s="437"/>
      <c r="AR192" s="438">
        <f>SUM(AR191)</f>
        <v>0</v>
      </c>
      <c r="AS192" s="450">
        <f>SUM(AS191)</f>
        <v>0</v>
      </c>
      <c r="AT192" s="437"/>
      <c r="AU192" s="438">
        <f>SUM(AU191)</f>
        <v>0</v>
      </c>
      <c r="AV192" s="450">
        <f>SUM(AV191)</f>
        <v>0</v>
      </c>
      <c r="AW192" s="437"/>
      <c r="AX192" s="438">
        <f>SUM(AX191)</f>
        <v>0</v>
      </c>
      <c r="AY192" s="450">
        <f>SUM(AY191)</f>
        <v>0</v>
      </c>
      <c r="AZ192" s="437"/>
      <c r="BA192" s="438">
        <f>SUM(BA191)</f>
        <v>0</v>
      </c>
      <c r="BB192" s="450">
        <f>SUM(BB191)</f>
        <v>0</v>
      </c>
      <c r="BC192" s="437"/>
      <c r="BD192" s="438">
        <f>SUM(BD191)</f>
        <v>0</v>
      </c>
      <c r="BE192" s="450">
        <f>SUM(BE191)</f>
        <v>0</v>
      </c>
      <c r="BF192" s="437"/>
      <c r="BG192" s="438">
        <f>SUM(BG191)</f>
        <v>0</v>
      </c>
      <c r="BH192" s="450">
        <f>SUM(BH191)</f>
        <v>0</v>
      </c>
      <c r="BI192" s="437"/>
      <c r="BJ192" s="438">
        <f>SUM(BJ191)</f>
        <v>0</v>
      </c>
      <c r="BK192" s="450">
        <f>SUM(BK191)</f>
        <v>0</v>
      </c>
      <c r="BL192" s="437"/>
      <c r="BM192" s="438">
        <f>SUM(BM191)</f>
        <v>0</v>
      </c>
      <c r="BN192" s="450">
        <f>SUM(BN191)</f>
        <v>0</v>
      </c>
      <c r="BO192" s="437"/>
      <c r="BP192" s="438">
        <f>SUM(BP191)</f>
        <v>0</v>
      </c>
      <c r="BQ192" s="450">
        <f>SUM(BQ191)</f>
        <v>0</v>
      </c>
      <c r="BR192" s="437"/>
      <c r="BS192" s="438">
        <f>SUM(BS191)</f>
        <v>0</v>
      </c>
      <c r="BT192" s="450">
        <f>SUM(BT191)</f>
        <v>0</v>
      </c>
      <c r="BU192" s="437"/>
      <c r="BV192" s="438">
        <f>SUM(BV191)</f>
        <v>0</v>
      </c>
      <c r="BW192" s="451"/>
      <c r="BX192" s="451"/>
      <c r="BY192" s="451"/>
      <c r="BZ192" s="451"/>
      <c r="CA192" s="451"/>
      <c r="CB192" s="451"/>
      <c r="CC192" s="451"/>
      <c r="CD192" s="451"/>
      <c r="CE192" s="451"/>
      <c r="CF192" s="451"/>
      <c r="CG192" s="451"/>
      <c r="CH192" s="451"/>
      <c r="CI192" s="451"/>
      <c r="CJ192" s="451"/>
      <c r="CK192" s="451"/>
      <c r="CL192" s="451"/>
      <c r="CM192" s="451"/>
      <c r="CN192" s="451"/>
      <c r="CO192" s="451"/>
      <c r="CP192" s="451"/>
      <c r="CQ192" s="451"/>
      <c r="CR192" s="451"/>
      <c r="CS192" s="451"/>
      <c r="CT192" s="451"/>
      <c r="CU192" s="451"/>
      <c r="CV192" s="451"/>
      <c r="CW192" s="451"/>
      <c r="CX192" s="451"/>
      <c r="CY192" s="451"/>
      <c r="CZ192" s="451"/>
      <c r="DA192" s="451"/>
      <c r="DB192" s="451"/>
      <c r="DC192" s="451"/>
      <c r="DD192" s="451"/>
      <c r="DE192" s="451"/>
      <c r="DF192" s="451"/>
      <c r="DG192" s="451"/>
      <c r="DH192" s="451"/>
      <c r="DI192" s="451"/>
      <c r="DJ192" s="451"/>
      <c r="DK192" s="451"/>
      <c r="DL192" s="451"/>
      <c r="DM192" s="451"/>
      <c r="DN192" s="451"/>
      <c r="DO192" s="451"/>
      <c r="DP192" s="451"/>
      <c r="DQ192" s="451"/>
      <c r="DR192" s="451"/>
      <c r="DS192" s="451"/>
      <c r="DT192" s="451"/>
      <c r="DU192" s="451"/>
      <c r="DV192" s="451"/>
      <c r="DW192" s="451"/>
      <c r="DX192" s="451"/>
      <c r="DY192" s="451"/>
      <c r="DZ192" s="451"/>
      <c r="EA192" s="451"/>
      <c r="EB192" s="451"/>
      <c r="EC192" s="451"/>
      <c r="ED192" s="451"/>
      <c r="EE192" s="451"/>
      <c r="EF192" s="451"/>
      <c r="EG192" s="451"/>
      <c r="EH192" s="451"/>
      <c r="EI192" s="451"/>
      <c r="EJ192" s="451"/>
      <c r="EK192" s="451"/>
      <c r="EL192" s="451"/>
      <c r="EM192" s="451"/>
      <c r="EN192" s="451"/>
      <c r="EO192" s="451"/>
      <c r="EP192" s="451"/>
      <c r="EQ192" s="451"/>
      <c r="ER192" s="451"/>
      <c r="ES192" s="451"/>
      <c r="ET192" s="451"/>
      <c r="EU192" s="451"/>
      <c r="EV192" s="451"/>
      <c r="EW192" s="451"/>
      <c r="EX192" s="451"/>
    </row>
    <row r="193" spans="1:154" s="439" customFormat="1" x14ac:dyDescent="0.2">
      <c r="A193" s="439" t="s">
        <v>83</v>
      </c>
      <c r="B193" s="439" t="s">
        <v>52</v>
      </c>
      <c r="C193" s="445">
        <f>IF(C120&gt;0,IF(C169&gt;C145,((C169*C$79)-C120),C169*C$79),C169*C$79)</f>
        <v>201090</v>
      </c>
      <c r="D193" s="436">
        <f t="shared" si="13"/>
        <v>1.1000000000000001E-3</v>
      </c>
      <c r="E193" s="679">
        <f>C193*D193*E$8</f>
        <v>6857.1690000000008</v>
      </c>
      <c r="F193" s="445">
        <f>IF(F120&gt;0,IF(F169&gt;F145,((F169*F$79)-F120),F169*F$79),F169*F$79)</f>
        <v>195320</v>
      </c>
      <c r="G193" s="436">
        <f t="shared" si="14"/>
        <v>1.1000000000000001E-3</v>
      </c>
      <c r="H193" s="376">
        <f>F193*G193*H$8</f>
        <v>6015.8559999999998</v>
      </c>
      <c r="I193" s="445">
        <f>IF(I120&gt;0,IF(I169&gt;I145,((I169*I$79)-I120),I169*I$79),I169*I$79)</f>
        <v>185330</v>
      </c>
      <c r="J193" s="436">
        <f t="shared" si="15"/>
        <v>1.1000000000000001E-3</v>
      </c>
      <c r="K193" s="376">
        <f>I193*J193*K$8</f>
        <v>6319.7529999999997</v>
      </c>
      <c r="L193" s="445">
        <f>IF(L120&gt;0,IF(L169&gt;L145,((L169*L$79)-L120),L169*L$79),L169*L$79)</f>
        <v>176270</v>
      </c>
      <c r="M193" s="436">
        <f t="shared" si="16"/>
        <v>1.1000000000000001E-3</v>
      </c>
      <c r="N193" s="374">
        <f>L193*M193*N$8</f>
        <v>5816.9100000000008</v>
      </c>
      <c r="O193" s="700">
        <f>IF(O120&gt;0,IF(O169&gt;O145,((O169*O$79)-O120),O169*O$79),O169*O$79)</f>
        <v>172620</v>
      </c>
      <c r="P193" s="436">
        <f t="shared" si="17"/>
        <v>1.1000000000000001E-3</v>
      </c>
      <c r="Q193" s="376">
        <f>O193*P193*Q$8</f>
        <v>5886.3420000000006</v>
      </c>
      <c r="R193" s="445">
        <f>IF(R120&gt;0,IF(R169&gt;R145,((R169*R$79)-R120),R169*R$79),R169*R$79)</f>
        <v>168960</v>
      </c>
      <c r="S193" s="436">
        <f t="shared" si="18"/>
        <v>1.1000000000000001E-3</v>
      </c>
      <c r="T193" s="376">
        <f>R193*S193*T$8</f>
        <v>5575.68</v>
      </c>
      <c r="U193" s="445">
        <f>IF(U120&gt;0,IF(U169&gt;U145,((U169*U$79)-U120),U169*U$79),U169*U$79)</f>
        <v>212560</v>
      </c>
      <c r="V193" s="436">
        <f t="shared" si="19"/>
        <v>1.1000000000000001E-3</v>
      </c>
      <c r="W193" s="376">
        <f>U193*V193*W$8</f>
        <v>7248.2960000000003</v>
      </c>
      <c r="X193" s="445">
        <f>IF(X120&gt;0,IF(X169&gt;X145,((X169*X$79)-X120),X169*X$79),X169*X$79)</f>
        <v>189240</v>
      </c>
      <c r="Y193" s="436">
        <f t="shared" si="20"/>
        <v>1.1000000000000001E-3</v>
      </c>
      <c r="Z193" s="376">
        <f>X193*Y193*Z$8</f>
        <v>6453.0840000000007</v>
      </c>
      <c r="AA193" s="445">
        <f>IF(AA120&gt;0,IF(AA169&gt;AA145,((AA169*AA$79)-AA120),AA169*AA$79),AA169*AA$79)</f>
        <v>212950</v>
      </c>
      <c r="AB193" s="436">
        <f t="shared" si="21"/>
        <v>1.1000000000000001E-3</v>
      </c>
      <c r="AC193" s="376">
        <f>AA193*AB193*AC$8</f>
        <v>7027.35</v>
      </c>
      <c r="AD193" s="445">
        <f>IF(AD120&gt;0,IF(AD169&gt;AD145,((AD169*AD$79)-AD120),AD169*AD$79),AD169*AD$79)</f>
        <v>174560</v>
      </c>
      <c r="AE193" s="436">
        <f t="shared" si="22"/>
        <v>1.1000000000000001E-3</v>
      </c>
      <c r="AF193" s="376">
        <f>AD193*AE193*AF$8</f>
        <v>5952.496000000001</v>
      </c>
      <c r="AG193" s="445">
        <f>IF(AG120&gt;0,IF(AG169&gt;AG145,((AG169*AG$79)-AG120),AG169*AG$79),AG169*AG$79)</f>
        <v>169380</v>
      </c>
      <c r="AH193" s="436">
        <f t="shared" si="23"/>
        <v>1.1000000000000001E-3</v>
      </c>
      <c r="AI193" s="376">
        <f>AG193*AH193*AI$8</f>
        <v>5589.54</v>
      </c>
      <c r="AJ193" s="445">
        <f>IF(AJ120&gt;0,IF(AJ169&gt;AJ145,((AJ169*AJ$79)-AJ120),AJ169*AJ$79),AJ169*AJ$79)</f>
        <v>159240</v>
      </c>
      <c r="AK193" s="436">
        <f t="shared" si="24"/>
        <v>1.1000000000000001E-3</v>
      </c>
      <c r="AL193" s="376">
        <f>AJ193*AK193*AL$8</f>
        <v>5430.0840000000007</v>
      </c>
      <c r="AM193" s="445">
        <f>AM169*AM$79</f>
        <v>0</v>
      </c>
      <c r="AN193" s="436">
        <v>1.1000000000000001E-3</v>
      </c>
      <c r="AO193" s="376">
        <f>AM193*AN193*AO$8</f>
        <v>0</v>
      </c>
      <c r="AP193" s="445">
        <f>AP169*AP$79</f>
        <v>0</v>
      </c>
      <c r="AQ193" s="436">
        <v>1.1000000000000001E-3</v>
      </c>
      <c r="AR193" s="376">
        <f>AP193*AQ193*AR$8</f>
        <v>0</v>
      </c>
      <c r="AS193" s="445">
        <f>AS169*AS$79</f>
        <v>0</v>
      </c>
      <c r="AT193" s="436">
        <v>1.1000000000000001E-3</v>
      </c>
      <c r="AU193" s="376">
        <f>AS193*AT193*AU$8</f>
        <v>0</v>
      </c>
      <c r="AV193" s="445">
        <f>AV169*AV$79</f>
        <v>0</v>
      </c>
      <c r="AW193" s="436">
        <v>1.1000000000000001E-3</v>
      </c>
      <c r="AX193" s="376">
        <f>AV193*AW193*AX$8</f>
        <v>0</v>
      </c>
      <c r="AY193" s="445">
        <f>AY169*AY$79</f>
        <v>0</v>
      </c>
      <c r="AZ193" s="436">
        <v>1.1000000000000001E-3</v>
      </c>
      <c r="BA193" s="376">
        <f>AY193*AZ193*BA$8</f>
        <v>0</v>
      </c>
      <c r="BB193" s="445">
        <f>BB169*BB$79</f>
        <v>0</v>
      </c>
      <c r="BC193" s="436">
        <v>1.1000000000000001E-3</v>
      </c>
      <c r="BD193" s="376">
        <f>BB193*BC193*BD$8</f>
        <v>0</v>
      </c>
      <c r="BE193" s="445">
        <f>BE169*BE$79</f>
        <v>0</v>
      </c>
      <c r="BF193" s="436">
        <v>1.1000000000000001E-3</v>
      </c>
      <c r="BG193" s="376">
        <f>BE193*BF193*BG$8</f>
        <v>0</v>
      </c>
      <c r="BH193" s="445">
        <f>BH169*BH$79</f>
        <v>0</v>
      </c>
      <c r="BI193" s="436">
        <v>1.1000000000000001E-3</v>
      </c>
      <c r="BJ193" s="376">
        <f>BH193*BI193*BJ$8</f>
        <v>0</v>
      </c>
      <c r="BK193" s="445">
        <f>BK169*BK$79</f>
        <v>0</v>
      </c>
      <c r="BL193" s="436">
        <v>1.1000000000000001E-3</v>
      </c>
      <c r="BM193" s="376">
        <f>BK193*BL193*BM$8</f>
        <v>0</v>
      </c>
      <c r="BN193" s="445">
        <f>BN169*BN$79</f>
        <v>0</v>
      </c>
      <c r="BO193" s="436">
        <v>1.1000000000000001E-3</v>
      </c>
      <c r="BP193" s="376">
        <f>BN193*BO193*BP$8</f>
        <v>0</v>
      </c>
      <c r="BQ193" s="445">
        <f>BQ169*BQ$79</f>
        <v>0</v>
      </c>
      <c r="BR193" s="436">
        <v>1.1000000000000001E-3</v>
      </c>
      <c r="BS193" s="376">
        <f>BQ193*BR193*BS$8</f>
        <v>0</v>
      </c>
      <c r="BT193" s="445">
        <f>BT169*BT$79</f>
        <v>0</v>
      </c>
      <c r="BU193" s="436">
        <v>1.1000000000000001E-3</v>
      </c>
      <c r="BV193" s="376">
        <f>BT193*BU193*BV$8</f>
        <v>0</v>
      </c>
      <c r="BW193" s="446"/>
      <c r="BX193" s="446"/>
      <c r="BY193" s="446"/>
      <c r="BZ193" s="446"/>
      <c r="CA193" s="446"/>
      <c r="CB193" s="446"/>
      <c r="CC193" s="446"/>
      <c r="CD193" s="446"/>
      <c r="CE193" s="446"/>
      <c r="CF193" s="446"/>
      <c r="CG193" s="446"/>
      <c r="CH193" s="446"/>
      <c r="CI193" s="446"/>
      <c r="CJ193" s="446"/>
      <c r="CK193" s="446"/>
      <c r="CL193" s="446"/>
      <c r="CM193" s="446"/>
      <c r="CN193" s="446"/>
      <c r="CO193" s="446"/>
      <c r="CP193" s="446"/>
      <c r="CQ193" s="446"/>
      <c r="CR193" s="446"/>
      <c r="CS193" s="446"/>
      <c r="CT193" s="446"/>
      <c r="CU193" s="446"/>
      <c r="CV193" s="446"/>
      <c r="CW193" s="446"/>
      <c r="CX193" s="446"/>
      <c r="CY193" s="446"/>
      <c r="CZ193" s="446"/>
      <c r="DA193" s="446"/>
      <c r="DB193" s="446"/>
      <c r="DC193" s="446"/>
      <c r="DD193" s="446"/>
      <c r="DE193" s="446"/>
      <c r="DF193" s="446"/>
      <c r="DG193" s="446"/>
      <c r="DH193" s="446"/>
      <c r="DI193" s="446"/>
      <c r="DJ193" s="446"/>
      <c r="DK193" s="446"/>
      <c r="DL193" s="446"/>
      <c r="DM193" s="446"/>
      <c r="DN193" s="446"/>
      <c r="DO193" s="446"/>
      <c r="DP193" s="446"/>
      <c r="DQ193" s="446"/>
      <c r="DR193" s="446"/>
      <c r="DS193" s="446"/>
      <c r="DT193" s="446"/>
      <c r="DU193" s="446"/>
      <c r="DV193" s="446"/>
      <c r="DW193" s="446"/>
      <c r="DX193" s="446"/>
      <c r="DY193" s="446"/>
      <c r="DZ193" s="446"/>
      <c r="EA193" s="446"/>
      <c r="EB193" s="446"/>
      <c r="EC193" s="446"/>
      <c r="ED193" s="446"/>
      <c r="EE193" s="446"/>
      <c r="EF193" s="446"/>
      <c r="EG193" s="446"/>
      <c r="EH193" s="446"/>
      <c r="EI193" s="446"/>
      <c r="EJ193" s="446"/>
      <c r="EK193" s="446"/>
      <c r="EL193" s="446"/>
      <c r="EM193" s="446"/>
      <c r="EN193" s="446"/>
      <c r="EO193" s="446"/>
      <c r="EP193" s="446"/>
      <c r="EQ193" s="446"/>
      <c r="ER193" s="446"/>
      <c r="ES193" s="446"/>
      <c r="ET193" s="446"/>
      <c r="EU193" s="446"/>
      <c r="EV193" s="446"/>
      <c r="EW193" s="446"/>
      <c r="EX193" s="446"/>
    </row>
    <row r="194" spans="1:154" s="373" customFormat="1" x14ac:dyDescent="0.2">
      <c r="A194" s="373" t="s">
        <v>145</v>
      </c>
      <c r="C194" s="450">
        <f>SUM(C193)</f>
        <v>201090</v>
      </c>
      <c r="D194" s="436"/>
      <c r="E194" s="684">
        <f>SUM(E193)</f>
        <v>6857.1690000000008</v>
      </c>
      <c r="F194" s="450">
        <f>SUM(F193)</f>
        <v>195320</v>
      </c>
      <c r="G194" s="436"/>
      <c r="H194" s="438">
        <f>SUM(H193)</f>
        <v>6015.8559999999998</v>
      </c>
      <c r="I194" s="450">
        <f>SUM(I193)</f>
        <v>185330</v>
      </c>
      <c r="J194" s="436"/>
      <c r="K194" s="438">
        <f>SUM(K193)</f>
        <v>6319.7529999999997</v>
      </c>
      <c r="L194" s="450">
        <f>SUM(L193)</f>
        <v>176270</v>
      </c>
      <c r="M194" s="436"/>
      <c r="N194" s="695">
        <f>SUM(N193)</f>
        <v>5816.9100000000008</v>
      </c>
      <c r="O194" s="701">
        <f>SUM(O193)</f>
        <v>172620</v>
      </c>
      <c r="P194" s="436"/>
      <c r="Q194" s="438">
        <f>SUM(Q193)</f>
        <v>5886.3420000000006</v>
      </c>
      <c r="R194" s="450">
        <f>SUM(R193)</f>
        <v>168960</v>
      </c>
      <c r="S194" s="436"/>
      <c r="T194" s="438">
        <f>SUM(T193)</f>
        <v>5575.68</v>
      </c>
      <c r="U194" s="450">
        <f>SUM(U193)</f>
        <v>212560</v>
      </c>
      <c r="V194" s="436"/>
      <c r="W194" s="438">
        <f>SUM(W193)</f>
        <v>7248.2960000000003</v>
      </c>
      <c r="X194" s="450">
        <f>SUM(X193)</f>
        <v>189240</v>
      </c>
      <c r="Y194" s="436"/>
      <c r="Z194" s="438">
        <f>SUM(Z193)</f>
        <v>6453.0840000000007</v>
      </c>
      <c r="AA194" s="450">
        <f>SUM(AA193)</f>
        <v>212950</v>
      </c>
      <c r="AB194" s="436"/>
      <c r="AC194" s="438">
        <f>SUM(AC193)</f>
        <v>7027.35</v>
      </c>
      <c r="AD194" s="450">
        <f>SUM(AD193)</f>
        <v>174560</v>
      </c>
      <c r="AE194" s="436"/>
      <c r="AF194" s="438">
        <f>SUM(AF193)</f>
        <v>5952.496000000001</v>
      </c>
      <c r="AG194" s="450">
        <f>SUM(AG193)</f>
        <v>169380</v>
      </c>
      <c r="AH194" s="436"/>
      <c r="AI194" s="438">
        <f>SUM(AI193)</f>
        <v>5589.54</v>
      </c>
      <c r="AJ194" s="450">
        <f>SUM(AJ193)</f>
        <v>159240</v>
      </c>
      <c r="AK194" s="436"/>
      <c r="AL194" s="438">
        <f>SUM(AL193)</f>
        <v>5430.0840000000007</v>
      </c>
      <c r="AM194" s="450">
        <f>SUM(AM193)</f>
        <v>0</v>
      </c>
      <c r="AN194" s="437"/>
      <c r="AO194" s="438">
        <f>SUM(AO193)</f>
        <v>0</v>
      </c>
      <c r="AP194" s="450">
        <f>SUM(AP193)</f>
        <v>0</v>
      </c>
      <c r="AQ194" s="437"/>
      <c r="AR194" s="438">
        <f>SUM(AR193)</f>
        <v>0</v>
      </c>
      <c r="AS194" s="450">
        <f>SUM(AS193)</f>
        <v>0</v>
      </c>
      <c r="AT194" s="437"/>
      <c r="AU194" s="438">
        <f>SUM(AU193)</f>
        <v>0</v>
      </c>
      <c r="AV194" s="450">
        <f>SUM(AV193)</f>
        <v>0</v>
      </c>
      <c r="AW194" s="437"/>
      <c r="AX194" s="438">
        <f>SUM(AX193)</f>
        <v>0</v>
      </c>
      <c r="AY194" s="450">
        <f>SUM(AY193)</f>
        <v>0</v>
      </c>
      <c r="AZ194" s="437"/>
      <c r="BA194" s="438">
        <f>SUM(BA193)</f>
        <v>0</v>
      </c>
      <c r="BB194" s="450">
        <f>SUM(BB193)</f>
        <v>0</v>
      </c>
      <c r="BC194" s="437"/>
      <c r="BD194" s="438">
        <f>SUM(BD193)</f>
        <v>0</v>
      </c>
      <c r="BE194" s="450">
        <f>SUM(BE193)</f>
        <v>0</v>
      </c>
      <c r="BF194" s="437"/>
      <c r="BG194" s="438">
        <f>SUM(BG193)</f>
        <v>0</v>
      </c>
      <c r="BH194" s="450">
        <f>SUM(BH193)</f>
        <v>0</v>
      </c>
      <c r="BI194" s="437"/>
      <c r="BJ194" s="438">
        <f>SUM(BJ193)</f>
        <v>0</v>
      </c>
      <c r="BK194" s="450">
        <f>SUM(BK193)</f>
        <v>0</v>
      </c>
      <c r="BL194" s="437"/>
      <c r="BM194" s="438">
        <f>SUM(BM193)</f>
        <v>0</v>
      </c>
      <c r="BN194" s="450">
        <f>SUM(BN193)</f>
        <v>0</v>
      </c>
      <c r="BO194" s="437"/>
      <c r="BP194" s="438">
        <f>SUM(BP193)</f>
        <v>0</v>
      </c>
      <c r="BQ194" s="450">
        <f>SUM(BQ193)</f>
        <v>0</v>
      </c>
      <c r="BR194" s="437"/>
      <c r="BS194" s="438">
        <f>SUM(BS193)</f>
        <v>0</v>
      </c>
      <c r="BT194" s="450">
        <f>SUM(BT193)</f>
        <v>0</v>
      </c>
      <c r="BU194" s="437"/>
      <c r="BV194" s="438">
        <f>SUM(BV193)</f>
        <v>0</v>
      </c>
      <c r="BW194" s="451"/>
      <c r="BX194" s="451"/>
      <c r="BY194" s="451"/>
      <c r="BZ194" s="451"/>
      <c r="CA194" s="451"/>
      <c r="CB194" s="451"/>
      <c r="CC194" s="451"/>
      <c r="CD194" s="451"/>
      <c r="CE194" s="451"/>
      <c r="CF194" s="451"/>
      <c r="CG194" s="451"/>
      <c r="CH194" s="451"/>
      <c r="CI194" s="451"/>
      <c r="CJ194" s="451"/>
      <c r="CK194" s="451"/>
      <c r="CL194" s="451"/>
      <c r="CM194" s="451"/>
      <c r="CN194" s="451"/>
      <c r="CO194" s="451"/>
      <c r="CP194" s="451"/>
      <c r="CQ194" s="451"/>
      <c r="CR194" s="451"/>
      <c r="CS194" s="451"/>
      <c r="CT194" s="451"/>
      <c r="CU194" s="451"/>
      <c r="CV194" s="451"/>
      <c r="CW194" s="451"/>
      <c r="CX194" s="451"/>
      <c r="CY194" s="451"/>
      <c r="CZ194" s="451"/>
      <c r="DA194" s="451"/>
      <c r="DB194" s="451"/>
      <c r="DC194" s="451"/>
      <c r="DD194" s="451"/>
      <c r="DE194" s="451"/>
      <c r="DF194" s="451"/>
      <c r="DG194" s="451"/>
      <c r="DH194" s="451"/>
      <c r="DI194" s="451"/>
      <c r="DJ194" s="451"/>
      <c r="DK194" s="451"/>
      <c r="DL194" s="451"/>
      <c r="DM194" s="451"/>
      <c r="DN194" s="451"/>
      <c r="DO194" s="451"/>
      <c r="DP194" s="451"/>
      <c r="DQ194" s="451"/>
      <c r="DR194" s="451"/>
      <c r="DS194" s="451"/>
      <c r="DT194" s="451"/>
      <c r="DU194" s="451"/>
      <c r="DV194" s="451"/>
      <c r="DW194" s="451"/>
      <c r="DX194" s="451"/>
      <c r="DY194" s="451"/>
      <c r="DZ194" s="451"/>
      <c r="EA194" s="451"/>
      <c r="EB194" s="451"/>
      <c r="EC194" s="451"/>
      <c r="ED194" s="451"/>
      <c r="EE194" s="451"/>
      <c r="EF194" s="451"/>
      <c r="EG194" s="451"/>
      <c r="EH194" s="451"/>
      <c r="EI194" s="451"/>
      <c r="EJ194" s="451"/>
      <c r="EK194" s="451"/>
      <c r="EL194" s="451"/>
      <c r="EM194" s="451"/>
      <c r="EN194" s="451"/>
      <c r="EO194" s="451"/>
      <c r="EP194" s="451"/>
      <c r="EQ194" s="451"/>
      <c r="ER194" s="451"/>
      <c r="ES194" s="451"/>
      <c r="ET194" s="451"/>
      <c r="EU194" s="451"/>
      <c r="EV194" s="451"/>
      <c r="EW194" s="451"/>
      <c r="EX194" s="451"/>
    </row>
    <row r="195" spans="1:154" s="439" customFormat="1" x14ac:dyDescent="0.2">
      <c r="A195" s="439" t="s">
        <v>136</v>
      </c>
      <c r="B195" s="439" t="s">
        <v>52</v>
      </c>
      <c r="C195" s="445">
        <f>IF(C122&gt;0,IF(C171&gt;C147,((C171*C$80)-C122),C171*C$80),C171*C$80)</f>
        <v>0</v>
      </c>
      <c r="D195" s="436">
        <f t="shared" si="13"/>
        <v>1.1000000000000001E-3</v>
      </c>
      <c r="E195" s="679">
        <f>C195*D195*E$8</f>
        <v>0</v>
      </c>
      <c r="F195" s="445">
        <f>IF(F122&gt;0,IF(F171&gt;F147,((F171*F$80)-F122),F171*F$80),F171*F$80)</f>
        <v>0</v>
      </c>
      <c r="G195" s="436">
        <f t="shared" si="14"/>
        <v>1.1000000000000001E-3</v>
      </c>
      <c r="H195" s="376">
        <f>F195*G195*H$8</f>
        <v>0</v>
      </c>
      <c r="I195" s="445">
        <f>IF(I122&gt;0,IF(I171&gt;I147,((I171*I$80)-I122),I171*I$80),I171*I$80)</f>
        <v>0</v>
      </c>
      <c r="J195" s="436">
        <f t="shared" si="15"/>
        <v>1.1000000000000001E-3</v>
      </c>
      <c r="K195" s="376">
        <f>I195*J195*K$8</f>
        <v>0</v>
      </c>
      <c r="L195" s="445">
        <f>IF(L122&gt;0,IF(L171&gt;L147,((L171*L$80)-L122),L171*L$80),L171*L$80)</f>
        <v>0</v>
      </c>
      <c r="M195" s="436">
        <f t="shared" si="16"/>
        <v>1.1000000000000001E-3</v>
      </c>
      <c r="N195" s="374">
        <f>L195*M195*N$8</f>
        <v>0</v>
      </c>
      <c r="O195" s="700">
        <f>IF(O122&gt;0,IF(O171&gt;O147,((O171*O$80)-O122),O171*O$80),O171*O$80)</f>
        <v>0</v>
      </c>
      <c r="P195" s="436">
        <f t="shared" si="17"/>
        <v>1.1000000000000001E-3</v>
      </c>
      <c r="Q195" s="376">
        <f>O195*P195*Q$8</f>
        <v>0</v>
      </c>
      <c r="R195" s="445">
        <f>IF(R122&gt;0,IF(R171&gt;R147,((R171*R$80)-R122),R171*R$80),R171*R$80)</f>
        <v>0</v>
      </c>
      <c r="S195" s="436">
        <f t="shared" si="18"/>
        <v>1.1000000000000001E-3</v>
      </c>
      <c r="T195" s="376">
        <f>R195*S195*T$8</f>
        <v>0</v>
      </c>
      <c r="U195" s="445">
        <f>IF(U122&gt;0,IF(U171&gt;U147,((U171*U$80)-U122),U171*U$80),U171*U$80)</f>
        <v>0</v>
      </c>
      <c r="V195" s="436">
        <f t="shared" si="19"/>
        <v>1.1000000000000001E-3</v>
      </c>
      <c r="W195" s="376">
        <f>U195*V195*W$8</f>
        <v>0</v>
      </c>
      <c r="X195" s="445">
        <f>IF(X122&gt;0,IF(X171&gt;X147,((X171*X$80)-X122),X171*X$80),X171*X$80)</f>
        <v>0</v>
      </c>
      <c r="Y195" s="436">
        <f t="shared" si="20"/>
        <v>1.1000000000000001E-3</v>
      </c>
      <c r="Z195" s="376">
        <f>X195*Y195*Z$8</f>
        <v>0</v>
      </c>
      <c r="AA195" s="445">
        <f>IF(AA122&gt;0,IF(AA171&gt;AA147,((AA171*AA$80)-AA122),AA171*AA$80),AA171*AA$80)</f>
        <v>0</v>
      </c>
      <c r="AB195" s="436">
        <f t="shared" si="21"/>
        <v>1.1000000000000001E-3</v>
      </c>
      <c r="AC195" s="376">
        <f>AA195*AB195*AC$8</f>
        <v>0</v>
      </c>
      <c r="AD195" s="445">
        <f>IF(AD122&gt;0,IF(AD171&gt;AD147,((AD171*AD$80)-AD122),AD171*AD$80),AD171*AD$80)</f>
        <v>0</v>
      </c>
      <c r="AE195" s="436">
        <f t="shared" si="22"/>
        <v>1.1000000000000001E-3</v>
      </c>
      <c r="AF195" s="376">
        <f>AD195*AE195*AF$8</f>
        <v>0</v>
      </c>
      <c r="AG195" s="445">
        <f>IF(AG122&gt;0,IF(AG171&gt;AG147,((AG171*AG$80)-AG122),AG171*AG$80),AG171*AG$80)</f>
        <v>0</v>
      </c>
      <c r="AH195" s="436">
        <f t="shared" si="23"/>
        <v>1.1000000000000001E-3</v>
      </c>
      <c r="AI195" s="376">
        <f>AG195*AH195*AI$8</f>
        <v>0</v>
      </c>
      <c r="AJ195" s="445">
        <f>IF(AJ122&gt;0,IF(AJ171&gt;AJ147,((AJ171*AJ$80)-AJ122),AJ171*AJ$80),AJ171*AJ$80)</f>
        <v>0</v>
      </c>
      <c r="AK195" s="436">
        <f t="shared" si="24"/>
        <v>1.1000000000000001E-3</v>
      </c>
      <c r="AL195" s="376">
        <f>AJ195*AK195*AL$8</f>
        <v>0</v>
      </c>
      <c r="AM195" s="445">
        <f>AM171*AM$80</f>
        <v>0</v>
      </c>
      <c r="AN195" s="436">
        <v>1.1000000000000001E-3</v>
      </c>
      <c r="AO195" s="376">
        <f>AM195*AN195*AO$8</f>
        <v>0</v>
      </c>
      <c r="AP195" s="445">
        <f>AP171*AP$80</f>
        <v>0</v>
      </c>
      <c r="AQ195" s="436">
        <v>1.1000000000000001E-3</v>
      </c>
      <c r="AR195" s="376">
        <f>AP195*AQ195*AR$8</f>
        <v>0</v>
      </c>
      <c r="AS195" s="445">
        <f>AS171*AS$80</f>
        <v>0</v>
      </c>
      <c r="AT195" s="436">
        <v>1.1000000000000001E-3</v>
      </c>
      <c r="AU195" s="376">
        <f>AS195*AT195*AU$8</f>
        <v>0</v>
      </c>
      <c r="AV195" s="445">
        <f>AV171*AV$80</f>
        <v>0</v>
      </c>
      <c r="AW195" s="436">
        <v>1.1000000000000001E-3</v>
      </c>
      <c r="AX195" s="376">
        <f>AV195*AW195*AX$8</f>
        <v>0</v>
      </c>
      <c r="AY195" s="445">
        <f>AY171*AY$80</f>
        <v>0</v>
      </c>
      <c r="AZ195" s="436">
        <v>1.1000000000000001E-3</v>
      </c>
      <c r="BA195" s="376">
        <f>AY195*AZ195*BA$8</f>
        <v>0</v>
      </c>
      <c r="BB195" s="445">
        <f>BB171*BB$80</f>
        <v>0</v>
      </c>
      <c r="BC195" s="436">
        <v>1.1000000000000001E-3</v>
      </c>
      <c r="BD195" s="376">
        <f>BB195*BC195*BD$8</f>
        <v>0</v>
      </c>
      <c r="BE195" s="445">
        <f>BE171*BE$80</f>
        <v>0</v>
      </c>
      <c r="BF195" s="436">
        <v>1.1000000000000001E-3</v>
      </c>
      <c r="BG195" s="376">
        <f>BE195*BF195*BG$8</f>
        <v>0</v>
      </c>
      <c r="BH195" s="445">
        <f>BH171*BH$80</f>
        <v>0</v>
      </c>
      <c r="BI195" s="436">
        <v>1.1000000000000001E-3</v>
      </c>
      <c r="BJ195" s="376">
        <f>BH195*BI195*BJ$8</f>
        <v>0</v>
      </c>
      <c r="BK195" s="445">
        <f>BK171*BK$80</f>
        <v>0</v>
      </c>
      <c r="BL195" s="436">
        <v>1.1000000000000001E-3</v>
      </c>
      <c r="BM195" s="376">
        <f>BK195*BL195*BM$8</f>
        <v>0</v>
      </c>
      <c r="BN195" s="445">
        <f>BN171*BN$80</f>
        <v>0</v>
      </c>
      <c r="BO195" s="436">
        <v>1.1000000000000001E-3</v>
      </c>
      <c r="BP195" s="376">
        <f>BN195*BO195*BP$8</f>
        <v>0</v>
      </c>
      <c r="BQ195" s="445">
        <f>BQ171*BQ$80</f>
        <v>0</v>
      </c>
      <c r="BR195" s="436">
        <v>1.1000000000000001E-3</v>
      </c>
      <c r="BS195" s="376">
        <f>BQ195*BR195*BS$8</f>
        <v>0</v>
      </c>
      <c r="BT195" s="445">
        <f>BT171*BT$80</f>
        <v>0</v>
      </c>
      <c r="BU195" s="436">
        <v>1.1000000000000001E-3</v>
      </c>
      <c r="BV195" s="376">
        <f>BT195*BU195*BV$8</f>
        <v>0</v>
      </c>
      <c r="BW195" s="446"/>
      <c r="BX195" s="446"/>
      <c r="BY195" s="446"/>
      <c r="BZ195" s="446"/>
      <c r="CA195" s="446"/>
      <c r="CB195" s="446"/>
      <c r="CC195" s="446"/>
      <c r="CD195" s="446"/>
      <c r="CE195" s="446"/>
      <c r="CF195" s="446"/>
      <c r="CG195" s="446"/>
      <c r="CH195" s="446"/>
      <c r="CI195" s="446"/>
      <c r="CJ195" s="446"/>
      <c r="CK195" s="446"/>
      <c r="CL195" s="446"/>
      <c r="CM195" s="446"/>
      <c r="CN195" s="446"/>
      <c r="CO195" s="446"/>
      <c r="CP195" s="446"/>
      <c r="CQ195" s="446"/>
      <c r="CR195" s="446"/>
      <c r="CS195" s="446"/>
      <c r="CT195" s="446"/>
      <c r="CU195" s="446"/>
      <c r="CV195" s="446"/>
      <c r="CW195" s="446"/>
      <c r="CX195" s="446"/>
      <c r="CY195" s="446"/>
      <c r="CZ195" s="446"/>
      <c r="DA195" s="446"/>
      <c r="DB195" s="446"/>
      <c r="DC195" s="446"/>
      <c r="DD195" s="446"/>
      <c r="DE195" s="446"/>
      <c r="DF195" s="446"/>
      <c r="DG195" s="446"/>
      <c r="DH195" s="446"/>
      <c r="DI195" s="446"/>
      <c r="DJ195" s="446"/>
      <c r="DK195" s="446"/>
      <c r="DL195" s="446"/>
      <c r="DM195" s="446"/>
      <c r="DN195" s="446"/>
      <c r="DO195" s="446"/>
      <c r="DP195" s="446"/>
      <c r="DQ195" s="446"/>
      <c r="DR195" s="446"/>
      <c r="DS195" s="446"/>
      <c r="DT195" s="446"/>
      <c r="DU195" s="446"/>
      <c r="DV195" s="446"/>
      <c r="DW195" s="446"/>
      <c r="DX195" s="446"/>
      <c r="DY195" s="446"/>
      <c r="DZ195" s="446"/>
      <c r="EA195" s="446"/>
      <c r="EB195" s="446"/>
      <c r="EC195" s="446"/>
      <c r="ED195" s="446"/>
      <c r="EE195" s="446"/>
      <c r="EF195" s="446"/>
      <c r="EG195" s="446"/>
      <c r="EH195" s="446"/>
      <c r="EI195" s="446"/>
      <c r="EJ195" s="446"/>
      <c r="EK195" s="446"/>
      <c r="EL195" s="446"/>
      <c r="EM195" s="446"/>
      <c r="EN195" s="446"/>
      <c r="EO195" s="446"/>
      <c r="EP195" s="446"/>
      <c r="EQ195" s="446"/>
      <c r="ER195" s="446"/>
      <c r="ES195" s="446"/>
      <c r="ET195" s="446"/>
      <c r="EU195" s="446"/>
      <c r="EV195" s="446"/>
      <c r="EW195" s="446"/>
      <c r="EX195" s="446"/>
    </row>
    <row r="196" spans="1:154" s="439" customFormat="1" x14ac:dyDescent="0.2">
      <c r="A196" s="439" t="s">
        <v>137</v>
      </c>
      <c r="B196" s="439" t="s">
        <v>52</v>
      </c>
      <c r="C196" s="445">
        <f>IF(C123&gt;0,IF(C172&gt;C148,((C172*C$80)-C123),C172*C$80),C172*C$80)</f>
        <v>0</v>
      </c>
      <c r="D196" s="436">
        <f t="shared" si="13"/>
        <v>1.1000000000000001E-3</v>
      </c>
      <c r="E196" s="679">
        <f>C196*D196*E$8</f>
        <v>0</v>
      </c>
      <c r="F196" s="445">
        <f>IF(F123&gt;0,IF(F172&gt;F148,((F172*F$80)-F123),F172*F$80),F172*F$80)</f>
        <v>0</v>
      </c>
      <c r="G196" s="436">
        <f t="shared" si="14"/>
        <v>1.1000000000000001E-3</v>
      </c>
      <c r="H196" s="376">
        <f>F196*G196*H$8</f>
        <v>0</v>
      </c>
      <c r="I196" s="445">
        <f>IF(I123&gt;0,IF(I172&gt;I148,((I172*I$80)-I123),I172*I$80),I172*I$80)</f>
        <v>0</v>
      </c>
      <c r="J196" s="436">
        <f t="shared" si="15"/>
        <v>1.1000000000000001E-3</v>
      </c>
      <c r="K196" s="376">
        <f>I196*J196*K$8</f>
        <v>0</v>
      </c>
      <c r="L196" s="445">
        <f>IF(L123&gt;0,IF(L172&gt;L148,((L172*L$80)-L123),L172*L$80),L172*L$80)</f>
        <v>0</v>
      </c>
      <c r="M196" s="436">
        <f t="shared" si="16"/>
        <v>1.1000000000000001E-3</v>
      </c>
      <c r="N196" s="374">
        <f>L196*M196*N$8</f>
        <v>0</v>
      </c>
      <c r="O196" s="700">
        <f>IF(O123&gt;0,IF(O172&gt;O148,((O172*O$80)-O123),O172*O$80),O172*O$80)</f>
        <v>0</v>
      </c>
      <c r="P196" s="436">
        <f t="shared" si="17"/>
        <v>1.1000000000000001E-3</v>
      </c>
      <c r="Q196" s="376">
        <f>O196*P196*Q$8</f>
        <v>0</v>
      </c>
      <c r="R196" s="445">
        <f>IF(R123&gt;0,IF(R172&gt;R148,((R172*R$80)-R123),R172*R$80),R172*R$80)</f>
        <v>0</v>
      </c>
      <c r="S196" s="436">
        <f t="shared" si="18"/>
        <v>1.1000000000000001E-3</v>
      </c>
      <c r="T196" s="376">
        <f>R196*S196*T$8</f>
        <v>0</v>
      </c>
      <c r="U196" s="445">
        <f>IF(U123&gt;0,IF(U172&gt;U148,((U172*U$80)-U123),U172*U$80),U172*U$80)</f>
        <v>0</v>
      </c>
      <c r="V196" s="436">
        <f t="shared" si="19"/>
        <v>1.1000000000000001E-3</v>
      </c>
      <c r="W196" s="376">
        <f>U196*V196*W$8</f>
        <v>0</v>
      </c>
      <c r="X196" s="445">
        <f>IF(X123&gt;0,IF(X172&gt;X148,((X172*X$80)-X123),X172*X$80),X172*X$80)</f>
        <v>0</v>
      </c>
      <c r="Y196" s="436">
        <f t="shared" si="20"/>
        <v>1.1000000000000001E-3</v>
      </c>
      <c r="Z196" s="376">
        <f>X196*Y196*Z$8</f>
        <v>0</v>
      </c>
      <c r="AA196" s="445">
        <f>IF(AA123&gt;0,IF(AA172&gt;AA148,((AA172*AA$80)-AA123),AA172*AA$80),AA172*AA$80)</f>
        <v>0</v>
      </c>
      <c r="AB196" s="436">
        <f t="shared" si="21"/>
        <v>1.1000000000000001E-3</v>
      </c>
      <c r="AC196" s="376">
        <f>AA196*AB196*AC$8</f>
        <v>0</v>
      </c>
      <c r="AD196" s="445">
        <f>IF(AD123&gt;0,IF(AD172&gt;AD148,((AD172*AD$80)-AD123),AD172*AD$80),AD172*AD$80)</f>
        <v>0</v>
      </c>
      <c r="AE196" s="436">
        <f t="shared" si="22"/>
        <v>1.1000000000000001E-3</v>
      </c>
      <c r="AF196" s="376">
        <f>AD196*AE196*AF$8</f>
        <v>0</v>
      </c>
      <c r="AG196" s="445">
        <f>IF(AG123&gt;0,IF(AG172&gt;AG148,((AG172*AG$80)-AG123),AG172*AG$80),AG172*AG$80)</f>
        <v>0</v>
      </c>
      <c r="AH196" s="436">
        <f t="shared" si="23"/>
        <v>1.1000000000000001E-3</v>
      </c>
      <c r="AI196" s="376">
        <f>AG196*AH196*AI$8</f>
        <v>0</v>
      </c>
      <c r="AJ196" s="445">
        <f>IF(AJ123&gt;0,IF(AJ172&gt;AJ148,((AJ172*AJ$80)-AJ123),AJ172*AJ$80),AJ172*AJ$80)</f>
        <v>0</v>
      </c>
      <c r="AK196" s="436">
        <f t="shared" si="24"/>
        <v>1.1000000000000001E-3</v>
      </c>
      <c r="AL196" s="376">
        <f>AJ196*AK196*AL$8</f>
        <v>0</v>
      </c>
      <c r="AM196" s="445">
        <f>AM172*AM$80</f>
        <v>-405875</v>
      </c>
      <c r="AN196" s="436">
        <v>1.1000000000000001E-3</v>
      </c>
      <c r="AO196" s="376">
        <f>AM196*AN196*AO$8</f>
        <v>-13840.337500000001</v>
      </c>
      <c r="AP196" s="445">
        <f>AP172*AP$80</f>
        <v>0</v>
      </c>
      <c r="AQ196" s="436">
        <v>1.1000000000000001E-3</v>
      </c>
      <c r="AR196" s="376">
        <f>AP196*AQ196*AR$8</f>
        <v>0</v>
      </c>
      <c r="AS196" s="445">
        <f>AS172*AS$80</f>
        <v>0</v>
      </c>
      <c r="AT196" s="436">
        <v>1.1000000000000001E-3</v>
      </c>
      <c r="AU196" s="376">
        <f>AS196*AT196*AU$8</f>
        <v>0</v>
      </c>
      <c r="AV196" s="445">
        <f>AV172*AV$80</f>
        <v>0</v>
      </c>
      <c r="AW196" s="436">
        <v>1.1000000000000001E-3</v>
      </c>
      <c r="AX196" s="376">
        <f>AV196*AW196*AX$8</f>
        <v>0</v>
      </c>
      <c r="AY196" s="445">
        <f>AY172*AY$80</f>
        <v>0</v>
      </c>
      <c r="AZ196" s="436">
        <v>1.1000000000000001E-3</v>
      </c>
      <c r="BA196" s="376">
        <f>AY196*AZ196*BA$8</f>
        <v>0</v>
      </c>
      <c r="BB196" s="445">
        <f>BB172*BB$80</f>
        <v>0</v>
      </c>
      <c r="BC196" s="436">
        <v>1.1000000000000001E-3</v>
      </c>
      <c r="BD196" s="376">
        <f>BB196*BC196*BD$8</f>
        <v>0</v>
      </c>
      <c r="BE196" s="445">
        <f>BE172*BE$80</f>
        <v>0</v>
      </c>
      <c r="BF196" s="436">
        <v>1.1000000000000001E-3</v>
      </c>
      <c r="BG196" s="376">
        <f>BE196*BF196*BG$8</f>
        <v>0</v>
      </c>
      <c r="BH196" s="445">
        <f>BH172*BH$80</f>
        <v>0</v>
      </c>
      <c r="BI196" s="436">
        <v>1.1000000000000001E-3</v>
      </c>
      <c r="BJ196" s="376">
        <f>BH196*BI196*BJ$8</f>
        <v>0</v>
      </c>
      <c r="BK196" s="445">
        <f>BK172*BK$80</f>
        <v>0</v>
      </c>
      <c r="BL196" s="436">
        <v>1.1000000000000001E-3</v>
      </c>
      <c r="BM196" s="376">
        <f>BK196*BL196*BM$8</f>
        <v>0</v>
      </c>
      <c r="BN196" s="445">
        <f>BN172*BN$80</f>
        <v>0</v>
      </c>
      <c r="BO196" s="436">
        <v>1.1000000000000001E-3</v>
      </c>
      <c r="BP196" s="376">
        <f>BN196*BO196*BP$8</f>
        <v>0</v>
      </c>
      <c r="BQ196" s="445">
        <f>BQ172*BQ$80</f>
        <v>0</v>
      </c>
      <c r="BR196" s="436">
        <v>1.1000000000000001E-3</v>
      </c>
      <c r="BS196" s="376">
        <f>BQ196*BR196*BS$8</f>
        <v>0</v>
      </c>
      <c r="BT196" s="445">
        <f>BT172*BT$80</f>
        <v>0</v>
      </c>
      <c r="BU196" s="436">
        <v>1.1000000000000001E-3</v>
      </c>
      <c r="BV196" s="376">
        <f>BT196*BU196*BV$8</f>
        <v>0</v>
      </c>
      <c r="BW196" s="446"/>
      <c r="BX196" s="446"/>
      <c r="BY196" s="446"/>
      <c r="BZ196" s="446"/>
      <c r="CA196" s="446"/>
      <c r="CB196" s="446"/>
      <c r="CC196" s="446"/>
      <c r="CD196" s="446"/>
      <c r="CE196" s="446"/>
      <c r="CF196" s="446"/>
      <c r="CG196" s="446"/>
      <c r="CH196" s="446"/>
      <c r="CI196" s="446"/>
      <c r="CJ196" s="446"/>
      <c r="CK196" s="446"/>
      <c r="CL196" s="446"/>
      <c r="CM196" s="446"/>
      <c r="CN196" s="446"/>
      <c r="CO196" s="446"/>
      <c r="CP196" s="446"/>
      <c r="CQ196" s="446"/>
      <c r="CR196" s="446"/>
      <c r="CS196" s="446"/>
      <c r="CT196" s="446"/>
      <c r="CU196" s="446"/>
      <c r="CV196" s="446"/>
      <c r="CW196" s="446"/>
      <c r="CX196" s="446"/>
      <c r="CY196" s="446"/>
      <c r="CZ196" s="446"/>
      <c r="DA196" s="446"/>
      <c r="DB196" s="446"/>
      <c r="DC196" s="446"/>
      <c r="DD196" s="446"/>
      <c r="DE196" s="446"/>
      <c r="DF196" s="446"/>
      <c r="DG196" s="446"/>
      <c r="DH196" s="446"/>
      <c r="DI196" s="446"/>
      <c r="DJ196" s="446"/>
      <c r="DK196" s="446"/>
      <c r="DL196" s="446"/>
      <c r="DM196" s="446"/>
      <c r="DN196" s="446"/>
      <c r="DO196" s="446"/>
      <c r="DP196" s="446"/>
      <c r="DQ196" s="446"/>
      <c r="DR196" s="446"/>
      <c r="DS196" s="446"/>
      <c r="DT196" s="446"/>
      <c r="DU196" s="446"/>
      <c r="DV196" s="446"/>
      <c r="DW196" s="446"/>
      <c r="DX196" s="446"/>
      <c r="DY196" s="446"/>
      <c r="DZ196" s="446"/>
      <c r="EA196" s="446"/>
      <c r="EB196" s="446"/>
      <c r="EC196" s="446"/>
      <c r="ED196" s="446"/>
      <c r="EE196" s="446"/>
      <c r="EF196" s="446"/>
      <c r="EG196" s="446"/>
      <c r="EH196" s="446"/>
      <c r="EI196" s="446"/>
      <c r="EJ196" s="446"/>
      <c r="EK196" s="446"/>
      <c r="EL196" s="446"/>
      <c r="EM196" s="446"/>
      <c r="EN196" s="446"/>
      <c r="EO196" s="446"/>
      <c r="EP196" s="446"/>
      <c r="EQ196" s="446"/>
      <c r="ER196" s="446"/>
      <c r="ES196" s="446"/>
      <c r="ET196" s="446"/>
      <c r="EU196" s="446"/>
      <c r="EV196" s="446"/>
      <c r="EW196" s="446"/>
      <c r="EX196" s="446"/>
    </row>
    <row r="197" spans="1:154" s="373" customFormat="1" x14ac:dyDescent="0.2">
      <c r="A197" s="373" t="s">
        <v>144</v>
      </c>
      <c r="C197" s="450">
        <f>SUM(C195:C196)</f>
        <v>0</v>
      </c>
      <c r="D197" s="436"/>
      <c r="E197" s="684">
        <f>SUM(E195:E196)</f>
        <v>0</v>
      </c>
      <c r="F197" s="450">
        <f>SUM(F195:F196)</f>
        <v>0</v>
      </c>
      <c r="G197" s="436"/>
      <c r="H197" s="438">
        <f>SUM(H195:H196)</f>
        <v>0</v>
      </c>
      <c r="I197" s="450">
        <f>SUM(I195:I196)</f>
        <v>0</v>
      </c>
      <c r="J197" s="436"/>
      <c r="K197" s="438">
        <f>SUM(K195:K196)</f>
        <v>0</v>
      </c>
      <c r="L197" s="450">
        <f>SUM(L195:L196)</f>
        <v>0</v>
      </c>
      <c r="M197" s="436"/>
      <c r="N197" s="695">
        <f>SUM(N195:N196)</f>
        <v>0</v>
      </c>
      <c r="O197" s="701">
        <f>SUM(O195:O196)</f>
        <v>0</v>
      </c>
      <c r="P197" s="436"/>
      <c r="Q197" s="438">
        <f>SUM(Q195:Q196)</f>
        <v>0</v>
      </c>
      <c r="R197" s="450">
        <f>SUM(R195:R196)</f>
        <v>0</v>
      </c>
      <c r="S197" s="436"/>
      <c r="T197" s="438">
        <f>SUM(T195:T196)</f>
        <v>0</v>
      </c>
      <c r="U197" s="450">
        <f>SUM(U195:U196)</f>
        <v>0</v>
      </c>
      <c r="V197" s="436"/>
      <c r="W197" s="438">
        <f>SUM(W195:W196)</f>
        <v>0</v>
      </c>
      <c r="X197" s="450">
        <f>SUM(X195:X196)</f>
        <v>0</v>
      </c>
      <c r="Y197" s="436"/>
      <c r="Z197" s="438">
        <f>SUM(Z195:Z196)</f>
        <v>0</v>
      </c>
      <c r="AA197" s="450">
        <f>SUM(AA195:AA196)</f>
        <v>0</v>
      </c>
      <c r="AB197" s="436"/>
      <c r="AC197" s="438">
        <f>SUM(AC195:AC196)</f>
        <v>0</v>
      </c>
      <c r="AD197" s="450">
        <f>SUM(AD195:AD196)</f>
        <v>0</v>
      </c>
      <c r="AE197" s="436"/>
      <c r="AF197" s="438">
        <f>SUM(AF195:AF196)</f>
        <v>0</v>
      </c>
      <c r="AG197" s="450">
        <f>SUM(AG195:AG196)</f>
        <v>0</v>
      </c>
      <c r="AH197" s="436"/>
      <c r="AI197" s="438">
        <f>SUM(AI195:AI196)</f>
        <v>0</v>
      </c>
      <c r="AJ197" s="450">
        <f>SUM(AJ195:AJ196)</f>
        <v>0</v>
      </c>
      <c r="AK197" s="436"/>
      <c r="AL197" s="438">
        <f>SUM(AL195:AL196)</f>
        <v>0</v>
      </c>
      <c r="AM197" s="450">
        <f>SUM(AM195:AM196)</f>
        <v>-405875</v>
      </c>
      <c r="AN197" s="437"/>
      <c r="AO197" s="438">
        <f>SUM(AO195:AO196)</f>
        <v>-13840.337500000001</v>
      </c>
      <c r="AP197" s="450">
        <f>SUM(AP195:AP196)</f>
        <v>0</v>
      </c>
      <c r="AQ197" s="437"/>
      <c r="AR197" s="438">
        <f>SUM(AR195:AR196)</f>
        <v>0</v>
      </c>
      <c r="AS197" s="450">
        <f>SUM(AS195:AS196)</f>
        <v>0</v>
      </c>
      <c r="AT197" s="437"/>
      <c r="AU197" s="438">
        <f>SUM(AU195:AU196)</f>
        <v>0</v>
      </c>
      <c r="AV197" s="450">
        <f>SUM(AV195:AV196)</f>
        <v>0</v>
      </c>
      <c r="AW197" s="437"/>
      <c r="AX197" s="438">
        <f>SUM(AX195:AX196)</f>
        <v>0</v>
      </c>
      <c r="AY197" s="450">
        <f>SUM(AY195:AY196)</f>
        <v>0</v>
      </c>
      <c r="AZ197" s="437"/>
      <c r="BA197" s="438">
        <f>SUM(BA195:BA196)</f>
        <v>0</v>
      </c>
      <c r="BB197" s="450">
        <f>SUM(BB195:BB196)</f>
        <v>0</v>
      </c>
      <c r="BC197" s="437"/>
      <c r="BD197" s="438">
        <f>SUM(BD195:BD196)</f>
        <v>0</v>
      </c>
      <c r="BE197" s="450">
        <f>SUM(BE195:BE196)</f>
        <v>0</v>
      </c>
      <c r="BF197" s="437"/>
      <c r="BG197" s="438">
        <f>SUM(BG195:BG196)</f>
        <v>0</v>
      </c>
      <c r="BH197" s="450">
        <f>SUM(BH195:BH196)</f>
        <v>0</v>
      </c>
      <c r="BI197" s="437"/>
      <c r="BJ197" s="438">
        <f>SUM(BJ195:BJ196)</f>
        <v>0</v>
      </c>
      <c r="BK197" s="450">
        <f>SUM(BK195:BK196)</f>
        <v>0</v>
      </c>
      <c r="BL197" s="437"/>
      <c r="BM197" s="438">
        <f>SUM(BM195:BM196)</f>
        <v>0</v>
      </c>
      <c r="BN197" s="450">
        <f>SUM(BN195:BN196)</f>
        <v>0</v>
      </c>
      <c r="BO197" s="437"/>
      <c r="BP197" s="438">
        <f>SUM(BP195:BP196)</f>
        <v>0</v>
      </c>
      <c r="BQ197" s="450">
        <f>SUM(BQ195:BQ196)</f>
        <v>0</v>
      </c>
      <c r="BR197" s="437"/>
      <c r="BS197" s="438">
        <f>SUM(BS195:BS196)</f>
        <v>0</v>
      </c>
      <c r="BT197" s="450">
        <f>SUM(BT195:BT196)</f>
        <v>0</v>
      </c>
      <c r="BU197" s="437"/>
      <c r="BV197" s="438">
        <f>SUM(BV195:BV196)</f>
        <v>0</v>
      </c>
      <c r="BW197" s="451"/>
      <c r="BX197" s="451"/>
      <c r="BY197" s="451"/>
      <c r="BZ197" s="451"/>
      <c r="CA197" s="451"/>
      <c r="CB197" s="451"/>
      <c r="CC197" s="451"/>
      <c r="CD197" s="451"/>
      <c r="CE197" s="451"/>
      <c r="CF197" s="451"/>
      <c r="CG197" s="451"/>
      <c r="CH197" s="451"/>
      <c r="CI197" s="451"/>
      <c r="CJ197" s="451"/>
      <c r="CK197" s="451"/>
      <c r="CL197" s="451"/>
      <c r="CM197" s="451"/>
      <c r="CN197" s="451"/>
      <c r="CO197" s="451"/>
      <c r="CP197" s="451"/>
      <c r="CQ197" s="451"/>
      <c r="CR197" s="451"/>
      <c r="CS197" s="451"/>
      <c r="CT197" s="451"/>
      <c r="CU197" s="451"/>
      <c r="CV197" s="451"/>
      <c r="CW197" s="451"/>
      <c r="CX197" s="451"/>
      <c r="CY197" s="451"/>
      <c r="CZ197" s="451"/>
      <c r="DA197" s="451"/>
      <c r="DB197" s="451"/>
      <c r="DC197" s="451"/>
      <c r="DD197" s="451"/>
      <c r="DE197" s="451"/>
      <c r="DF197" s="451"/>
      <c r="DG197" s="451"/>
      <c r="DH197" s="451"/>
      <c r="DI197" s="451"/>
      <c r="DJ197" s="451"/>
      <c r="DK197" s="451"/>
      <c r="DL197" s="451"/>
      <c r="DM197" s="451"/>
      <c r="DN197" s="451"/>
      <c r="DO197" s="451"/>
      <c r="DP197" s="451"/>
      <c r="DQ197" s="451"/>
      <c r="DR197" s="451"/>
      <c r="DS197" s="451"/>
      <c r="DT197" s="451"/>
      <c r="DU197" s="451"/>
      <c r="DV197" s="451"/>
      <c r="DW197" s="451"/>
      <c r="DX197" s="451"/>
      <c r="DY197" s="451"/>
      <c r="DZ197" s="451"/>
      <c r="EA197" s="451"/>
      <c r="EB197" s="451"/>
      <c r="EC197" s="451"/>
      <c r="ED197" s="451"/>
      <c r="EE197" s="451"/>
      <c r="EF197" s="451"/>
      <c r="EG197" s="451"/>
      <c r="EH197" s="451"/>
      <c r="EI197" s="451"/>
      <c r="EJ197" s="451"/>
      <c r="EK197" s="451"/>
      <c r="EL197" s="451"/>
      <c r="EM197" s="451"/>
      <c r="EN197" s="451"/>
      <c r="EO197" s="451"/>
      <c r="EP197" s="451"/>
      <c r="EQ197" s="451"/>
      <c r="ER197" s="451"/>
      <c r="ES197" s="451"/>
      <c r="ET197" s="451"/>
      <c r="EU197" s="451"/>
      <c r="EV197" s="451"/>
      <c r="EW197" s="451"/>
      <c r="EX197" s="451"/>
    </row>
    <row r="198" spans="1:154" s="439" customFormat="1" x14ac:dyDescent="0.2">
      <c r="A198" s="439" t="s">
        <v>138</v>
      </c>
      <c r="B198" s="439" t="s">
        <v>52</v>
      </c>
      <c r="C198" s="445">
        <f>IF(C125&gt;0,IF(C174&gt;C150,((C174*C$81)-C125),C174*C$81),C174*C$81)</f>
        <v>140725</v>
      </c>
      <c r="D198" s="436">
        <f t="shared" si="13"/>
        <v>2.8500000000000001E-2</v>
      </c>
      <c r="E198" s="679">
        <f>C198*D198*E$8</f>
        <v>124330.53750000001</v>
      </c>
      <c r="F198" s="445">
        <f>IF(F125&gt;0,IF(F174&gt;F150,((F174*F$81)-F125),F174*F$81),F174*F$81)</f>
        <v>148995</v>
      </c>
      <c r="G198" s="436">
        <f t="shared" si="14"/>
        <v>2.8500000000000001E-2</v>
      </c>
      <c r="H198" s="376">
        <f>F198*G198*H$8</f>
        <v>118898.01000000001</v>
      </c>
      <c r="I198" s="445">
        <f>IF(I125&gt;0,IF(I174&gt;I150,((I174*I$81)-I125),I174*I$81),I174*I$81)</f>
        <v>141900</v>
      </c>
      <c r="J198" s="436">
        <f t="shared" si="15"/>
        <v>2.8500000000000001E-2</v>
      </c>
      <c r="K198" s="376">
        <f>I198*J198*K$8</f>
        <v>125368.65000000001</v>
      </c>
      <c r="L198" s="445">
        <f>IF(L125&gt;0,IF(L174&gt;L150,((L174*L$81)-L125),L174*L$81),L174*L$81)</f>
        <v>120150.00000000001</v>
      </c>
      <c r="M198" s="436">
        <f t="shared" si="16"/>
        <v>2.8500000000000001E-2</v>
      </c>
      <c r="N198" s="374">
        <f>L198*M198*N$8</f>
        <v>102728.25000000001</v>
      </c>
      <c r="O198" s="700">
        <f>IF(O125&gt;0,IF(O174&gt;O150,((O174*O$81)-O125),O174*O$81),O174*O$81)</f>
        <v>120150.00000000001</v>
      </c>
      <c r="P198" s="436">
        <f t="shared" si="17"/>
        <v>2.8500000000000001E-2</v>
      </c>
      <c r="Q198" s="376">
        <f>O198*P198*Q$8</f>
        <v>106152.52500000002</v>
      </c>
      <c r="R198" s="445">
        <f>IF(R125&gt;0,IF(R174&gt;R150,((R174*R$81)-R125),R174*R$81),R174*R$81)</f>
        <v>208724.99999999997</v>
      </c>
      <c r="S198" s="436">
        <f t="shared" si="18"/>
        <v>2.8500000000000001E-2</v>
      </c>
      <c r="T198" s="376">
        <f>R198*S198*T$8</f>
        <v>178459.87499999997</v>
      </c>
      <c r="U198" s="445">
        <f>IF(U125&gt;0,IF(U174&gt;U150,((U174*U$81)-U125),U174*U$81),U174*U$81)</f>
        <v>239749.99999999997</v>
      </c>
      <c r="V198" s="436">
        <f t="shared" si="19"/>
        <v>2.8500000000000001E-2</v>
      </c>
      <c r="W198" s="376">
        <f>U198*V198*W$8</f>
        <v>211819.12499999997</v>
      </c>
      <c r="X198" s="445">
        <f>IF(X125&gt;0,IF(X174&gt;X150,((X174*X$81)-X125),X174*X$81),X174*X$81)</f>
        <v>229475</v>
      </c>
      <c r="Y198" s="436">
        <f t="shared" si="20"/>
        <v>2.8500000000000001E-2</v>
      </c>
      <c r="Z198" s="376">
        <f>X198*Y198*Z$8</f>
        <v>202741.16250000001</v>
      </c>
      <c r="AA198" s="445">
        <f>IF(AA125&gt;0,IF(AA174&gt;AA150,((AA174*AA$81)-AA125),AA174*AA$81),AA174*AA$81)</f>
        <v>239749.99999999997</v>
      </c>
      <c r="AB198" s="436">
        <f t="shared" si="21"/>
        <v>2.8500000000000001E-2</v>
      </c>
      <c r="AC198" s="376">
        <f>AA198*AB198*AC$8</f>
        <v>204986.24999999997</v>
      </c>
      <c r="AD198" s="445">
        <f>IF(AD125&gt;0,IF(AD174&gt;AD150,((AD174*AD$81)-AD125),AD174*AD$81),AD174*AD$81)</f>
        <v>243175</v>
      </c>
      <c r="AE198" s="436">
        <f t="shared" si="22"/>
        <v>2.8500000000000001E-2</v>
      </c>
      <c r="AF198" s="376">
        <f>AD198*AE198*AF$8</f>
        <v>214845.11250000002</v>
      </c>
      <c r="AG198" s="445">
        <f>IF(AG125&gt;0,IF(AG174&gt;AG150,((AG174*AG$81)-AG125),AG174*AG$81),AG174*AG$81)</f>
        <v>254600</v>
      </c>
      <c r="AH198" s="436">
        <f t="shared" si="23"/>
        <v>2.8500000000000001E-2</v>
      </c>
      <c r="AI198" s="376">
        <f>AG198*AH198*AI$8</f>
        <v>217683</v>
      </c>
      <c r="AJ198" s="445">
        <f>IF(AJ125&gt;0,IF(AJ174&gt;AJ150,((AJ174*AJ$81)-AJ125),AJ174*AJ$81),AJ174*AJ$81)</f>
        <v>234499.99999999997</v>
      </c>
      <c r="AK198" s="436">
        <f t="shared" si="24"/>
        <v>2.8500000000000001E-2</v>
      </c>
      <c r="AL198" s="376">
        <f>AJ198*AK198*AL$8</f>
        <v>207180.74999999997</v>
      </c>
      <c r="AM198" s="445">
        <f>AM174*AM$81</f>
        <v>-219800</v>
      </c>
      <c r="AN198" s="436">
        <v>2.46E-2</v>
      </c>
      <c r="AO198" s="376">
        <f>AM198*AN198*AO$8</f>
        <v>-167619.48000000001</v>
      </c>
      <c r="AP198" s="445">
        <f>AP174*AP$81</f>
        <v>0</v>
      </c>
      <c r="AQ198" s="436">
        <v>2.46E-2</v>
      </c>
      <c r="AR198" s="376">
        <f>AP198*AQ198*AR$8</f>
        <v>0</v>
      </c>
      <c r="AS198" s="445">
        <f>AS174*AS$81</f>
        <v>0</v>
      </c>
      <c r="AT198" s="436">
        <v>2.46E-2</v>
      </c>
      <c r="AU198" s="376">
        <f>AS198*AT198*AU$8</f>
        <v>0</v>
      </c>
      <c r="AV198" s="445">
        <f>AV174*AV$81</f>
        <v>0</v>
      </c>
      <c r="AW198" s="436">
        <v>2.46E-2</v>
      </c>
      <c r="AX198" s="376">
        <f>AV198*AW198*AX$8</f>
        <v>0</v>
      </c>
      <c r="AY198" s="445">
        <f>AY174*AY$81</f>
        <v>0</v>
      </c>
      <c r="AZ198" s="436">
        <v>2.46E-2</v>
      </c>
      <c r="BA198" s="376">
        <f>AY198*AZ198*BA$8</f>
        <v>0</v>
      </c>
      <c r="BB198" s="445">
        <f>BB174*BB$81</f>
        <v>0</v>
      </c>
      <c r="BC198" s="436">
        <v>2.46E-2</v>
      </c>
      <c r="BD198" s="376">
        <f>BB198*BC198*BD$8</f>
        <v>0</v>
      </c>
      <c r="BE198" s="445">
        <f>BE174*BE$81</f>
        <v>0</v>
      </c>
      <c r="BF198" s="436">
        <v>2.46E-2</v>
      </c>
      <c r="BG198" s="376">
        <f>BE198*BF198*BG$8</f>
        <v>0</v>
      </c>
      <c r="BH198" s="445">
        <f>BH174*BH$81</f>
        <v>0</v>
      </c>
      <c r="BI198" s="436">
        <v>2.46E-2</v>
      </c>
      <c r="BJ198" s="376">
        <f>BH198*BI198*BJ$8</f>
        <v>0</v>
      </c>
      <c r="BK198" s="445">
        <f>BK174*BK$81</f>
        <v>0</v>
      </c>
      <c r="BL198" s="436">
        <v>2.46E-2</v>
      </c>
      <c r="BM198" s="376">
        <f>BK198*BL198*BM$8</f>
        <v>0</v>
      </c>
      <c r="BN198" s="445">
        <f>BN174*BN$81</f>
        <v>0</v>
      </c>
      <c r="BO198" s="436">
        <v>2.46E-2</v>
      </c>
      <c r="BP198" s="376">
        <f>BN198*BO198*BP$8</f>
        <v>0</v>
      </c>
      <c r="BQ198" s="445">
        <f>BQ174*BQ$81</f>
        <v>0</v>
      </c>
      <c r="BR198" s="436">
        <v>2.46E-2</v>
      </c>
      <c r="BS198" s="376">
        <f>BQ198*BR198*BS$8</f>
        <v>0</v>
      </c>
      <c r="BT198" s="445">
        <f>BT174*BT$81</f>
        <v>0</v>
      </c>
      <c r="BU198" s="436">
        <v>2.46E-2</v>
      </c>
      <c r="BV198" s="376">
        <f>BT198*BU198*BV$8</f>
        <v>0</v>
      </c>
      <c r="BW198" s="446"/>
      <c r="BX198" s="446"/>
      <c r="BY198" s="446"/>
      <c r="BZ198" s="446"/>
      <c r="CA198" s="446"/>
      <c r="CB198" s="446"/>
      <c r="CC198" s="446"/>
      <c r="CD198" s="446"/>
      <c r="CE198" s="446"/>
      <c r="CF198" s="446"/>
      <c r="CG198" s="446"/>
      <c r="CH198" s="446"/>
      <c r="CI198" s="446"/>
      <c r="CJ198" s="446"/>
      <c r="CK198" s="446"/>
      <c r="CL198" s="446"/>
      <c r="CM198" s="446"/>
      <c r="CN198" s="446"/>
      <c r="CO198" s="446"/>
      <c r="CP198" s="446"/>
      <c r="CQ198" s="446"/>
      <c r="CR198" s="446"/>
      <c r="CS198" s="446"/>
      <c r="CT198" s="446"/>
      <c r="CU198" s="446"/>
      <c r="CV198" s="446"/>
      <c r="CW198" s="446"/>
      <c r="CX198" s="446"/>
      <c r="CY198" s="446"/>
      <c r="CZ198" s="446"/>
      <c r="DA198" s="446"/>
      <c r="DB198" s="446"/>
      <c r="DC198" s="446"/>
      <c r="DD198" s="446"/>
      <c r="DE198" s="446"/>
      <c r="DF198" s="446"/>
      <c r="DG198" s="446"/>
      <c r="DH198" s="446"/>
      <c r="DI198" s="446"/>
      <c r="DJ198" s="446"/>
      <c r="DK198" s="446"/>
      <c r="DL198" s="446"/>
      <c r="DM198" s="446"/>
      <c r="DN198" s="446"/>
      <c r="DO198" s="446"/>
      <c r="DP198" s="446"/>
      <c r="DQ198" s="446"/>
      <c r="DR198" s="446"/>
      <c r="DS198" s="446"/>
      <c r="DT198" s="446"/>
      <c r="DU198" s="446"/>
      <c r="DV198" s="446"/>
      <c r="DW198" s="446"/>
      <c r="DX198" s="446"/>
      <c r="DY198" s="446"/>
      <c r="DZ198" s="446"/>
      <c r="EA198" s="446"/>
      <c r="EB198" s="446"/>
      <c r="EC198" s="446"/>
      <c r="ED198" s="446"/>
      <c r="EE198" s="446"/>
      <c r="EF198" s="446"/>
      <c r="EG198" s="446"/>
      <c r="EH198" s="446"/>
      <c r="EI198" s="446"/>
      <c r="EJ198" s="446"/>
      <c r="EK198" s="446"/>
      <c r="EL198" s="446"/>
      <c r="EM198" s="446"/>
      <c r="EN198" s="446"/>
      <c r="EO198" s="446"/>
      <c r="EP198" s="446"/>
      <c r="EQ198" s="446"/>
      <c r="ER198" s="446"/>
      <c r="ES198" s="446"/>
      <c r="ET198" s="446"/>
      <c r="EU198" s="446"/>
      <c r="EV198" s="446"/>
      <c r="EW198" s="446"/>
      <c r="EX198" s="446"/>
    </row>
    <row r="199" spans="1:154" s="439" customFormat="1" x14ac:dyDescent="0.2">
      <c r="A199" s="439" t="s">
        <v>139</v>
      </c>
      <c r="B199" s="439" t="s">
        <v>52</v>
      </c>
      <c r="C199" s="445">
        <f>IF(C126&gt;0,IF(C175&gt;C151,((C175*C$82)-C126),C175*C$82),C175*C$82)</f>
        <v>51600</v>
      </c>
      <c r="D199" s="436">
        <f t="shared" si="13"/>
        <v>1.8499999999999999E-2</v>
      </c>
      <c r="E199" s="679">
        <f>C199*D199*E$8</f>
        <v>29592.6</v>
      </c>
      <c r="F199" s="445">
        <f>IF(F126&gt;0,IF(F175&gt;F151,((F175*F$82)-F126),F175*F$82),F175*F$82)</f>
        <v>52200</v>
      </c>
      <c r="G199" s="436">
        <f t="shared" si="14"/>
        <v>1.8499999999999999E-2</v>
      </c>
      <c r="H199" s="376">
        <f>F199*G199*H$8</f>
        <v>27039.599999999999</v>
      </c>
      <c r="I199" s="445">
        <f>IF(I126&gt;0,IF(I175&gt;I151,((I175*I$82)-I126),I175*I$82),I175*I$82)</f>
        <v>56400</v>
      </c>
      <c r="J199" s="436">
        <f t="shared" si="15"/>
        <v>1.8499999999999999E-2</v>
      </c>
      <c r="K199" s="376">
        <f>I199*J199*K$8</f>
        <v>32345.399999999994</v>
      </c>
      <c r="L199" s="445">
        <f>IF(L126&gt;0,IF(L175&gt;L151,((L175*L$82)-L126),L175*L$82),L175*L$82)</f>
        <v>49200</v>
      </c>
      <c r="M199" s="436">
        <f t="shared" si="16"/>
        <v>1.8499999999999999E-2</v>
      </c>
      <c r="N199" s="374">
        <f>L199*M199*N$8</f>
        <v>27305.999999999996</v>
      </c>
      <c r="O199" s="700">
        <f>IF(O126&gt;0,IF(O175&gt;O151,((O175*O$82)-O126),O175*O$82),O175*O$82)</f>
        <v>52200</v>
      </c>
      <c r="P199" s="436">
        <f t="shared" si="17"/>
        <v>1.8499999999999999E-2</v>
      </c>
      <c r="Q199" s="376">
        <f>O199*P199*Q$8</f>
        <v>29936.699999999997</v>
      </c>
      <c r="R199" s="445">
        <f>IF(R126&gt;0,IF(R175&gt;R151,((R175*R$82)-R126),R175*R$82),R175*R$82)</f>
        <v>55200</v>
      </c>
      <c r="S199" s="436">
        <f t="shared" si="18"/>
        <v>1.8499999999999999E-2</v>
      </c>
      <c r="T199" s="376">
        <f>R199*S199*T$8</f>
        <v>30635.999999999996</v>
      </c>
      <c r="U199" s="445">
        <f>IF(U126&gt;0,IF(U175&gt;U151,((U175*U$82)-U126),U175*U$82),U175*U$82)</f>
        <v>54600</v>
      </c>
      <c r="V199" s="436">
        <f t="shared" si="19"/>
        <v>1.8499999999999999E-2</v>
      </c>
      <c r="W199" s="376">
        <f>U199*V199*W$8</f>
        <v>31313.1</v>
      </c>
      <c r="X199" s="445">
        <f>IF(X126&gt;0,IF(X175&gt;X151,((X175*X$82)-X126),X175*X$82),X175*X$82)</f>
        <v>56400</v>
      </c>
      <c r="Y199" s="436">
        <f t="shared" si="20"/>
        <v>1.8499999999999999E-2</v>
      </c>
      <c r="Z199" s="376">
        <f>X199*Y199*Z$8</f>
        <v>32345.399999999994</v>
      </c>
      <c r="AA199" s="445">
        <f>IF(AA126&gt;0,IF(AA175&gt;AA151,((AA175*AA$82)-AA126),AA175*AA$82),AA175*AA$82)</f>
        <v>52200</v>
      </c>
      <c r="AB199" s="436">
        <f t="shared" si="21"/>
        <v>1.8499999999999999E-2</v>
      </c>
      <c r="AC199" s="376">
        <f>AA199*AB199*AC$8</f>
        <v>28970.999999999996</v>
      </c>
      <c r="AD199" s="445">
        <f>IF(AD126&gt;0,IF(AD175&gt;AD151,((AD175*AD$82)-AD126),AD175*AD$82),AD175*AD$82)</f>
        <v>56400</v>
      </c>
      <c r="AE199" s="436">
        <f t="shared" si="22"/>
        <v>1.8499999999999999E-2</v>
      </c>
      <c r="AF199" s="376">
        <f>AD199*AE199*AF$8</f>
        <v>32345.399999999994</v>
      </c>
      <c r="AG199" s="445">
        <f>IF(AG126&gt;0,IF(AG175&gt;AG151,((AG175*AG$82)-AG126),AG175*AG$82),AG175*AG$82)</f>
        <v>58800</v>
      </c>
      <c r="AH199" s="436">
        <f t="shared" si="23"/>
        <v>1.8499999999999999E-2</v>
      </c>
      <c r="AI199" s="376">
        <f>AG199*AH199*AI$8</f>
        <v>32634</v>
      </c>
      <c r="AJ199" s="445">
        <f>IF(AJ126&gt;0,IF(AJ175&gt;AJ151,((AJ175*AJ$82)-AJ126),AJ175*AJ$82),AJ175*AJ$82)</f>
        <v>59400</v>
      </c>
      <c r="AK199" s="436">
        <f t="shared" si="24"/>
        <v>1.8499999999999999E-2</v>
      </c>
      <c r="AL199" s="376">
        <f>AJ199*AK199*AL$8</f>
        <v>34065.899999999994</v>
      </c>
      <c r="AM199" s="445">
        <f>AM175*AM$82</f>
        <v>0</v>
      </c>
      <c r="AN199" s="436">
        <v>1.8599999999999998E-2</v>
      </c>
      <c r="AO199" s="376">
        <f>AM199*AN199*AO$8</f>
        <v>0</v>
      </c>
      <c r="AP199" s="445">
        <f>AP175*AP$82</f>
        <v>0</v>
      </c>
      <c r="AQ199" s="436">
        <v>1.8599999999999998E-2</v>
      </c>
      <c r="AR199" s="376">
        <f>AP199*AQ199*AR$8</f>
        <v>0</v>
      </c>
      <c r="AS199" s="445">
        <f>AS175*AS$82</f>
        <v>0</v>
      </c>
      <c r="AT199" s="436">
        <v>1.8599999999999998E-2</v>
      </c>
      <c r="AU199" s="376">
        <f>AS199*AT199*AU$8</f>
        <v>0</v>
      </c>
      <c r="AV199" s="445">
        <f>AV175*AV$82</f>
        <v>0</v>
      </c>
      <c r="AW199" s="436">
        <v>1.8599999999999998E-2</v>
      </c>
      <c r="AX199" s="376">
        <f>AV199*AW199*AX$8</f>
        <v>0</v>
      </c>
      <c r="AY199" s="445">
        <f>AY175*AY$82</f>
        <v>0</v>
      </c>
      <c r="AZ199" s="436">
        <v>1.8599999999999998E-2</v>
      </c>
      <c r="BA199" s="376">
        <f>AY199*AZ199*BA$8</f>
        <v>0</v>
      </c>
      <c r="BB199" s="445">
        <f>BB175*BB$82</f>
        <v>0</v>
      </c>
      <c r="BC199" s="436">
        <v>1.8599999999999998E-2</v>
      </c>
      <c r="BD199" s="376">
        <f>BB199*BC199*BD$8</f>
        <v>0</v>
      </c>
      <c r="BE199" s="445">
        <f>BE175*BE$82</f>
        <v>0</v>
      </c>
      <c r="BF199" s="436">
        <v>1.8599999999999998E-2</v>
      </c>
      <c r="BG199" s="376">
        <f>BE199*BF199*BG$8</f>
        <v>0</v>
      </c>
      <c r="BH199" s="445">
        <f>BH175*BH$82</f>
        <v>0</v>
      </c>
      <c r="BI199" s="436">
        <v>1.8599999999999998E-2</v>
      </c>
      <c r="BJ199" s="376">
        <f>BH199*BI199*BJ$8</f>
        <v>0</v>
      </c>
      <c r="BK199" s="445">
        <f>BK175*BK$82</f>
        <v>0</v>
      </c>
      <c r="BL199" s="436">
        <v>1.8599999999999998E-2</v>
      </c>
      <c r="BM199" s="376">
        <f>BK199*BL199*BM$8</f>
        <v>0</v>
      </c>
      <c r="BN199" s="445">
        <f>BN175*BN$82</f>
        <v>0</v>
      </c>
      <c r="BO199" s="436">
        <v>1.8599999999999998E-2</v>
      </c>
      <c r="BP199" s="376">
        <f>BN199*BO199*BP$8</f>
        <v>0</v>
      </c>
      <c r="BQ199" s="445">
        <f>BQ175*BQ$82</f>
        <v>0</v>
      </c>
      <c r="BR199" s="436">
        <v>1.8599999999999998E-2</v>
      </c>
      <c r="BS199" s="376">
        <f>BQ199*BR199*BS$8</f>
        <v>0</v>
      </c>
      <c r="BT199" s="445">
        <f>BT175*BT$82</f>
        <v>0</v>
      </c>
      <c r="BU199" s="436">
        <v>1.8599999999999998E-2</v>
      </c>
      <c r="BV199" s="376">
        <f>BT199*BU199*BV$8</f>
        <v>0</v>
      </c>
      <c r="BW199" s="446"/>
      <c r="BX199" s="446"/>
      <c r="BY199" s="446"/>
      <c r="BZ199" s="446"/>
      <c r="CA199" s="446"/>
      <c r="CB199" s="446"/>
      <c r="CC199" s="446"/>
      <c r="CD199" s="446"/>
      <c r="CE199" s="446"/>
      <c r="CF199" s="446"/>
      <c r="CG199" s="446"/>
      <c r="CH199" s="446"/>
      <c r="CI199" s="446"/>
      <c r="CJ199" s="446"/>
      <c r="CK199" s="446"/>
      <c r="CL199" s="446"/>
      <c r="CM199" s="446"/>
      <c r="CN199" s="446"/>
      <c r="CO199" s="446"/>
      <c r="CP199" s="446"/>
      <c r="CQ199" s="446"/>
      <c r="CR199" s="446"/>
      <c r="CS199" s="446"/>
      <c r="CT199" s="446"/>
      <c r="CU199" s="446"/>
      <c r="CV199" s="446"/>
      <c r="CW199" s="446"/>
      <c r="CX199" s="446"/>
      <c r="CY199" s="446"/>
      <c r="CZ199" s="446"/>
      <c r="DA199" s="446"/>
      <c r="DB199" s="446"/>
      <c r="DC199" s="446"/>
      <c r="DD199" s="446"/>
      <c r="DE199" s="446"/>
      <c r="DF199" s="446"/>
      <c r="DG199" s="446"/>
      <c r="DH199" s="446"/>
      <c r="DI199" s="446"/>
      <c r="DJ199" s="446"/>
      <c r="DK199" s="446"/>
      <c r="DL199" s="446"/>
      <c r="DM199" s="446"/>
      <c r="DN199" s="446"/>
      <c r="DO199" s="446"/>
      <c r="DP199" s="446"/>
      <c r="DQ199" s="446"/>
      <c r="DR199" s="446"/>
      <c r="DS199" s="446"/>
      <c r="DT199" s="446"/>
      <c r="DU199" s="446"/>
      <c r="DV199" s="446"/>
      <c r="DW199" s="446"/>
      <c r="DX199" s="446"/>
      <c r="DY199" s="446"/>
      <c r="DZ199" s="446"/>
      <c r="EA199" s="446"/>
      <c r="EB199" s="446"/>
      <c r="EC199" s="446"/>
      <c r="ED199" s="446"/>
      <c r="EE199" s="446"/>
      <c r="EF199" s="446"/>
      <c r="EG199" s="446"/>
      <c r="EH199" s="446"/>
      <c r="EI199" s="446"/>
      <c r="EJ199" s="446"/>
      <c r="EK199" s="446"/>
      <c r="EL199" s="446"/>
      <c r="EM199" s="446"/>
      <c r="EN199" s="446"/>
      <c r="EO199" s="446"/>
      <c r="EP199" s="446"/>
      <c r="EQ199" s="446"/>
      <c r="ER199" s="446"/>
      <c r="ES199" s="446"/>
      <c r="ET199" s="446"/>
      <c r="EU199" s="446"/>
      <c r="EV199" s="446"/>
      <c r="EW199" s="446"/>
      <c r="EX199" s="446"/>
    </row>
    <row r="200" spans="1:154" s="439" customFormat="1" x14ac:dyDescent="0.2">
      <c r="A200" s="439" t="s">
        <v>140</v>
      </c>
      <c r="B200" s="439" t="s">
        <v>52</v>
      </c>
      <c r="C200" s="445">
        <f>IF(C127&gt;0,IF(C176&gt;C152,((C176*C$82)-C127),C176*C$82),C176*C$82)</f>
        <v>157896</v>
      </c>
      <c r="D200" s="436">
        <f t="shared" si="13"/>
        <v>1.8499999999999999E-2</v>
      </c>
      <c r="E200" s="679">
        <f>C200*D200*E$8</f>
        <v>90553.356</v>
      </c>
      <c r="F200" s="445">
        <f>IF(F127&gt;0,IF(F176&gt;F152,((F176*F$82)-F127),F176*F$82),F176*F$82)</f>
        <v>159732</v>
      </c>
      <c r="G200" s="436">
        <f t="shared" si="14"/>
        <v>1.8499999999999999E-2</v>
      </c>
      <c r="H200" s="376">
        <f>F200*G200*H$8</f>
        <v>82741.175999999992</v>
      </c>
      <c r="I200" s="445">
        <f>IF(I127&gt;0,IF(I176&gt;I152,((I176*I$82)-I127),I176*I$82),I176*I$82)</f>
        <v>172584</v>
      </c>
      <c r="J200" s="436">
        <f t="shared" si="15"/>
        <v>1.8499999999999999E-2</v>
      </c>
      <c r="K200" s="376">
        <f>I200*J200*K$8</f>
        <v>98976.923999999985</v>
      </c>
      <c r="L200" s="445">
        <f>IF(L127&gt;0,IF(L176&gt;L152,((L176*L$82)-L127),L176*L$82),L176*L$82)</f>
        <v>150552</v>
      </c>
      <c r="M200" s="436">
        <f t="shared" si="16"/>
        <v>1.8499999999999999E-2</v>
      </c>
      <c r="N200" s="374">
        <f>L200*M200*N$8</f>
        <v>83556.36</v>
      </c>
      <c r="O200" s="700">
        <f>IF(O127&gt;0,IF(O176&gt;O152,((O176*O$82)-O127),O176*O$82),O176*O$82)</f>
        <v>159732</v>
      </c>
      <c r="P200" s="436">
        <f t="shared" si="17"/>
        <v>1.8499999999999999E-2</v>
      </c>
      <c r="Q200" s="376">
        <f>O200*P200*Q$8</f>
        <v>91606.301999999996</v>
      </c>
      <c r="R200" s="445">
        <f>IF(R127&gt;0,IF(R176&gt;R152,((R176*R$82)-R127),R176*R$82),R176*R$82)</f>
        <v>168912</v>
      </c>
      <c r="S200" s="436">
        <f t="shared" si="18"/>
        <v>1.8499999999999999E-2</v>
      </c>
      <c r="T200" s="376">
        <f>R200*S200*T$8</f>
        <v>93746.159999999989</v>
      </c>
      <c r="U200" s="445">
        <f>IF(U127&gt;0,IF(U176&gt;U152,((U176*U$82)-U127),U176*U$82),U176*U$82)</f>
        <v>167076</v>
      </c>
      <c r="V200" s="436">
        <f t="shared" si="19"/>
        <v>1.8499999999999999E-2</v>
      </c>
      <c r="W200" s="376">
        <f>U200*V200*W$8</f>
        <v>95818.085999999996</v>
      </c>
      <c r="X200" s="445">
        <f>IF(X127&gt;0,IF(X176&gt;X152,((X176*X$82)-X127),X176*X$82),X176*X$82)</f>
        <v>172584</v>
      </c>
      <c r="Y200" s="436">
        <f t="shared" si="20"/>
        <v>1.8499999999999999E-2</v>
      </c>
      <c r="Z200" s="376">
        <f>X200*Y200*Z$8</f>
        <v>98976.923999999985</v>
      </c>
      <c r="AA200" s="445">
        <f>IF(AA127&gt;0,IF(AA176&gt;AA152,((AA176*AA$82)-AA127),AA176*AA$82),AA176*AA$82)</f>
        <v>159732</v>
      </c>
      <c r="AB200" s="436">
        <f t="shared" si="21"/>
        <v>1.8499999999999999E-2</v>
      </c>
      <c r="AC200" s="376">
        <f>AA200*AB200*AC$8</f>
        <v>88651.26</v>
      </c>
      <c r="AD200" s="445">
        <f>IF(AD127&gt;0,IF(AD176&gt;AD152,((AD176*AD$82)-AD127),AD176*AD$82),AD176*AD$82)</f>
        <v>172584</v>
      </c>
      <c r="AE200" s="436">
        <f t="shared" si="22"/>
        <v>1.8499999999999999E-2</v>
      </c>
      <c r="AF200" s="376">
        <f>AD200*AE200*AF$8</f>
        <v>98976.923999999985</v>
      </c>
      <c r="AG200" s="445">
        <f>IF(AG127&gt;0,IF(AG176&gt;AG152,((AG176*AG$82)-AG127),AG176*AG$82),AG176*AG$82)</f>
        <v>179928</v>
      </c>
      <c r="AH200" s="436">
        <f t="shared" si="23"/>
        <v>1.8499999999999999E-2</v>
      </c>
      <c r="AI200" s="376">
        <f>AG200*AH200*AI$8</f>
        <v>99860.04</v>
      </c>
      <c r="AJ200" s="445">
        <f>IF(AJ127&gt;0,IF(AJ176&gt;AJ152,((AJ176*AJ$82)-AJ127),AJ176*AJ$82),AJ176*AJ$82)</f>
        <v>181764</v>
      </c>
      <c r="AK200" s="436">
        <f t="shared" si="24"/>
        <v>1.8499999999999999E-2</v>
      </c>
      <c r="AL200" s="376">
        <f>AJ200*AK200*AL$8</f>
        <v>104241.65399999999</v>
      </c>
      <c r="AM200" s="445">
        <f>AM176*AM$82</f>
        <v>-18000</v>
      </c>
      <c r="AN200" s="436">
        <v>1.8599999999999998E-2</v>
      </c>
      <c r="AO200" s="376">
        <f>AM200*AN200*AO$8</f>
        <v>-10378.799999999999</v>
      </c>
      <c r="AP200" s="445">
        <f>AP176*AP$82</f>
        <v>0</v>
      </c>
      <c r="AQ200" s="436">
        <v>1.8599999999999998E-2</v>
      </c>
      <c r="AR200" s="376">
        <f>AP200*AQ200*AR$8</f>
        <v>0</v>
      </c>
      <c r="AS200" s="445">
        <f>AS176*AS$82</f>
        <v>0</v>
      </c>
      <c r="AT200" s="436">
        <v>1.8599999999999998E-2</v>
      </c>
      <c r="AU200" s="376">
        <f>AS200*AT200*AU$8</f>
        <v>0</v>
      </c>
      <c r="AV200" s="445">
        <f>AV176*AV$82</f>
        <v>0</v>
      </c>
      <c r="AW200" s="436">
        <v>1.8599999999999998E-2</v>
      </c>
      <c r="AX200" s="376">
        <f>AV200*AW200*AX$8</f>
        <v>0</v>
      </c>
      <c r="AY200" s="445">
        <f>AY176*AY$82</f>
        <v>0</v>
      </c>
      <c r="AZ200" s="436">
        <v>1.8599999999999998E-2</v>
      </c>
      <c r="BA200" s="376">
        <f>AY200*AZ200*BA$8</f>
        <v>0</v>
      </c>
      <c r="BB200" s="445">
        <f>BB176*BB$82</f>
        <v>0</v>
      </c>
      <c r="BC200" s="436">
        <v>1.8599999999999998E-2</v>
      </c>
      <c r="BD200" s="376">
        <f>BB200*BC200*BD$8</f>
        <v>0</v>
      </c>
      <c r="BE200" s="445">
        <f>BE176*BE$82</f>
        <v>0</v>
      </c>
      <c r="BF200" s="436">
        <v>1.8599999999999998E-2</v>
      </c>
      <c r="BG200" s="376">
        <f>BE200*BF200*BG$8</f>
        <v>0</v>
      </c>
      <c r="BH200" s="445">
        <f>BH176*BH$82</f>
        <v>0</v>
      </c>
      <c r="BI200" s="436">
        <v>1.8599999999999998E-2</v>
      </c>
      <c r="BJ200" s="376">
        <f>BH200*BI200*BJ$8</f>
        <v>0</v>
      </c>
      <c r="BK200" s="445">
        <f>BK176*BK$82</f>
        <v>0</v>
      </c>
      <c r="BL200" s="436">
        <v>1.8599999999999998E-2</v>
      </c>
      <c r="BM200" s="376">
        <f>BK200*BL200*BM$8</f>
        <v>0</v>
      </c>
      <c r="BN200" s="445">
        <f>BN176*BN$82</f>
        <v>0</v>
      </c>
      <c r="BO200" s="436">
        <v>1.8599999999999998E-2</v>
      </c>
      <c r="BP200" s="376">
        <f>BN200*BO200*BP$8</f>
        <v>0</v>
      </c>
      <c r="BQ200" s="445">
        <f>BQ176*BQ$82</f>
        <v>0</v>
      </c>
      <c r="BR200" s="436">
        <v>1.8599999999999998E-2</v>
      </c>
      <c r="BS200" s="376">
        <f>BQ200*BR200*BS$8</f>
        <v>0</v>
      </c>
      <c r="BT200" s="445">
        <f>BT176*BT$82</f>
        <v>0</v>
      </c>
      <c r="BU200" s="436">
        <v>1.8599999999999998E-2</v>
      </c>
      <c r="BV200" s="376">
        <f>BT200*BU200*BV$8</f>
        <v>0</v>
      </c>
      <c r="BW200" s="446"/>
      <c r="BX200" s="446"/>
      <c r="BY200" s="446"/>
      <c r="BZ200" s="446"/>
      <c r="CA200" s="446"/>
      <c r="CB200" s="446"/>
      <c r="CC200" s="446"/>
      <c r="CD200" s="446"/>
      <c r="CE200" s="446"/>
      <c r="CF200" s="446"/>
      <c r="CG200" s="446"/>
      <c r="CH200" s="446"/>
      <c r="CI200" s="446"/>
      <c r="CJ200" s="446"/>
      <c r="CK200" s="446"/>
      <c r="CL200" s="446"/>
      <c r="CM200" s="446"/>
      <c r="CN200" s="446"/>
      <c r="CO200" s="446"/>
      <c r="CP200" s="446"/>
      <c r="CQ200" s="446"/>
      <c r="CR200" s="446"/>
      <c r="CS200" s="446"/>
      <c r="CT200" s="446"/>
      <c r="CU200" s="446"/>
      <c r="CV200" s="446"/>
      <c r="CW200" s="446"/>
      <c r="CX200" s="446"/>
      <c r="CY200" s="446"/>
      <c r="CZ200" s="446"/>
      <c r="DA200" s="446"/>
      <c r="DB200" s="446"/>
      <c r="DC200" s="446"/>
      <c r="DD200" s="446"/>
      <c r="DE200" s="446"/>
      <c r="DF200" s="446"/>
      <c r="DG200" s="446"/>
      <c r="DH200" s="446"/>
      <c r="DI200" s="446"/>
      <c r="DJ200" s="446"/>
      <c r="DK200" s="446"/>
      <c r="DL200" s="446"/>
      <c r="DM200" s="446"/>
      <c r="DN200" s="446"/>
      <c r="DO200" s="446"/>
      <c r="DP200" s="446"/>
      <c r="DQ200" s="446"/>
      <c r="DR200" s="446"/>
      <c r="DS200" s="446"/>
      <c r="DT200" s="446"/>
      <c r="DU200" s="446"/>
      <c r="DV200" s="446"/>
      <c r="DW200" s="446"/>
      <c r="DX200" s="446"/>
      <c r="DY200" s="446"/>
      <c r="DZ200" s="446"/>
      <c r="EA200" s="446"/>
      <c r="EB200" s="446"/>
      <c r="EC200" s="446"/>
      <c r="ED200" s="446"/>
      <c r="EE200" s="446"/>
      <c r="EF200" s="446"/>
      <c r="EG200" s="446"/>
      <c r="EH200" s="446"/>
      <c r="EI200" s="446"/>
      <c r="EJ200" s="446"/>
      <c r="EK200" s="446"/>
      <c r="EL200" s="446"/>
      <c r="EM200" s="446"/>
      <c r="EN200" s="446"/>
      <c r="EO200" s="446"/>
      <c r="EP200" s="446"/>
      <c r="EQ200" s="446"/>
      <c r="ER200" s="446"/>
      <c r="ES200" s="446"/>
      <c r="ET200" s="446"/>
      <c r="EU200" s="446"/>
      <c r="EV200" s="446"/>
      <c r="EW200" s="446"/>
      <c r="EX200" s="446"/>
    </row>
    <row r="201" spans="1:154" s="439" customFormat="1" x14ac:dyDescent="0.2">
      <c r="A201" s="439" t="s">
        <v>141</v>
      </c>
      <c r="B201" s="439" t="s">
        <v>52</v>
      </c>
      <c r="C201" s="445">
        <f>IF(C128&gt;0,IF(C177&gt;C153,((C177*C$83)-C128),C177*C$83),C177*C$83)</f>
        <v>0</v>
      </c>
      <c r="D201" s="436">
        <f t="shared" si="13"/>
        <v>2.0799999999999999E-2</v>
      </c>
      <c r="E201" s="679">
        <f>C201*D201*E$8</f>
        <v>0</v>
      </c>
      <c r="F201" s="445">
        <f>IF(F128&gt;0,IF(F177&gt;F153,((F177*F$83)-F128),F177*F$83),F177*F$83)</f>
        <v>0</v>
      </c>
      <c r="G201" s="436">
        <f t="shared" si="14"/>
        <v>2.0799999999999999E-2</v>
      </c>
      <c r="H201" s="376">
        <f>F201*G201*H$8</f>
        <v>0</v>
      </c>
      <c r="I201" s="445">
        <f>IF(I128&gt;0,IF(I177&gt;I153,((I177*I$83)-I128),I177*I$83),I177*I$83)</f>
        <v>0</v>
      </c>
      <c r="J201" s="436">
        <f t="shared" si="15"/>
        <v>2.0799999999999999E-2</v>
      </c>
      <c r="K201" s="376">
        <f>I201*J201*K$8</f>
        <v>0</v>
      </c>
      <c r="L201" s="445">
        <f>IF(L128&gt;0,IF(L177&gt;L153,((L177*L$83)-L128),L177*L$83),L177*L$83)</f>
        <v>0</v>
      </c>
      <c r="M201" s="436">
        <f t="shared" si="16"/>
        <v>2.0799999999999999E-2</v>
      </c>
      <c r="N201" s="374">
        <f>L201*M201*N$8</f>
        <v>0</v>
      </c>
      <c r="O201" s="700">
        <f>IF(O128&gt;0,IF(O177&gt;O153,((O177*O$83)-O128),O177*O$83),O177*O$83)</f>
        <v>0</v>
      </c>
      <c r="P201" s="436">
        <f t="shared" si="17"/>
        <v>2.0799999999999999E-2</v>
      </c>
      <c r="Q201" s="376">
        <f>O201*P201*Q$8</f>
        <v>0</v>
      </c>
      <c r="R201" s="445">
        <f>IF(R128&gt;0,IF(R177&gt;R153,((R177*R$83)-R128),R177*R$83),R177*R$83)</f>
        <v>0</v>
      </c>
      <c r="S201" s="436">
        <f t="shared" si="18"/>
        <v>2.0799999999999999E-2</v>
      </c>
      <c r="T201" s="376">
        <f>R201*S201*T$8</f>
        <v>0</v>
      </c>
      <c r="U201" s="445">
        <f>IF(U128&gt;0,IF(U177&gt;U153,((U177*U$83)-U128),U177*U$83),U177*U$83)</f>
        <v>0</v>
      </c>
      <c r="V201" s="436">
        <f t="shared" si="19"/>
        <v>2.0799999999999999E-2</v>
      </c>
      <c r="W201" s="376">
        <f>U201*V201*W$8</f>
        <v>0</v>
      </c>
      <c r="X201" s="445">
        <f>IF(X128&gt;0,IF(X177&gt;X153,((X177*X$83)-X128),X177*X$83),X177*X$83)</f>
        <v>0</v>
      </c>
      <c r="Y201" s="436">
        <f t="shared" si="20"/>
        <v>2.0799999999999999E-2</v>
      </c>
      <c r="Z201" s="376">
        <f>X201*Y201*Z$8</f>
        <v>0</v>
      </c>
      <c r="AA201" s="445">
        <f>IF(AA128&gt;0,IF(AA177&gt;AA153,((AA177*AA$83)-AA128),AA177*AA$83),AA177*AA$83)</f>
        <v>0</v>
      </c>
      <c r="AB201" s="436">
        <f t="shared" si="21"/>
        <v>2.0799999999999999E-2</v>
      </c>
      <c r="AC201" s="376">
        <f>AA201*AB201*AC$8</f>
        <v>0</v>
      </c>
      <c r="AD201" s="445">
        <f>IF(AD128&gt;0,IF(AD177&gt;AD153,((AD177*AD$83)-AD128),AD177*AD$83),AD177*AD$83)</f>
        <v>0</v>
      </c>
      <c r="AE201" s="436">
        <f t="shared" si="22"/>
        <v>2.0799999999999999E-2</v>
      </c>
      <c r="AF201" s="376">
        <f>AD201*AE201*AF$8</f>
        <v>0</v>
      </c>
      <c r="AG201" s="445">
        <f>IF(AG128&gt;0,IF(AG177&gt;AG153,((AG177*AG$83)-AG128),AG177*AG$83),AG177*AG$83)</f>
        <v>0</v>
      </c>
      <c r="AH201" s="436">
        <f t="shared" si="23"/>
        <v>2.0799999999999999E-2</v>
      </c>
      <c r="AI201" s="376">
        <f>AG201*AH201*AI$8</f>
        <v>0</v>
      </c>
      <c r="AJ201" s="445">
        <f>IF(AJ128&gt;0,IF(AJ177&gt;AJ153,((AJ177*AJ$83)-AJ128),AJ177*AJ$83),AJ177*AJ$83)</f>
        <v>0</v>
      </c>
      <c r="AK201" s="436">
        <f t="shared" si="24"/>
        <v>2.0799999999999999E-2</v>
      </c>
      <c r="AL201" s="376">
        <f>AJ201*AK201*AL$8</f>
        <v>0</v>
      </c>
      <c r="AM201" s="445">
        <f>AM177*AM$83</f>
        <v>-269500</v>
      </c>
      <c r="AN201" s="436">
        <v>1.7500000000000002E-2</v>
      </c>
      <c r="AO201" s="376">
        <f>AM201*AN201*AO$8</f>
        <v>-146203.75</v>
      </c>
      <c r="AP201" s="445">
        <f>AP177*AP$83</f>
        <v>0</v>
      </c>
      <c r="AQ201" s="436">
        <v>1.7500000000000002E-2</v>
      </c>
      <c r="AR201" s="376">
        <f>AP201*AQ201*AR$8</f>
        <v>0</v>
      </c>
      <c r="AS201" s="445">
        <f>AS177*AS$83</f>
        <v>0</v>
      </c>
      <c r="AT201" s="436">
        <v>1.7500000000000002E-2</v>
      </c>
      <c r="AU201" s="376">
        <f>AS201*AT201*AU$8</f>
        <v>0</v>
      </c>
      <c r="AV201" s="445">
        <f>AV177*AV$83</f>
        <v>0</v>
      </c>
      <c r="AW201" s="436">
        <v>1.7500000000000002E-2</v>
      </c>
      <c r="AX201" s="376">
        <f>AV201*AW201*AX$8</f>
        <v>0</v>
      </c>
      <c r="AY201" s="445">
        <f>AY177*AY$83</f>
        <v>0</v>
      </c>
      <c r="AZ201" s="436">
        <v>1.7500000000000002E-2</v>
      </c>
      <c r="BA201" s="376">
        <f>AY201*AZ201*BA$8</f>
        <v>0</v>
      </c>
      <c r="BB201" s="445">
        <f>BB177*BB$83</f>
        <v>0</v>
      </c>
      <c r="BC201" s="436">
        <v>1.7500000000000002E-2</v>
      </c>
      <c r="BD201" s="376">
        <f>BB201*BC201*BD$8</f>
        <v>0</v>
      </c>
      <c r="BE201" s="445">
        <f>BE177*BE$83</f>
        <v>0</v>
      </c>
      <c r="BF201" s="436">
        <v>1.7500000000000002E-2</v>
      </c>
      <c r="BG201" s="376">
        <f>BE201*BF201*BG$8</f>
        <v>0</v>
      </c>
      <c r="BH201" s="445">
        <f>BH177*BH$83</f>
        <v>0</v>
      </c>
      <c r="BI201" s="436">
        <v>1.7500000000000002E-2</v>
      </c>
      <c r="BJ201" s="376">
        <f>BH201*BI201*BJ$8</f>
        <v>0</v>
      </c>
      <c r="BK201" s="445">
        <f>BK177*BK$83</f>
        <v>0</v>
      </c>
      <c r="BL201" s="436">
        <v>1.7500000000000002E-2</v>
      </c>
      <c r="BM201" s="376">
        <f>BK201*BL201*BM$8</f>
        <v>0</v>
      </c>
      <c r="BN201" s="445">
        <f>BN177*BN$83</f>
        <v>0</v>
      </c>
      <c r="BO201" s="436">
        <v>1.7500000000000002E-2</v>
      </c>
      <c r="BP201" s="376">
        <f>BN201*BO201*BP$8</f>
        <v>0</v>
      </c>
      <c r="BQ201" s="445">
        <f>BQ177*BQ$83</f>
        <v>0</v>
      </c>
      <c r="BR201" s="436">
        <v>1.7500000000000002E-2</v>
      </c>
      <c r="BS201" s="376">
        <f>BQ201*BR201*BS$8</f>
        <v>0</v>
      </c>
      <c r="BT201" s="445">
        <f>BT177*BT$83</f>
        <v>0</v>
      </c>
      <c r="BU201" s="436">
        <v>1.7500000000000002E-2</v>
      </c>
      <c r="BV201" s="376">
        <f>BT201*BU201*BV$8</f>
        <v>0</v>
      </c>
      <c r="BW201" s="446"/>
      <c r="BX201" s="446"/>
      <c r="BY201" s="446"/>
      <c r="BZ201" s="446"/>
      <c r="CA201" s="446"/>
      <c r="CB201" s="446"/>
      <c r="CC201" s="446"/>
      <c r="CD201" s="446"/>
      <c r="CE201" s="446"/>
      <c r="CF201" s="446"/>
      <c r="CG201" s="446"/>
      <c r="CH201" s="446"/>
      <c r="CI201" s="446"/>
      <c r="CJ201" s="446"/>
      <c r="CK201" s="446"/>
      <c r="CL201" s="446"/>
      <c r="CM201" s="446"/>
      <c r="CN201" s="446"/>
      <c r="CO201" s="446"/>
      <c r="CP201" s="446"/>
      <c r="CQ201" s="446"/>
      <c r="CR201" s="446"/>
      <c r="CS201" s="446"/>
      <c r="CT201" s="446"/>
      <c r="CU201" s="446"/>
      <c r="CV201" s="446"/>
      <c r="CW201" s="446"/>
      <c r="CX201" s="446"/>
      <c r="CY201" s="446"/>
      <c r="CZ201" s="446"/>
      <c r="DA201" s="446"/>
      <c r="DB201" s="446"/>
      <c r="DC201" s="446"/>
      <c r="DD201" s="446"/>
      <c r="DE201" s="446"/>
      <c r="DF201" s="446"/>
      <c r="DG201" s="446"/>
      <c r="DH201" s="446"/>
      <c r="DI201" s="446"/>
      <c r="DJ201" s="446"/>
      <c r="DK201" s="446"/>
      <c r="DL201" s="446"/>
      <c r="DM201" s="446"/>
      <c r="DN201" s="446"/>
      <c r="DO201" s="446"/>
      <c r="DP201" s="446"/>
      <c r="DQ201" s="446"/>
      <c r="DR201" s="446"/>
      <c r="DS201" s="446"/>
      <c r="DT201" s="446"/>
      <c r="DU201" s="446"/>
      <c r="DV201" s="446"/>
      <c r="DW201" s="446"/>
      <c r="DX201" s="446"/>
      <c r="DY201" s="446"/>
      <c r="DZ201" s="446"/>
      <c r="EA201" s="446"/>
      <c r="EB201" s="446"/>
      <c r="EC201" s="446"/>
      <c r="ED201" s="446"/>
      <c r="EE201" s="446"/>
      <c r="EF201" s="446"/>
      <c r="EG201" s="446"/>
      <c r="EH201" s="446"/>
      <c r="EI201" s="446"/>
      <c r="EJ201" s="446"/>
      <c r="EK201" s="446"/>
      <c r="EL201" s="446"/>
      <c r="EM201" s="446"/>
      <c r="EN201" s="446"/>
      <c r="EO201" s="446"/>
      <c r="EP201" s="446"/>
      <c r="EQ201" s="446"/>
      <c r="ER201" s="446"/>
      <c r="ES201" s="446"/>
      <c r="ET201" s="446"/>
      <c r="EU201" s="446"/>
      <c r="EV201" s="446"/>
      <c r="EW201" s="446"/>
      <c r="EX201" s="446"/>
    </row>
    <row r="202" spans="1:154" s="439" customFormat="1" x14ac:dyDescent="0.2">
      <c r="A202" s="439" t="s">
        <v>228</v>
      </c>
      <c r="B202" s="439" t="s">
        <v>52</v>
      </c>
      <c r="C202" s="445">
        <f>IF(C129&gt;0,IF(C178&gt;C154,((C178*C$83)-C129),C178*C$83),C178*C$83)</f>
        <v>0</v>
      </c>
      <c r="D202" s="436">
        <f t="shared" si="13"/>
        <v>1.7399999999999999E-2</v>
      </c>
      <c r="E202" s="679">
        <f>C202*D202*E$8</f>
        <v>0</v>
      </c>
      <c r="F202" s="445">
        <f>IF(F129&gt;0,IF(F178&gt;F154,((F178*F$83)-F129),F178*F$83),F178*F$83)</f>
        <v>0</v>
      </c>
      <c r="G202" s="436">
        <f t="shared" si="14"/>
        <v>1.7399999999999999E-2</v>
      </c>
      <c r="H202" s="376">
        <f>F202*G202*H$8</f>
        <v>0</v>
      </c>
      <c r="I202" s="445">
        <f>IF(I129&gt;0,IF(I178&gt;I154,((I178*I$83)-I129),I178*I$83),I178*I$83)</f>
        <v>0</v>
      </c>
      <c r="J202" s="436">
        <f t="shared" si="15"/>
        <v>1.7399999999999999E-2</v>
      </c>
      <c r="K202" s="376">
        <f>I202*J202*K$8</f>
        <v>0</v>
      </c>
      <c r="L202" s="445">
        <f>IF(L129&gt;0,IF(L178&gt;L154,((L178*L$83)-L129),L178*L$83),L178*L$83)</f>
        <v>0</v>
      </c>
      <c r="M202" s="436">
        <f t="shared" si="16"/>
        <v>1.7399999999999999E-2</v>
      </c>
      <c r="N202" s="374">
        <f>L202*M202*N$8</f>
        <v>0</v>
      </c>
      <c r="O202" s="700">
        <f>IF(O129&gt;0,IF(O178&gt;O154,((O178*O$83)-O129),O178*O$83),O178*O$83)</f>
        <v>0</v>
      </c>
      <c r="P202" s="436">
        <f t="shared" si="17"/>
        <v>1.7399999999999999E-2</v>
      </c>
      <c r="Q202" s="376">
        <f>O202*P202*Q$8</f>
        <v>0</v>
      </c>
      <c r="R202" s="445">
        <f>IF(R129&gt;0,IF(R178&gt;R154,((R178*R$83)-R129),R178*R$83),R178*R$83)</f>
        <v>1950</v>
      </c>
      <c r="S202" s="436">
        <f t="shared" si="18"/>
        <v>1.7399999999999999E-2</v>
      </c>
      <c r="T202" s="376">
        <f>R202*S202*T$8</f>
        <v>1017.9</v>
      </c>
      <c r="U202" s="445">
        <f>IF(U129&gt;0,IF(U178&gt;U154,((U178*U$83)-U129),U178*U$83),U178*U$83)</f>
        <v>1937</v>
      </c>
      <c r="V202" s="436">
        <f t="shared" si="19"/>
        <v>1.7399999999999999E-2</v>
      </c>
      <c r="W202" s="376">
        <f>U202*V202*W$8</f>
        <v>1044.8178</v>
      </c>
      <c r="X202" s="445">
        <f>IF(X129&gt;0,IF(X178&gt;X154,((X178*X$83)-X129),X178*X$83),X178*X$83)</f>
        <v>2080</v>
      </c>
      <c r="Y202" s="436">
        <f t="shared" si="20"/>
        <v>1.7399999999999999E-2</v>
      </c>
      <c r="Z202" s="376">
        <f>X202*Y202*Z$8</f>
        <v>1121.952</v>
      </c>
      <c r="AA202" s="445">
        <f>IF(AA129&gt;0,IF(AA178&gt;AA154,((AA178*AA$83)-AA129),AA178*AA$83),AA178*AA$83)</f>
        <v>2054</v>
      </c>
      <c r="AB202" s="436">
        <f t="shared" si="21"/>
        <v>1.7399999999999999E-2</v>
      </c>
      <c r="AC202" s="376">
        <f>AA202*AB202*AC$8</f>
        <v>1072.1879999999999</v>
      </c>
      <c r="AD202" s="445">
        <f>IF(AD129&gt;0,IF(AD178&gt;AD154,((AD178*AD$83)-AD129),AD178*AD$83),AD178*AD$83)</f>
        <v>1950</v>
      </c>
      <c r="AE202" s="436">
        <f t="shared" si="22"/>
        <v>1.7399999999999999E-2</v>
      </c>
      <c r="AF202" s="376">
        <f>AD202*AE202*AF$8</f>
        <v>1051.83</v>
      </c>
      <c r="AG202" s="445">
        <f>IF(AG129&gt;0,IF(AG178&gt;AG154,((AG178*AG$83)-AG129),AG178*AG$83),AG178*AG$83)</f>
        <v>1456.0000000000002</v>
      </c>
      <c r="AH202" s="436">
        <f t="shared" si="23"/>
        <v>1.7399999999999999E-2</v>
      </c>
      <c r="AI202" s="376">
        <f>AG202*AH202*AI$8</f>
        <v>760.03200000000004</v>
      </c>
      <c r="AJ202" s="445">
        <f>IF(AJ129&gt;0,IF(AJ178&gt;AJ154,((AJ178*AJ$83)-AJ129),AJ178*AJ$83),AJ178*AJ$83)</f>
        <v>1625</v>
      </c>
      <c r="AK202" s="436">
        <f t="shared" si="24"/>
        <v>1.7399999999999999E-2</v>
      </c>
      <c r="AL202" s="376">
        <f>AJ202*AK202*AL$8</f>
        <v>876.52499999999998</v>
      </c>
      <c r="AM202" s="445">
        <f>AM178*AM$83</f>
        <v>-1430.0000000000002</v>
      </c>
      <c r="AN202" s="436">
        <v>1.7500000000000002E-2</v>
      </c>
      <c r="AO202" s="376">
        <f>AM202*AN202*AO$8</f>
        <v>-775.7750000000002</v>
      </c>
      <c r="AP202" s="445">
        <f>AP178*AP$83</f>
        <v>0</v>
      </c>
      <c r="AQ202" s="436">
        <v>1.7500000000000002E-2</v>
      </c>
      <c r="AR202" s="376">
        <f>AP202*AQ202*AR$8</f>
        <v>0</v>
      </c>
      <c r="AS202" s="445">
        <f>AS178*AS$83</f>
        <v>0</v>
      </c>
      <c r="AT202" s="436">
        <v>1.7500000000000002E-2</v>
      </c>
      <c r="AU202" s="376">
        <f>AS202*AT202*AU$8</f>
        <v>0</v>
      </c>
      <c r="AV202" s="445">
        <f>AV178*AV$83</f>
        <v>0</v>
      </c>
      <c r="AW202" s="436">
        <v>1.7500000000000002E-2</v>
      </c>
      <c r="AX202" s="376">
        <f>AV202*AW202*AX$8</f>
        <v>0</v>
      </c>
      <c r="AY202" s="445">
        <f>AY178*AY$83</f>
        <v>0</v>
      </c>
      <c r="AZ202" s="436">
        <v>1.7500000000000002E-2</v>
      </c>
      <c r="BA202" s="376">
        <f>AY202*AZ202*BA$8</f>
        <v>0</v>
      </c>
      <c r="BB202" s="445">
        <f>BB178*BB$83</f>
        <v>0</v>
      </c>
      <c r="BC202" s="436">
        <v>1.7500000000000002E-2</v>
      </c>
      <c r="BD202" s="376">
        <f>BB202*BC202*BD$8</f>
        <v>0</v>
      </c>
      <c r="BE202" s="445">
        <f>BE178*BE$83</f>
        <v>0</v>
      </c>
      <c r="BF202" s="436">
        <v>1.7500000000000002E-2</v>
      </c>
      <c r="BG202" s="376">
        <f>BE202*BF202*BG$8</f>
        <v>0</v>
      </c>
      <c r="BH202" s="445">
        <f>BH178*BH$83</f>
        <v>0</v>
      </c>
      <c r="BI202" s="436">
        <v>1.7500000000000002E-2</v>
      </c>
      <c r="BJ202" s="376">
        <f>BH202*BI202*BJ$8</f>
        <v>0</v>
      </c>
      <c r="BK202" s="445">
        <f>BK178*BK$83</f>
        <v>0</v>
      </c>
      <c r="BL202" s="436">
        <v>1.7500000000000002E-2</v>
      </c>
      <c r="BM202" s="376">
        <f>BK202*BL202*BM$8</f>
        <v>0</v>
      </c>
      <c r="BN202" s="445">
        <f>BN178*BN$83</f>
        <v>0</v>
      </c>
      <c r="BO202" s="436">
        <v>1.7500000000000002E-2</v>
      </c>
      <c r="BP202" s="376">
        <f>BN202*BO202*BP$8</f>
        <v>0</v>
      </c>
      <c r="BQ202" s="445">
        <f>BQ178*BQ$83</f>
        <v>0</v>
      </c>
      <c r="BR202" s="436">
        <v>1.7500000000000002E-2</v>
      </c>
      <c r="BS202" s="376">
        <f>BQ202*BR202*BS$8</f>
        <v>0</v>
      </c>
      <c r="BT202" s="445">
        <f>BT178*BT$83</f>
        <v>0</v>
      </c>
      <c r="BU202" s="436">
        <v>1.7500000000000002E-2</v>
      </c>
      <c r="BV202" s="376">
        <f>BT202*BU202*BV$8</f>
        <v>0</v>
      </c>
      <c r="BW202" s="446"/>
      <c r="BX202" s="446"/>
      <c r="BY202" s="446"/>
      <c r="BZ202" s="446"/>
      <c r="CA202" s="446"/>
      <c r="CB202" s="446"/>
      <c r="CC202" s="446"/>
      <c r="CD202" s="446"/>
      <c r="CE202" s="446"/>
      <c r="CF202" s="446"/>
      <c r="CG202" s="446"/>
      <c r="CH202" s="446"/>
      <c r="CI202" s="446"/>
      <c r="CJ202" s="446"/>
      <c r="CK202" s="446"/>
      <c r="CL202" s="446"/>
      <c r="CM202" s="446"/>
      <c r="CN202" s="446"/>
      <c r="CO202" s="446"/>
      <c r="CP202" s="446"/>
      <c r="CQ202" s="446"/>
      <c r="CR202" s="446"/>
      <c r="CS202" s="446"/>
      <c r="CT202" s="446"/>
      <c r="CU202" s="446"/>
      <c r="CV202" s="446"/>
      <c r="CW202" s="446"/>
      <c r="CX202" s="446"/>
      <c r="CY202" s="446"/>
      <c r="CZ202" s="446"/>
      <c r="DA202" s="446"/>
      <c r="DB202" s="446"/>
      <c r="DC202" s="446"/>
      <c r="DD202" s="446"/>
      <c r="DE202" s="446"/>
      <c r="DF202" s="446"/>
      <c r="DG202" s="446"/>
      <c r="DH202" s="446"/>
      <c r="DI202" s="446"/>
      <c r="DJ202" s="446"/>
      <c r="DK202" s="446"/>
      <c r="DL202" s="446"/>
      <c r="DM202" s="446"/>
      <c r="DN202" s="446"/>
      <c r="DO202" s="446"/>
      <c r="DP202" s="446"/>
      <c r="DQ202" s="446"/>
      <c r="DR202" s="446"/>
      <c r="DS202" s="446"/>
      <c r="DT202" s="446"/>
      <c r="DU202" s="446"/>
      <c r="DV202" s="446"/>
      <c r="DW202" s="446"/>
      <c r="DX202" s="446"/>
      <c r="DY202" s="446"/>
      <c r="DZ202" s="446"/>
      <c r="EA202" s="446"/>
      <c r="EB202" s="446"/>
      <c r="EC202" s="446"/>
      <c r="ED202" s="446"/>
      <c r="EE202" s="446"/>
      <c r="EF202" s="446"/>
      <c r="EG202" s="446"/>
      <c r="EH202" s="446"/>
      <c r="EI202" s="446"/>
      <c r="EJ202" s="446"/>
      <c r="EK202" s="446"/>
      <c r="EL202" s="446"/>
      <c r="EM202" s="446"/>
      <c r="EN202" s="446"/>
      <c r="EO202" s="446"/>
      <c r="EP202" s="446"/>
      <c r="EQ202" s="446"/>
      <c r="ER202" s="446"/>
      <c r="ES202" s="446"/>
      <c r="ET202" s="446"/>
      <c r="EU202" s="446"/>
      <c r="EV202" s="446"/>
      <c r="EW202" s="446"/>
      <c r="EX202" s="446"/>
    </row>
    <row r="203" spans="1:154" s="373" customFormat="1" x14ac:dyDescent="0.2">
      <c r="A203" s="373" t="s">
        <v>143</v>
      </c>
      <c r="C203" s="450">
        <f>SUM(C198:C202)</f>
        <v>350221</v>
      </c>
      <c r="D203" s="437"/>
      <c r="E203" s="684">
        <f>SUM(E198:E202)</f>
        <v>244476.49350000001</v>
      </c>
      <c r="F203" s="450">
        <f>SUM(F198:F202)</f>
        <v>360927</v>
      </c>
      <c r="G203" s="437"/>
      <c r="H203" s="438">
        <f>SUM(H198:H202)</f>
        <v>228678.78600000002</v>
      </c>
      <c r="I203" s="450">
        <f>SUM(I198:I202)</f>
        <v>370884</v>
      </c>
      <c r="J203" s="437"/>
      <c r="K203" s="438">
        <f>SUM(K198:K202)</f>
        <v>256690.97399999999</v>
      </c>
      <c r="L203" s="450">
        <f>SUM(L198:L202)</f>
        <v>319902</v>
      </c>
      <c r="M203" s="437"/>
      <c r="N203" s="695">
        <f>SUM(N198:N202)</f>
        <v>213590.61000000002</v>
      </c>
      <c r="O203" s="701">
        <f>SUM(O198:O202)</f>
        <v>332082</v>
      </c>
      <c r="P203" s="437"/>
      <c r="Q203" s="438">
        <f>SUM(Q198:Q202)</f>
        <v>227695.52700000003</v>
      </c>
      <c r="R203" s="450">
        <f>SUM(R198:R202)</f>
        <v>434787</v>
      </c>
      <c r="S203" s="437"/>
      <c r="T203" s="438">
        <f>SUM(T198:T202)</f>
        <v>303859.935</v>
      </c>
      <c r="U203" s="450">
        <f>SUM(U198:U202)</f>
        <v>463363</v>
      </c>
      <c r="V203" s="437"/>
      <c r="W203" s="438">
        <f>SUM(W198:W202)</f>
        <v>339995.12880000001</v>
      </c>
      <c r="X203" s="450">
        <f>SUM(X198:X202)</f>
        <v>460539</v>
      </c>
      <c r="Y203" s="437"/>
      <c r="Z203" s="438">
        <f>SUM(Z198:Z202)</f>
        <v>335185.43849999999</v>
      </c>
      <c r="AA203" s="450">
        <f>SUM(AA198:AA202)</f>
        <v>453736</v>
      </c>
      <c r="AB203" s="437"/>
      <c r="AC203" s="438">
        <f>SUM(AC198:AC202)</f>
        <v>323680.69799999997</v>
      </c>
      <c r="AD203" s="450">
        <f>SUM(AD198:AD202)</f>
        <v>474109</v>
      </c>
      <c r="AE203" s="437"/>
      <c r="AF203" s="438">
        <f>SUM(AF198:AF202)</f>
        <v>347219.26650000003</v>
      </c>
      <c r="AG203" s="450">
        <f>SUM(AG198:AG202)</f>
        <v>494784</v>
      </c>
      <c r="AH203" s="437"/>
      <c r="AI203" s="438">
        <f>SUM(AI198:AI202)</f>
        <v>350937.07199999999</v>
      </c>
      <c r="AJ203" s="450">
        <f>SUM(AJ198:AJ202)</f>
        <v>477289</v>
      </c>
      <c r="AK203" s="437"/>
      <c r="AL203" s="438">
        <f>SUM(AL198:AL202)</f>
        <v>346364.82899999997</v>
      </c>
      <c r="AM203" s="450">
        <f>SUM(AM198:AM202)</f>
        <v>-508730</v>
      </c>
      <c r="AN203" s="437"/>
      <c r="AO203" s="438">
        <f>SUM(AO198:AO202)</f>
        <v>-324977.80500000005</v>
      </c>
      <c r="AP203" s="450">
        <f>SUM(AP198:AP202)</f>
        <v>0</v>
      </c>
      <c r="AQ203" s="437"/>
      <c r="AR203" s="438">
        <f>SUM(AR198:AR202)</f>
        <v>0</v>
      </c>
      <c r="AS203" s="450">
        <f>SUM(AS198:AS202)</f>
        <v>0</v>
      </c>
      <c r="AT203" s="437"/>
      <c r="AU203" s="438">
        <f>SUM(AU198:AU202)</f>
        <v>0</v>
      </c>
      <c r="AV203" s="450">
        <f>SUM(AV198:AV202)</f>
        <v>0</v>
      </c>
      <c r="AW203" s="437"/>
      <c r="AX203" s="438">
        <f>SUM(AX198:AX202)</f>
        <v>0</v>
      </c>
      <c r="AY203" s="450">
        <f>SUM(AY198:AY202)</f>
        <v>0</v>
      </c>
      <c r="AZ203" s="437"/>
      <c r="BA203" s="438">
        <f>SUM(BA198:BA202)</f>
        <v>0</v>
      </c>
      <c r="BB203" s="450">
        <f>SUM(BB198:BB202)</f>
        <v>0</v>
      </c>
      <c r="BC203" s="437"/>
      <c r="BD203" s="438">
        <f>SUM(BD198:BD202)</f>
        <v>0</v>
      </c>
      <c r="BE203" s="450">
        <f>SUM(BE198:BE202)</f>
        <v>0</v>
      </c>
      <c r="BF203" s="437"/>
      <c r="BG203" s="438">
        <f>SUM(BG198:BG202)</f>
        <v>0</v>
      </c>
      <c r="BH203" s="450">
        <f>SUM(BH198:BH202)</f>
        <v>0</v>
      </c>
      <c r="BI203" s="437"/>
      <c r="BJ203" s="438">
        <f>SUM(BJ198:BJ202)</f>
        <v>0</v>
      </c>
      <c r="BK203" s="450">
        <f>SUM(BK198:BK202)</f>
        <v>0</v>
      </c>
      <c r="BL203" s="437"/>
      <c r="BM203" s="438">
        <f>SUM(BM198:BM202)</f>
        <v>0</v>
      </c>
      <c r="BN203" s="450">
        <f>SUM(BN198:BN202)</f>
        <v>0</v>
      </c>
      <c r="BO203" s="437"/>
      <c r="BP203" s="438">
        <f>SUM(BP198:BP202)</f>
        <v>0</v>
      </c>
      <c r="BQ203" s="450">
        <f>SUM(BQ198:BQ202)</f>
        <v>0</v>
      </c>
      <c r="BR203" s="437"/>
      <c r="BS203" s="438">
        <f>SUM(BS198:BS202)</f>
        <v>0</v>
      </c>
      <c r="BT203" s="450">
        <f>SUM(BT198:BT202)</f>
        <v>0</v>
      </c>
      <c r="BU203" s="437"/>
      <c r="BV203" s="438">
        <f>SUM(BV198:BV202)</f>
        <v>0</v>
      </c>
      <c r="BW203" s="451"/>
      <c r="BX203" s="451"/>
      <c r="BY203" s="451"/>
      <c r="BZ203" s="451"/>
      <c r="CA203" s="451"/>
      <c r="CB203" s="451"/>
      <c r="CC203" s="451"/>
      <c r="CD203" s="451"/>
      <c r="CE203" s="451"/>
      <c r="CF203" s="451"/>
      <c r="CG203" s="451"/>
      <c r="CH203" s="451"/>
      <c r="CI203" s="451"/>
      <c r="CJ203" s="451"/>
      <c r="CK203" s="451"/>
      <c r="CL203" s="451"/>
      <c r="CM203" s="451"/>
      <c r="CN203" s="451"/>
      <c r="CO203" s="451"/>
      <c r="CP203" s="451"/>
      <c r="CQ203" s="451"/>
      <c r="CR203" s="451"/>
      <c r="CS203" s="451"/>
      <c r="CT203" s="451"/>
      <c r="CU203" s="451"/>
      <c r="CV203" s="451"/>
      <c r="CW203" s="451"/>
      <c r="CX203" s="451"/>
      <c r="CY203" s="451"/>
      <c r="CZ203" s="451"/>
      <c r="DA203" s="451"/>
      <c r="DB203" s="451"/>
      <c r="DC203" s="451"/>
      <c r="DD203" s="451"/>
      <c r="DE203" s="451"/>
      <c r="DF203" s="451"/>
      <c r="DG203" s="451"/>
      <c r="DH203" s="451"/>
      <c r="DI203" s="451"/>
      <c r="DJ203" s="451"/>
      <c r="DK203" s="451"/>
      <c r="DL203" s="451"/>
      <c r="DM203" s="451"/>
      <c r="DN203" s="451"/>
      <c r="DO203" s="451"/>
      <c r="DP203" s="451"/>
      <c r="DQ203" s="451"/>
      <c r="DR203" s="451"/>
      <c r="DS203" s="451"/>
      <c r="DT203" s="451"/>
      <c r="DU203" s="451"/>
      <c r="DV203" s="451"/>
      <c r="DW203" s="451"/>
      <c r="DX203" s="451"/>
      <c r="DY203" s="451"/>
      <c r="DZ203" s="451"/>
      <c r="EA203" s="451"/>
      <c r="EB203" s="451"/>
      <c r="EC203" s="451"/>
      <c r="ED203" s="451"/>
      <c r="EE203" s="451"/>
      <c r="EF203" s="451"/>
      <c r="EG203" s="451"/>
      <c r="EH203" s="451"/>
      <c r="EI203" s="451"/>
      <c r="EJ203" s="451"/>
      <c r="EK203" s="451"/>
      <c r="EL203" s="451"/>
      <c r="EM203" s="451"/>
      <c r="EN203" s="451"/>
      <c r="EO203" s="451"/>
      <c r="EP203" s="451"/>
      <c r="EQ203" s="451"/>
      <c r="ER203" s="451"/>
      <c r="ES203" s="451"/>
      <c r="ET203" s="451"/>
      <c r="EU203" s="451"/>
      <c r="EV203" s="451"/>
      <c r="EW203" s="451"/>
      <c r="EX203" s="451"/>
    </row>
    <row r="207" spans="1:154" s="61" customFormat="1" x14ac:dyDescent="0.2">
      <c r="A207" s="412"/>
      <c r="B207" s="413"/>
      <c r="C207" s="662"/>
      <c r="D207" s="375"/>
      <c r="E207" s="679"/>
      <c r="F207" s="414"/>
      <c r="G207" s="373"/>
      <c r="H207" s="376"/>
      <c r="I207" s="375"/>
      <c r="J207" s="375"/>
      <c r="K207" s="376"/>
      <c r="L207" s="375"/>
      <c r="M207" s="375"/>
      <c r="N207" s="375"/>
      <c r="O207" s="448"/>
      <c r="P207" s="415"/>
      <c r="Q207" s="411"/>
      <c r="R207" s="377"/>
      <c r="S207" s="377"/>
      <c r="T207" s="416"/>
      <c r="U207" s="378">
        <v>0</v>
      </c>
      <c r="V207" s="377">
        <v>-16000</v>
      </c>
      <c r="W207" s="411"/>
      <c r="X207" s="377"/>
      <c r="Y207" s="377"/>
      <c r="Z207" s="411"/>
      <c r="AA207" s="377"/>
      <c r="AB207" s="377"/>
      <c r="AC207" s="404"/>
      <c r="AF207" s="404"/>
      <c r="AI207" s="404"/>
      <c r="AL207" s="404"/>
      <c r="AO207" s="404"/>
      <c r="AR207" s="404"/>
      <c r="AU207" s="404"/>
      <c r="AX207" s="404"/>
      <c r="BA207" s="404"/>
      <c r="BD207" s="404"/>
      <c r="BG207" s="404"/>
      <c r="BJ207" s="404"/>
      <c r="BM207" s="404"/>
      <c r="BP207" s="404"/>
      <c r="BS207" s="404"/>
      <c r="BV207" s="404"/>
    </row>
    <row r="208" spans="1:154" s="389" customFormat="1" x14ac:dyDescent="0.2">
      <c r="A208" s="422" t="s">
        <v>434</v>
      </c>
      <c r="B208" s="417"/>
      <c r="C208" s="664"/>
      <c r="D208" s="384"/>
      <c r="E208" s="681"/>
      <c r="F208" s="418"/>
      <c r="G208" s="381"/>
      <c r="H208" s="385"/>
      <c r="I208" s="384"/>
      <c r="J208" s="384"/>
      <c r="K208" s="385"/>
      <c r="L208" s="384"/>
      <c r="M208" s="384"/>
      <c r="N208" s="384"/>
      <c r="O208" s="697"/>
      <c r="P208" s="419"/>
      <c r="Q208" s="420"/>
      <c r="R208" s="386"/>
      <c r="S208" s="386"/>
      <c r="T208" s="421"/>
      <c r="U208" s="387"/>
      <c r="V208" s="386"/>
      <c r="W208" s="420"/>
      <c r="X208" s="386"/>
      <c r="Y208" s="386"/>
      <c r="Z208" s="420"/>
      <c r="AA208" s="386"/>
      <c r="AB208" s="386"/>
      <c r="AC208" s="405"/>
      <c r="AF208" s="405"/>
      <c r="AI208" s="405"/>
      <c r="AL208" s="405"/>
      <c r="AO208" s="405"/>
      <c r="AR208" s="405"/>
      <c r="AU208" s="405"/>
      <c r="AX208" s="405"/>
      <c r="BA208" s="405"/>
      <c r="BD208" s="405"/>
      <c r="BG208" s="405"/>
      <c r="BJ208" s="405"/>
      <c r="BM208" s="405"/>
      <c r="BP208" s="405"/>
      <c r="BS208" s="405"/>
      <c r="BV208" s="405"/>
    </row>
    <row r="209" spans="1:74" s="389" customFormat="1" x14ac:dyDescent="0.2">
      <c r="A209" s="381" t="s">
        <v>447</v>
      </c>
      <c r="C209" s="664" t="s">
        <v>22</v>
      </c>
      <c r="D209" s="384" t="s">
        <v>22</v>
      </c>
      <c r="E209" s="681" t="s">
        <v>22</v>
      </c>
      <c r="F209" s="384" t="s">
        <v>22</v>
      </c>
      <c r="G209" s="384" t="s">
        <v>22</v>
      </c>
      <c r="H209" s="385" t="s">
        <v>22</v>
      </c>
      <c r="I209" s="384" t="s">
        <v>22</v>
      </c>
      <c r="J209" s="384" t="s">
        <v>22</v>
      </c>
      <c r="K209" s="385" t="s">
        <v>22</v>
      </c>
      <c r="L209" s="384" t="s">
        <v>22</v>
      </c>
      <c r="M209" s="384" t="s">
        <v>22</v>
      </c>
      <c r="N209" s="384" t="s">
        <v>22</v>
      </c>
      <c r="O209" s="699" t="s">
        <v>22</v>
      </c>
      <c r="P209" s="384" t="s">
        <v>22</v>
      </c>
      <c r="Q209" s="385" t="s">
        <v>22</v>
      </c>
      <c r="R209" s="384" t="s">
        <v>22</v>
      </c>
      <c r="S209" s="384" t="s">
        <v>22</v>
      </c>
      <c r="T209" s="385" t="s">
        <v>22</v>
      </c>
      <c r="U209" s="384" t="s">
        <v>22</v>
      </c>
      <c r="V209" s="384" t="s">
        <v>22</v>
      </c>
      <c r="W209" s="385" t="s">
        <v>22</v>
      </c>
      <c r="X209" s="384" t="s">
        <v>22</v>
      </c>
      <c r="Y209" s="384" t="s">
        <v>22</v>
      </c>
      <c r="Z209" s="385" t="s">
        <v>22</v>
      </c>
      <c r="AA209" s="384" t="s">
        <v>22</v>
      </c>
      <c r="AB209" s="384" t="s">
        <v>22</v>
      </c>
      <c r="AC209" s="405"/>
      <c r="AF209" s="405"/>
      <c r="AI209" s="405"/>
      <c r="AL209" s="405"/>
      <c r="AO209" s="405"/>
      <c r="AR209" s="405"/>
      <c r="AU209" s="405"/>
      <c r="AX209" s="405"/>
      <c r="BA209" s="405"/>
      <c r="BD209" s="405"/>
      <c r="BG209" s="405"/>
      <c r="BJ209" s="405"/>
      <c r="BM209" s="405"/>
      <c r="BP209" s="405"/>
      <c r="BS209" s="405"/>
      <c r="BV209" s="405"/>
    </row>
    <row r="210" spans="1:74" s="61" customFormat="1" x14ac:dyDescent="0.2">
      <c r="A210" s="373" t="s">
        <v>130</v>
      </c>
      <c r="B210" s="439"/>
      <c r="C210" s="668"/>
      <c r="D210" s="374"/>
      <c r="E210" s="679"/>
      <c r="F210" s="374"/>
      <c r="G210" s="374"/>
      <c r="H210" s="376"/>
      <c r="I210" s="374"/>
      <c r="J210" s="374"/>
      <c r="K210" s="376"/>
      <c r="L210" s="374"/>
      <c r="M210" s="374"/>
      <c r="N210" s="374"/>
      <c r="O210" s="448"/>
      <c r="P210" s="373"/>
      <c r="Q210" s="449"/>
      <c r="R210" s="412"/>
      <c r="S210" s="448"/>
      <c r="T210" s="449"/>
      <c r="U210" s="412"/>
      <c r="V210" s="448"/>
      <c r="W210" s="411"/>
      <c r="X210" s="412"/>
      <c r="Y210" s="412"/>
      <c r="Z210" s="411"/>
      <c r="AA210" s="412"/>
      <c r="AB210" s="412"/>
      <c r="AC210" s="404"/>
      <c r="AF210" s="404"/>
      <c r="AI210" s="404"/>
      <c r="AL210" s="404"/>
      <c r="AO210" s="404"/>
      <c r="AR210" s="404"/>
      <c r="AU210" s="404"/>
      <c r="AX210" s="404"/>
      <c r="BA210" s="404"/>
      <c r="BD210" s="404"/>
      <c r="BG210" s="404"/>
      <c r="BJ210" s="404"/>
      <c r="BM210" s="404"/>
      <c r="BP210" s="404"/>
      <c r="BS210" s="404"/>
      <c r="BV210" s="404"/>
    </row>
    <row r="211" spans="1:74" s="61" customFormat="1" x14ac:dyDescent="0.2">
      <c r="A211" s="61" t="s">
        <v>131</v>
      </c>
      <c r="B211" s="61" t="s">
        <v>52</v>
      </c>
      <c r="C211" s="672">
        <f>C28+C53</f>
        <v>635214</v>
      </c>
      <c r="D211" s="712">
        <f>IF(C211&gt;0,E211/(C211*E$8),0)</f>
        <v>4.1814112610868148E-2</v>
      </c>
      <c r="E211" s="687">
        <f>E28+E53-E185</f>
        <v>823388.20156800002</v>
      </c>
      <c r="F211" s="61">
        <f>F28+F53</f>
        <v>635214</v>
      </c>
      <c r="G211" s="712">
        <f>IF(F211&gt;0,H211/(F211*H$8),0)</f>
        <v>4.1814112610868148E-2</v>
      </c>
      <c r="H211" s="687">
        <f>H28+H53-H185</f>
        <v>743705.47238399996</v>
      </c>
      <c r="I211" s="61">
        <f>I28+I53</f>
        <v>590214</v>
      </c>
      <c r="J211" s="712">
        <f>IF(I211&gt;0,K211/(I211*K$8),0)</f>
        <v>3.8703029287682093E-2</v>
      </c>
      <c r="K211" s="687">
        <f>K28+K53-K185</f>
        <v>708135.16156799998</v>
      </c>
      <c r="L211" s="61">
        <f>L28+L53</f>
        <v>590214</v>
      </c>
      <c r="M211" s="712">
        <f>IF(L211&gt;0,N211/(L211*N$8),0)</f>
        <v>3.8300469782146816E-2</v>
      </c>
      <c r="N211" s="687">
        <f>N28+N53-N185</f>
        <v>678164.20416000008</v>
      </c>
      <c r="O211" s="702">
        <f>O28+O53</f>
        <v>576827</v>
      </c>
      <c r="P211" s="712">
        <f>IF(O211&gt;0,Q211/(O211*Q$8),0)</f>
        <v>3.7336194755099882E-2</v>
      </c>
      <c r="Q211" s="687">
        <f>Q28+Q53-Q185</f>
        <v>667632.28157200001</v>
      </c>
      <c r="R211" s="61">
        <f>R28+R53</f>
        <v>581047</v>
      </c>
      <c r="S211" s="712">
        <f>IF(R211&gt;0,T211/(R211*T$8),0)</f>
        <v>3.2554655973326317E-2</v>
      </c>
      <c r="T211" s="687">
        <f>T28+T53-T185</f>
        <v>567473.55568000011</v>
      </c>
      <c r="U211" s="61">
        <f>U28+U53</f>
        <v>585617</v>
      </c>
      <c r="V211" s="712">
        <f>IF(U211&gt;0,W211/(U211*W$8),0)</f>
        <v>3.2749884516506907E-2</v>
      </c>
      <c r="W211" s="687">
        <f>W28+W53-W185</f>
        <v>594545.56274800003</v>
      </c>
      <c r="X211" s="61">
        <f>X28+X53</f>
        <v>582391</v>
      </c>
      <c r="Y211" s="712">
        <f>IF(X211&gt;0,Z211/(X211*Z$8),0)</f>
        <v>3.2513069564782462E-2</v>
      </c>
      <c r="Z211" s="687">
        <f>Z28+Z53-Z185</f>
        <v>586994.89200399991</v>
      </c>
      <c r="AA211" s="61">
        <f>AA28+AA53</f>
        <v>576047</v>
      </c>
      <c r="AB211" s="712">
        <f>IF(AA211&gt;0,AC211/(AA211*AC$8),0)</f>
        <v>3.250258999236752E-2</v>
      </c>
      <c r="AC211" s="687">
        <f>AC28+AC53-AC185</f>
        <v>561690.58372</v>
      </c>
      <c r="AD211" s="61">
        <f>AD28+AD53</f>
        <v>552000</v>
      </c>
      <c r="AE211" s="712">
        <f>IF(AD211&gt;0,AF211/(AD211*AF$8),0)</f>
        <v>3.2663460028050491E-2</v>
      </c>
      <c r="AF211" s="687">
        <f>AF28+AF53-AF185</f>
        <v>558937.12800000003</v>
      </c>
      <c r="AG211" s="61">
        <f>AG28+AG53</f>
        <v>597000</v>
      </c>
      <c r="AH211" s="712">
        <f>IF(AG211&gt;0,AI211/(AG211*AI$8),0)</f>
        <v>3.5836712451144614E-2</v>
      </c>
      <c r="AI211" s="687">
        <f>AI28+AI53-AI185</f>
        <v>641835.52000000002</v>
      </c>
      <c r="AJ211" s="61">
        <f>AJ28+AJ53</f>
        <v>597000</v>
      </c>
      <c r="AK211" s="712">
        <f>IF(AJ211&gt;0,AL211/(AJ211*AL$8),0)</f>
        <v>3.5768308207705192E-2</v>
      </c>
      <c r="AL211" s="687">
        <f>AL28+AL53-AL185</f>
        <v>661964.07999999996</v>
      </c>
      <c r="AM211" s="61">
        <f>AM28+AM53</f>
        <v>0</v>
      </c>
      <c r="AN211" s="712">
        <f>IF(AM211&gt;0,AO211/(AM211*AO$8),0)</f>
        <v>0</v>
      </c>
      <c r="AO211" s="687">
        <f>AO28+AO53-AO185</f>
        <v>47569.499999999993</v>
      </c>
      <c r="AP211" s="61">
        <f>AP28+AP53</f>
        <v>0</v>
      </c>
      <c r="AQ211" s="712">
        <f>IF(AP211&gt;0,AR211/(AP211*AR$8),0)</f>
        <v>0</v>
      </c>
      <c r="AR211" s="687">
        <f>AR28+AR53-AR185</f>
        <v>0</v>
      </c>
      <c r="AS211" s="61">
        <f>AS28+AS53</f>
        <v>0</v>
      </c>
      <c r="AT211" s="712">
        <f>IF(AS211&gt;0,AU211/(AS211*AU$8),0)</f>
        <v>0</v>
      </c>
      <c r="AU211" s="687">
        <f>AU28+AU53-AU185</f>
        <v>0</v>
      </c>
      <c r="AV211" s="61">
        <f>AV28+AV53</f>
        <v>0</v>
      </c>
      <c r="AW211" s="712">
        <f>IF(AV211&gt;0,AX211/(AV211*AX$8),0)</f>
        <v>0</v>
      </c>
      <c r="AX211" s="687">
        <f>AX28+AX53-AX185</f>
        <v>0</v>
      </c>
      <c r="AY211" s="61">
        <f>AY28+AY53</f>
        <v>0</v>
      </c>
      <c r="AZ211" s="712">
        <f>IF(AY211&gt;0,BA211/(AY211*BA$8),0)</f>
        <v>0</v>
      </c>
      <c r="BA211" s="687">
        <f>BA28+BA53-BA185</f>
        <v>0</v>
      </c>
      <c r="BB211" s="61">
        <f>BB28+BB53</f>
        <v>0</v>
      </c>
      <c r="BC211" s="712">
        <f>IF(BB211&gt;0,BD211/(BB211*BD$8),0)</f>
        <v>0</v>
      </c>
      <c r="BD211" s="687">
        <f>BD28+BD53-BD185</f>
        <v>0</v>
      </c>
      <c r="BE211" s="61">
        <f>BE28+BE53</f>
        <v>0</v>
      </c>
      <c r="BF211" s="712">
        <f>IF(BE211&gt;0,BG211/(BE211*BG$8),0)</f>
        <v>0</v>
      </c>
      <c r="BG211" s="687">
        <f>BG28+BG53-BG185</f>
        <v>0</v>
      </c>
      <c r="BH211" s="61">
        <f>BH28+BH53</f>
        <v>0</v>
      </c>
      <c r="BI211" s="712">
        <f>IF(BH211&gt;0,BJ211/(BH211*BJ$8),0)</f>
        <v>0</v>
      </c>
      <c r="BJ211" s="687">
        <f>BJ28+BJ53-BJ185</f>
        <v>0</v>
      </c>
      <c r="BK211" s="61">
        <f>BK28+BK53</f>
        <v>0</v>
      </c>
      <c r="BL211" s="712">
        <f>IF(BK211&gt;0,BM211/(BK211*BM$8),0)</f>
        <v>0</v>
      </c>
      <c r="BM211" s="687">
        <f>BM28+BM53-BM185</f>
        <v>0</v>
      </c>
      <c r="BN211" s="61">
        <f>BN28+BN53</f>
        <v>0</v>
      </c>
      <c r="BO211" s="712">
        <f>IF(BN211&gt;0,BP211/(BN211*BP$8),0)</f>
        <v>0</v>
      </c>
      <c r="BP211" s="687">
        <f>BP28+BP53-BP185</f>
        <v>0</v>
      </c>
      <c r="BQ211" s="61">
        <f>BQ28+BQ53</f>
        <v>0</v>
      </c>
      <c r="BR211" s="712">
        <f>IF(BQ211&gt;0,BS211/(BQ211*BS$8),0)</f>
        <v>0</v>
      </c>
      <c r="BS211" s="687">
        <f>BS28+BS53-BS185</f>
        <v>0</v>
      </c>
      <c r="BT211" s="61">
        <f>BT28+BT53</f>
        <v>0</v>
      </c>
      <c r="BU211" s="712">
        <f>IF(BT211&gt;0,BV211/(BT211*BV$8),0)</f>
        <v>0</v>
      </c>
      <c r="BV211" s="687">
        <f>BV28+BV53-BV185</f>
        <v>0</v>
      </c>
    </row>
    <row r="212" spans="1:74" s="61" customFormat="1" x14ac:dyDescent="0.2">
      <c r="A212" s="61" t="s">
        <v>132</v>
      </c>
      <c r="B212" s="61" t="s">
        <v>52</v>
      </c>
      <c r="C212" s="672">
        <f>C29+C54</f>
        <v>0</v>
      </c>
      <c r="D212" s="712">
        <f>IF(C212&gt;0,E212/(C212*E$8),0)</f>
        <v>0</v>
      </c>
      <c r="E212" s="687">
        <f>E29+E54-E186</f>
        <v>0</v>
      </c>
      <c r="F212" s="61">
        <f>F29+F54</f>
        <v>0</v>
      </c>
      <c r="G212" s="712">
        <f>IF(F212&gt;0,H212/(F212*H$8),0)</f>
        <v>0</v>
      </c>
      <c r="H212" s="687">
        <f>H29+H54-H186</f>
        <v>0</v>
      </c>
      <c r="I212" s="61">
        <f>I29+I54</f>
        <v>0</v>
      </c>
      <c r="J212" s="712">
        <f>IF(I212&gt;0,K212/(I212*K$8),0)</f>
        <v>0</v>
      </c>
      <c r="K212" s="687">
        <f>K29+K54-K186</f>
        <v>0</v>
      </c>
      <c r="L212" s="61">
        <f>L29+L54</f>
        <v>0</v>
      </c>
      <c r="M212" s="712">
        <f>IF(L212&gt;0,N212/(L212*N$8),0)</f>
        <v>0</v>
      </c>
      <c r="N212" s="687">
        <f>N29+N54-N186</f>
        <v>0</v>
      </c>
      <c r="O212" s="702">
        <f>O29+O54</f>
        <v>0</v>
      </c>
      <c r="P212" s="712">
        <f>IF(O212&gt;0,Q212/(O212*Q$8),0)</f>
        <v>0</v>
      </c>
      <c r="Q212" s="687">
        <f>Q29+Q54-Q186</f>
        <v>0</v>
      </c>
      <c r="R212" s="61">
        <f>R29+R54</f>
        <v>0</v>
      </c>
      <c r="S212" s="712">
        <f>IF(R212&gt;0,T212/(R212*T$8),0)</f>
        <v>0</v>
      </c>
      <c r="T212" s="687">
        <f>T29+T54-T186</f>
        <v>0</v>
      </c>
      <c r="U212" s="61">
        <f>U29+U54</f>
        <v>0</v>
      </c>
      <c r="V212" s="712">
        <f>IF(U212&gt;0,W212/(U212*W$8),0)</f>
        <v>0</v>
      </c>
      <c r="W212" s="687">
        <f>W29+W54-W186</f>
        <v>0</v>
      </c>
      <c r="X212" s="61">
        <f>X29+X54</f>
        <v>0</v>
      </c>
      <c r="Y212" s="712">
        <f>IF(X212&gt;0,Z212/(X212*Z$8),0)</f>
        <v>0</v>
      </c>
      <c r="Z212" s="687">
        <f>Z29+Z54-Z186</f>
        <v>0</v>
      </c>
      <c r="AA212" s="61">
        <f>AA29+AA54</f>
        <v>0</v>
      </c>
      <c r="AB212" s="712">
        <f>IF(AA212&gt;0,AC212/(AA212*AC$8),0)</f>
        <v>0</v>
      </c>
      <c r="AC212" s="687">
        <f>AC29+AC54-AC186</f>
        <v>0</v>
      </c>
      <c r="AD212" s="61">
        <f>AD29+AD54</f>
        <v>0</v>
      </c>
      <c r="AE212" s="712">
        <f>IF(AD212&gt;0,AF212/(AD212*AF$8),0)</f>
        <v>0</v>
      </c>
      <c r="AF212" s="687">
        <f>AF29+AF54-AF186</f>
        <v>0</v>
      </c>
      <c r="AG212" s="61">
        <f>AG29+AG54</f>
        <v>0</v>
      </c>
      <c r="AH212" s="712">
        <f>IF(AG212&gt;0,AI212/(AG212*AI$8),0)</f>
        <v>0</v>
      </c>
      <c r="AI212" s="687">
        <f>AI29+AI54-AI186</f>
        <v>0</v>
      </c>
      <c r="AJ212" s="61">
        <f>AJ29+AJ54</f>
        <v>0</v>
      </c>
      <c r="AK212" s="712">
        <f>IF(AJ212&gt;0,AL212/(AJ212*AL$8),0)</f>
        <v>0</v>
      </c>
      <c r="AL212" s="687">
        <f>AL29+AL54-AL186</f>
        <v>0</v>
      </c>
      <c r="AM212" s="61">
        <f>AM29+AM54</f>
        <v>0</v>
      </c>
      <c r="AN212" s="712">
        <f>IF(AM212&gt;0,AO212/(AM212*AO$8),0)</f>
        <v>0</v>
      </c>
      <c r="AO212" s="687">
        <f>AO29+AO54-AO186</f>
        <v>0</v>
      </c>
      <c r="AP212" s="61">
        <f>AP29+AP54</f>
        <v>0</v>
      </c>
      <c r="AQ212" s="712">
        <f>IF(AP212&gt;0,AR212/(AP212*AR$8),0)</f>
        <v>0</v>
      </c>
      <c r="AR212" s="687">
        <f>AR29+AR54-AR186</f>
        <v>0</v>
      </c>
      <c r="AS212" s="61">
        <f>AS29+AS54</f>
        <v>0</v>
      </c>
      <c r="AT212" s="712">
        <f>IF(AS212&gt;0,AU212/(AS212*AU$8),0)</f>
        <v>0</v>
      </c>
      <c r="AU212" s="687">
        <f>AU29+AU54-AU186</f>
        <v>0</v>
      </c>
      <c r="AV212" s="61">
        <f>AV29+AV54</f>
        <v>0</v>
      </c>
      <c r="AW212" s="712">
        <f>IF(AV212&gt;0,AX212/(AV212*AX$8),0)</f>
        <v>0</v>
      </c>
      <c r="AX212" s="687">
        <f>AX29+AX54-AX186</f>
        <v>0</v>
      </c>
      <c r="AY212" s="61">
        <f>AY29+AY54</f>
        <v>0</v>
      </c>
      <c r="AZ212" s="712">
        <f>IF(AY212&gt;0,BA212/(AY212*BA$8),0)</f>
        <v>0</v>
      </c>
      <c r="BA212" s="687">
        <f>BA29+BA54-BA186</f>
        <v>0</v>
      </c>
      <c r="BB212" s="61">
        <f>BB29+BB54</f>
        <v>0</v>
      </c>
      <c r="BC212" s="712">
        <f>IF(BB212&gt;0,BD212/(BB212*BD$8),0)</f>
        <v>0</v>
      </c>
      <c r="BD212" s="687">
        <f>BD29+BD54-BD186</f>
        <v>0</v>
      </c>
      <c r="BE212" s="61">
        <f>BE29+BE54</f>
        <v>0</v>
      </c>
      <c r="BF212" s="712">
        <f>IF(BE212&gt;0,BG212/(BE212*BG$8),0)</f>
        <v>0</v>
      </c>
      <c r="BG212" s="687">
        <f>BG29+BG54-BG186</f>
        <v>0</v>
      </c>
      <c r="BH212" s="61">
        <f>BH29+BH54</f>
        <v>0</v>
      </c>
      <c r="BI212" s="712">
        <f>IF(BH212&gt;0,BJ212/(BH212*BJ$8),0)</f>
        <v>0</v>
      </c>
      <c r="BJ212" s="687">
        <f>BJ29+BJ54-BJ186</f>
        <v>0</v>
      </c>
      <c r="BK212" s="61">
        <f>BK29+BK54</f>
        <v>0</v>
      </c>
      <c r="BL212" s="712">
        <f>IF(BK212&gt;0,BM212/(BK212*BM$8),0)</f>
        <v>0</v>
      </c>
      <c r="BM212" s="687">
        <f>BM29+BM54-BM186</f>
        <v>0</v>
      </c>
      <c r="BN212" s="61">
        <f>BN29+BN54</f>
        <v>0</v>
      </c>
      <c r="BO212" s="712">
        <f>IF(BN212&gt;0,BP212/(BN212*BP$8),0)</f>
        <v>0</v>
      </c>
      <c r="BP212" s="687">
        <f>BP29+BP54-BP186</f>
        <v>0</v>
      </c>
      <c r="BQ212" s="61">
        <f>BQ29+BQ54</f>
        <v>0</v>
      </c>
      <c r="BR212" s="712">
        <f>IF(BQ212&gt;0,BS212/(BQ212*BS$8),0)</f>
        <v>0</v>
      </c>
      <c r="BS212" s="687">
        <f>BS29+BS54-BS186</f>
        <v>0</v>
      </c>
      <c r="BT212" s="61">
        <f>BT29+BT54</f>
        <v>0</v>
      </c>
      <c r="BU212" s="712">
        <f>IF(BT212&gt;0,BV212/(BT212*BV$8),0)</f>
        <v>0</v>
      </c>
      <c r="BV212" s="687">
        <f>BV29+BV54-BV186</f>
        <v>0</v>
      </c>
    </row>
    <row r="213" spans="1:74" s="61" customFormat="1" x14ac:dyDescent="0.2">
      <c r="A213" s="61" t="s">
        <v>133</v>
      </c>
      <c r="B213" s="61" t="s">
        <v>52</v>
      </c>
      <c r="C213" s="672">
        <f>C30+C55</f>
        <v>80000</v>
      </c>
      <c r="D213" s="712">
        <f>IF(C213&gt;0,E213/(C213*E$8),0)</f>
        <v>0.137931625</v>
      </c>
      <c r="E213" s="687">
        <f>E30+E55-E187</f>
        <v>342070.43</v>
      </c>
      <c r="F213" s="61">
        <f>F30+F55</f>
        <v>80000</v>
      </c>
      <c r="G213" s="712">
        <f>IF(F213&gt;0,H213/(F213*H$8),0)</f>
        <v>0.13740375000000002</v>
      </c>
      <c r="H213" s="687">
        <f>H30+H55-H187</f>
        <v>307784.40000000002</v>
      </c>
      <c r="I213" s="61">
        <f>I30+I55</f>
        <v>80000</v>
      </c>
      <c r="J213" s="712">
        <f>IF(I213&gt;0,K213/(I213*K$8),0)</f>
        <v>0.138008875</v>
      </c>
      <c r="K213" s="687">
        <f>K30+K55-K187</f>
        <v>342262.01</v>
      </c>
      <c r="L213" s="61">
        <f>L30+L55</f>
        <v>80000</v>
      </c>
      <c r="M213" s="712">
        <f>IF(L213&gt;0,N213/(L213*N$8),0)</f>
        <v>0.13655399999999998</v>
      </c>
      <c r="N213" s="687">
        <f>N30+N55-N187</f>
        <v>327729.59999999998</v>
      </c>
      <c r="O213" s="702">
        <f>O30+O55</f>
        <v>80000</v>
      </c>
      <c r="P213" s="712">
        <f>IF(O213&gt;0,Q213/(O213*Q$8),0)</f>
        <v>0.13714625</v>
      </c>
      <c r="Q213" s="687">
        <f>Q30+Q55-Q187</f>
        <v>340122.7</v>
      </c>
      <c r="R213" s="61">
        <f>R30+R55</f>
        <v>80000</v>
      </c>
      <c r="S213" s="712">
        <f>IF(R213&gt;0,T213/(R213*T$8),0)</f>
        <v>0.13889725</v>
      </c>
      <c r="T213" s="687">
        <f>T30+T55-T187</f>
        <v>333353.40000000002</v>
      </c>
      <c r="U213" s="61">
        <f>U30+U55</f>
        <v>80000</v>
      </c>
      <c r="V213" s="712">
        <f>IF(U213&gt;0,W213/(U213*W$8),0)</f>
        <v>0.135768625</v>
      </c>
      <c r="W213" s="687">
        <f>W30+W55-W187</f>
        <v>336706.19</v>
      </c>
      <c r="X213" s="61">
        <f>X30+X55</f>
        <v>80000</v>
      </c>
      <c r="Y213" s="712">
        <f>IF(X213&gt;0,Z213/(X213*Z$8),0)</f>
        <v>0.13688875</v>
      </c>
      <c r="Z213" s="687">
        <f>Z30+Z55-Z187</f>
        <v>339484.1</v>
      </c>
      <c r="AA213" s="61">
        <f>AA30+AA55</f>
        <v>80000</v>
      </c>
      <c r="AB213" s="712">
        <f>IF(AA213&gt;0,AC213/(AA213*AC$8),0)</f>
        <v>0.135948875</v>
      </c>
      <c r="AC213" s="687">
        <f>AC30+AC55-AC187</f>
        <v>326277.3</v>
      </c>
      <c r="AD213" s="61">
        <f>AD30+AD55</f>
        <v>80000</v>
      </c>
      <c r="AE213" s="712">
        <f>IF(AD213&gt;0,AF213/(AD213*AF$8),0)</f>
        <v>0.13851100000000002</v>
      </c>
      <c r="AF213" s="687">
        <f>AF30+AF55-AF187</f>
        <v>343507.28</v>
      </c>
      <c r="AG213" s="61">
        <f>AG30+AG55</f>
        <v>80000</v>
      </c>
      <c r="AH213" s="712">
        <f>IF(AG213&gt;0,AI213/(AG213*AI$8),0)</f>
        <v>0.13745525</v>
      </c>
      <c r="AI213" s="687">
        <f>AI30+AI55-AI187</f>
        <v>329892.59999999998</v>
      </c>
      <c r="AJ213" s="61">
        <f>AJ30+AJ55</f>
        <v>80000</v>
      </c>
      <c r="AK213" s="712">
        <f>IF(AJ213&gt;0,AL213/(AJ213*AL$8),0)</f>
        <v>0.14430925</v>
      </c>
      <c r="AL213" s="687">
        <f>AL30+AL55-AL187</f>
        <v>357886.94</v>
      </c>
      <c r="AM213" s="61">
        <f>AM30+AM55</f>
        <v>0</v>
      </c>
      <c r="AN213" s="712">
        <f>IF(AM213&gt;0,AO213/(AM213*AO$8),0)</f>
        <v>0</v>
      </c>
      <c r="AO213" s="687">
        <f>AO30+AO55-AO187</f>
        <v>0</v>
      </c>
      <c r="AP213" s="61">
        <f>AP30+AP55</f>
        <v>0</v>
      </c>
      <c r="AQ213" s="712">
        <f>IF(AP213&gt;0,AR213/(AP213*AR$8),0)</f>
        <v>0</v>
      </c>
      <c r="AR213" s="687">
        <f>AR30+AR55-AR187</f>
        <v>0</v>
      </c>
      <c r="AS213" s="61">
        <f>AS30+AS55</f>
        <v>0</v>
      </c>
      <c r="AT213" s="712">
        <f>IF(AS213&gt;0,AU213/(AS213*AU$8),0)</f>
        <v>0</v>
      </c>
      <c r="AU213" s="687">
        <f>AU30+AU55-AU187</f>
        <v>0</v>
      </c>
      <c r="AV213" s="61">
        <f>AV30+AV55</f>
        <v>0</v>
      </c>
      <c r="AW213" s="712">
        <f>IF(AV213&gt;0,AX213/(AV213*AX$8),0)</f>
        <v>0</v>
      </c>
      <c r="AX213" s="687">
        <f>AX30+AX55-AX187</f>
        <v>0</v>
      </c>
      <c r="AY213" s="61">
        <f>AY30+AY55</f>
        <v>0</v>
      </c>
      <c r="AZ213" s="712">
        <f>IF(AY213&gt;0,BA213/(AY213*BA$8),0)</f>
        <v>0</v>
      </c>
      <c r="BA213" s="687">
        <f>BA30+BA55-BA187</f>
        <v>0</v>
      </c>
      <c r="BB213" s="61">
        <f>BB30+BB55</f>
        <v>0</v>
      </c>
      <c r="BC213" s="712">
        <f>IF(BB213&gt;0,BD213/(BB213*BD$8),0)</f>
        <v>0</v>
      </c>
      <c r="BD213" s="687">
        <f>BD30+BD55-BD187</f>
        <v>0</v>
      </c>
      <c r="BE213" s="61">
        <f>BE30+BE55</f>
        <v>0</v>
      </c>
      <c r="BF213" s="712">
        <f>IF(BE213&gt;0,BG213/(BE213*BG$8),0)</f>
        <v>0</v>
      </c>
      <c r="BG213" s="687">
        <f>BG30+BG55-BG187</f>
        <v>0</v>
      </c>
      <c r="BH213" s="61">
        <f>BH30+BH55</f>
        <v>0</v>
      </c>
      <c r="BI213" s="712">
        <f>IF(BH213&gt;0,BJ213/(BH213*BJ$8),0)</f>
        <v>0</v>
      </c>
      <c r="BJ213" s="687">
        <f>BJ30+BJ55-BJ187</f>
        <v>0</v>
      </c>
      <c r="BK213" s="61">
        <f>BK30+BK55</f>
        <v>0</v>
      </c>
      <c r="BL213" s="712">
        <f>IF(BK213&gt;0,BM213/(BK213*BM$8),0)</f>
        <v>0</v>
      </c>
      <c r="BM213" s="687">
        <f>BM30+BM55-BM187</f>
        <v>0</v>
      </c>
      <c r="BN213" s="61">
        <f>BN30+BN55</f>
        <v>0</v>
      </c>
      <c r="BO213" s="712">
        <f>IF(BN213&gt;0,BP213/(BN213*BP$8),0)</f>
        <v>0</v>
      </c>
      <c r="BP213" s="687">
        <f>BP30+BP55-BP187</f>
        <v>0</v>
      </c>
      <c r="BQ213" s="61">
        <f>BQ30+BQ55</f>
        <v>0</v>
      </c>
      <c r="BR213" s="712">
        <f>IF(BQ213&gt;0,BS213/(BQ213*BS$8),0)</f>
        <v>0</v>
      </c>
      <c r="BS213" s="687">
        <f>BS30+BS55-BS187</f>
        <v>0</v>
      </c>
      <c r="BT213" s="61">
        <f>BT30+BT55</f>
        <v>0</v>
      </c>
      <c r="BU213" s="712">
        <f>IF(BT213&gt;0,BV213/(BT213*BV$8),0)</f>
        <v>0</v>
      </c>
      <c r="BV213" s="687">
        <f>BV30+BV55-BV187</f>
        <v>0</v>
      </c>
    </row>
    <row r="214" spans="1:74" s="61" customFormat="1" x14ac:dyDescent="0.2">
      <c r="A214" s="61" t="s">
        <v>134</v>
      </c>
      <c r="B214" s="61" t="s">
        <v>52</v>
      </c>
      <c r="C214" s="672">
        <f>C31+C56</f>
        <v>0</v>
      </c>
      <c r="D214" s="712">
        <f>IF(C214&gt;0,E214/(C214*E$8),0)</f>
        <v>0</v>
      </c>
      <c r="E214" s="687">
        <f>E31+E56-E188</f>
        <v>0</v>
      </c>
      <c r="F214" s="61">
        <f>F31+F56</f>
        <v>0</v>
      </c>
      <c r="G214" s="712">
        <f>IF(F214&gt;0,H214/(F214*H$8),0)</f>
        <v>0</v>
      </c>
      <c r="H214" s="687">
        <f>H31+H56-H188</f>
        <v>0</v>
      </c>
      <c r="I214" s="61">
        <f>I31+I56</f>
        <v>0</v>
      </c>
      <c r="J214" s="712">
        <f>IF(I214&gt;0,K214/(I214*K$8),0)</f>
        <v>0</v>
      </c>
      <c r="K214" s="687">
        <f>K31+K56-K188</f>
        <v>0</v>
      </c>
      <c r="L214" s="61">
        <f>L31+L56</f>
        <v>0</v>
      </c>
      <c r="M214" s="712">
        <f>IF(L214&gt;0,N214/(L214*N$8),0)</f>
        <v>0</v>
      </c>
      <c r="N214" s="687">
        <f>N31+N56-N188</f>
        <v>0</v>
      </c>
      <c r="O214" s="702">
        <f>O31+O56</f>
        <v>0</v>
      </c>
      <c r="P214" s="712">
        <f>IF(O214&gt;0,Q214/(O214*Q$8),0)</f>
        <v>0</v>
      </c>
      <c r="Q214" s="687">
        <f>Q31+Q56-Q188</f>
        <v>0</v>
      </c>
      <c r="R214" s="61">
        <f>R31+R56</f>
        <v>0</v>
      </c>
      <c r="S214" s="712">
        <f>IF(R214&gt;0,T214/(R214*T$8),0)</f>
        <v>0</v>
      </c>
      <c r="T214" s="687">
        <f>T31+T56-T188</f>
        <v>0</v>
      </c>
      <c r="U214" s="61">
        <f>U31+U56</f>
        <v>0</v>
      </c>
      <c r="V214" s="712">
        <f>IF(U214&gt;0,W214/(U214*W$8),0)</f>
        <v>0</v>
      </c>
      <c r="W214" s="687">
        <f>W31+W56-W188</f>
        <v>0</v>
      </c>
      <c r="X214" s="61">
        <f>X31+X56</f>
        <v>0</v>
      </c>
      <c r="Y214" s="712">
        <f>IF(X214&gt;0,Z214/(X214*Z$8),0)</f>
        <v>0</v>
      </c>
      <c r="Z214" s="687">
        <f>Z31+Z56-Z188</f>
        <v>0</v>
      </c>
      <c r="AA214" s="61">
        <f>AA31+AA56</f>
        <v>0</v>
      </c>
      <c r="AB214" s="712">
        <f>IF(AA214&gt;0,AC214/(AA214*AC$8),0)</f>
        <v>0</v>
      </c>
      <c r="AC214" s="687">
        <f>AC31+AC56-AC188</f>
        <v>0</v>
      </c>
      <c r="AD214" s="61">
        <f>AD31+AD56</f>
        <v>0</v>
      </c>
      <c r="AE214" s="712">
        <f>IF(AD214&gt;0,AF214/(AD214*AF$8),0)</f>
        <v>0</v>
      </c>
      <c r="AF214" s="687">
        <f>AF31+AF56-AF188</f>
        <v>0</v>
      </c>
      <c r="AG214" s="61">
        <f>AG31+AG56</f>
        <v>0</v>
      </c>
      <c r="AH214" s="712">
        <f>IF(AG214&gt;0,AI214/(AG214*AI$8),0)</f>
        <v>0</v>
      </c>
      <c r="AI214" s="687">
        <f>AI31+AI56-AI188</f>
        <v>0</v>
      </c>
      <c r="AJ214" s="61">
        <f>AJ31+AJ56</f>
        <v>0</v>
      </c>
      <c r="AK214" s="712">
        <f>IF(AJ214&gt;0,AL214/(AJ214*AL$8),0)</f>
        <v>0</v>
      </c>
      <c r="AL214" s="687">
        <f>AL31+AL56-AL188</f>
        <v>0</v>
      </c>
      <c r="AM214" s="61">
        <f>AM31+AM56</f>
        <v>0</v>
      </c>
      <c r="AN214" s="712">
        <f>IF(AM214&gt;0,AO214/(AM214*AO$8),0)</f>
        <v>0</v>
      </c>
      <c r="AO214" s="687">
        <f>AO31+AO56-AO188</f>
        <v>0</v>
      </c>
      <c r="AP214" s="61">
        <f>AP31+AP56</f>
        <v>0</v>
      </c>
      <c r="AQ214" s="712">
        <f>IF(AP214&gt;0,AR214/(AP214*AR$8),0)</f>
        <v>0</v>
      </c>
      <c r="AR214" s="687">
        <f>AR31+AR56-AR188</f>
        <v>0</v>
      </c>
      <c r="AS214" s="61">
        <f>AS31+AS56</f>
        <v>0</v>
      </c>
      <c r="AT214" s="712">
        <f>IF(AS214&gt;0,AU214/(AS214*AU$8),0)</f>
        <v>0</v>
      </c>
      <c r="AU214" s="687">
        <f>AU31+AU56-AU188</f>
        <v>0</v>
      </c>
      <c r="AV214" s="61">
        <f>AV31+AV56</f>
        <v>0</v>
      </c>
      <c r="AW214" s="712">
        <f>IF(AV214&gt;0,AX214/(AV214*AX$8),0)</f>
        <v>0</v>
      </c>
      <c r="AX214" s="687">
        <f>AX31+AX56-AX188</f>
        <v>0</v>
      </c>
      <c r="AY214" s="61">
        <f>AY31+AY56</f>
        <v>0</v>
      </c>
      <c r="AZ214" s="712">
        <f>IF(AY214&gt;0,BA214/(AY214*BA$8),0)</f>
        <v>0</v>
      </c>
      <c r="BA214" s="687">
        <f>BA31+BA56-BA188</f>
        <v>0</v>
      </c>
      <c r="BB214" s="61">
        <f>BB31+BB56</f>
        <v>0</v>
      </c>
      <c r="BC214" s="712">
        <f>IF(BB214&gt;0,BD214/(BB214*BD$8),0)</f>
        <v>0</v>
      </c>
      <c r="BD214" s="687">
        <f>BD31+BD56-BD188</f>
        <v>0</v>
      </c>
      <c r="BE214" s="61">
        <f>BE31+BE56</f>
        <v>0</v>
      </c>
      <c r="BF214" s="712">
        <f>IF(BE214&gt;0,BG214/(BE214*BG$8),0)</f>
        <v>0</v>
      </c>
      <c r="BG214" s="687">
        <f>BG31+BG56-BG188</f>
        <v>0</v>
      </c>
      <c r="BH214" s="61">
        <f>BH31+BH56</f>
        <v>0</v>
      </c>
      <c r="BI214" s="712">
        <f>IF(BH214&gt;0,BJ214/(BH214*BJ$8),0)</f>
        <v>0</v>
      </c>
      <c r="BJ214" s="687">
        <f>BJ31+BJ56-BJ188</f>
        <v>0</v>
      </c>
      <c r="BK214" s="61">
        <f>BK31+BK56</f>
        <v>0</v>
      </c>
      <c r="BL214" s="712">
        <f>IF(BK214&gt;0,BM214/(BK214*BM$8),0)</f>
        <v>0</v>
      </c>
      <c r="BM214" s="687">
        <f>BM31+BM56-BM188</f>
        <v>0</v>
      </c>
      <c r="BN214" s="61">
        <f>BN31+BN56</f>
        <v>0</v>
      </c>
      <c r="BO214" s="712">
        <f>IF(BN214&gt;0,BP214/(BN214*BP$8),0)</f>
        <v>0</v>
      </c>
      <c r="BP214" s="687">
        <f>BP31+BP56-BP188</f>
        <v>0</v>
      </c>
      <c r="BQ214" s="61">
        <f>BQ31+BQ56</f>
        <v>0</v>
      </c>
      <c r="BR214" s="712">
        <f>IF(BQ214&gt;0,BS214/(BQ214*BS$8),0)</f>
        <v>0</v>
      </c>
      <c r="BS214" s="687">
        <f>BS31+BS56-BS188</f>
        <v>0</v>
      </c>
      <c r="BT214" s="61">
        <f>BT31+BT56</f>
        <v>0</v>
      </c>
      <c r="BU214" s="712">
        <f>IF(BT214&gt;0,BV214/(BT214*BV$8),0)</f>
        <v>0</v>
      </c>
      <c r="BV214" s="687">
        <f>BV31+BV56-BV188</f>
        <v>0</v>
      </c>
    </row>
    <row r="215" spans="1:74" s="61" customFormat="1" x14ac:dyDescent="0.2">
      <c r="A215" s="61" t="s">
        <v>135</v>
      </c>
      <c r="B215" s="61" t="s">
        <v>52</v>
      </c>
      <c r="C215" s="672">
        <f>C32+C57</f>
        <v>80000</v>
      </c>
      <c r="D215" s="712">
        <f>IF(C215&gt;0,E215/(C215*E$8),0)</f>
        <v>2.5000000000000001E-2</v>
      </c>
      <c r="E215" s="687">
        <f>E32+E57-E189</f>
        <v>62000</v>
      </c>
      <c r="F215" s="61">
        <f>F32+F57</f>
        <v>80000</v>
      </c>
      <c r="G215" s="712">
        <f>IF(F215&gt;0,H215/(F215*H$8),0)</f>
        <v>2.5000000000000001E-2</v>
      </c>
      <c r="H215" s="687">
        <f>H32+H57-H189</f>
        <v>56000</v>
      </c>
      <c r="I215" s="61">
        <f>I32+I57</f>
        <v>80000</v>
      </c>
      <c r="J215" s="712">
        <f>IF(I215&gt;0,K215/(I215*K$8),0)</f>
        <v>2.5000000000000001E-2</v>
      </c>
      <c r="K215" s="687">
        <f>K32+K57-K189</f>
        <v>62000</v>
      </c>
      <c r="L215" s="61">
        <f>L32+L57</f>
        <v>80000</v>
      </c>
      <c r="M215" s="712">
        <f>IF(L215&gt;0,N215/(L215*N$8),0)</f>
        <v>2.5000000000000001E-2</v>
      </c>
      <c r="N215" s="687">
        <f>N32+N57-N189</f>
        <v>60000</v>
      </c>
      <c r="O215" s="702">
        <f>O32+O57</f>
        <v>80000</v>
      </c>
      <c r="P215" s="712">
        <f>IF(O215&gt;0,Q215/(O215*Q$8),0)</f>
        <v>2.5000000000000001E-2</v>
      </c>
      <c r="Q215" s="687">
        <f>Q32+Q57-Q189</f>
        <v>62000</v>
      </c>
      <c r="R215" s="61">
        <f>R32+R57</f>
        <v>80000</v>
      </c>
      <c r="S215" s="712">
        <f>IF(R215&gt;0,T215/(R215*T$8),0)</f>
        <v>2.5000000000000001E-2</v>
      </c>
      <c r="T215" s="687">
        <f>T32+T57-T189</f>
        <v>60000</v>
      </c>
      <c r="U215" s="61">
        <f>U32+U57</f>
        <v>80000</v>
      </c>
      <c r="V215" s="712">
        <f>IF(U215&gt;0,W215/(U215*W$8),0)</f>
        <v>2.5000000000000001E-2</v>
      </c>
      <c r="W215" s="687">
        <f>W32+W57-W189</f>
        <v>62000</v>
      </c>
      <c r="X215" s="61">
        <f>X32+X57</f>
        <v>80000</v>
      </c>
      <c r="Y215" s="712">
        <f>IF(X215&gt;0,Z215/(X215*Z$8),0)</f>
        <v>2.5000000000000001E-2</v>
      </c>
      <c r="Z215" s="687">
        <f>Z32+Z57-Z189</f>
        <v>62000</v>
      </c>
      <c r="AA215" s="61">
        <f>AA32+AA57</f>
        <v>80000</v>
      </c>
      <c r="AB215" s="712">
        <f>IF(AA215&gt;0,AC215/(AA215*AC$8),0)</f>
        <v>2.5000000000000001E-2</v>
      </c>
      <c r="AC215" s="687">
        <f>AC32+AC57-AC189</f>
        <v>60000</v>
      </c>
      <c r="AD215" s="61">
        <f>AD32+AD57</f>
        <v>80000</v>
      </c>
      <c r="AE215" s="712">
        <f>IF(AD215&gt;0,AF215/(AD215*AF$8),0)</f>
        <v>2.5000000000000001E-2</v>
      </c>
      <c r="AF215" s="687">
        <f>AF32+AF57-AF189</f>
        <v>62000</v>
      </c>
      <c r="AG215" s="61">
        <f>AG32+AG57</f>
        <v>80000</v>
      </c>
      <c r="AH215" s="712">
        <f>IF(AG215&gt;0,AI215/(AG215*AI$8),0)</f>
        <v>2.5000000000000001E-2</v>
      </c>
      <c r="AI215" s="687">
        <f>AI32+AI57-AI189</f>
        <v>60000</v>
      </c>
      <c r="AJ215" s="61">
        <f>AJ32+AJ57</f>
        <v>80000</v>
      </c>
      <c r="AK215" s="712">
        <f>IF(AJ215&gt;0,AL215/(AJ215*AL$8),0)</f>
        <v>2.5000000000000001E-2</v>
      </c>
      <c r="AL215" s="687">
        <f>AL32+AL57-AL189</f>
        <v>62000</v>
      </c>
      <c r="AM215" s="61">
        <f>AM32+AM57</f>
        <v>0</v>
      </c>
      <c r="AN215" s="712">
        <f>IF(AM215&gt;0,AO215/(AM215*AO$8),0)</f>
        <v>0</v>
      </c>
      <c r="AO215" s="687">
        <f>AO32+AO57-AO189</f>
        <v>10148.159999999998</v>
      </c>
      <c r="AP215" s="61">
        <f>AP32+AP57</f>
        <v>0</v>
      </c>
      <c r="AQ215" s="712">
        <f>IF(AP215&gt;0,AR215/(AP215*AR$8),0)</f>
        <v>0</v>
      </c>
      <c r="AR215" s="687">
        <f>AR32+AR57-AR189</f>
        <v>0</v>
      </c>
      <c r="AS215" s="61">
        <f>AS32+AS57</f>
        <v>0</v>
      </c>
      <c r="AT215" s="712">
        <f>IF(AS215&gt;0,AU215/(AS215*AU$8),0)</f>
        <v>0</v>
      </c>
      <c r="AU215" s="687">
        <f>AU32+AU57-AU189</f>
        <v>0</v>
      </c>
      <c r="AV215" s="61">
        <f>AV32+AV57</f>
        <v>0</v>
      </c>
      <c r="AW215" s="712">
        <f>IF(AV215&gt;0,AX215/(AV215*AX$8),0)</f>
        <v>0</v>
      </c>
      <c r="AX215" s="687">
        <f>AX32+AX57-AX189</f>
        <v>0</v>
      </c>
      <c r="AY215" s="61">
        <f>AY32+AY57</f>
        <v>0</v>
      </c>
      <c r="AZ215" s="712">
        <f>IF(AY215&gt;0,BA215/(AY215*BA$8),0)</f>
        <v>0</v>
      </c>
      <c r="BA215" s="687">
        <f>BA32+BA57-BA189</f>
        <v>0</v>
      </c>
      <c r="BB215" s="61">
        <f>BB32+BB57</f>
        <v>0</v>
      </c>
      <c r="BC215" s="712">
        <f>IF(BB215&gt;0,BD215/(BB215*BD$8),0)</f>
        <v>0</v>
      </c>
      <c r="BD215" s="687">
        <f>BD32+BD57-BD189</f>
        <v>0</v>
      </c>
      <c r="BE215" s="61">
        <f>BE32+BE57</f>
        <v>0</v>
      </c>
      <c r="BF215" s="712">
        <f>IF(BE215&gt;0,BG215/(BE215*BG$8),0)</f>
        <v>0</v>
      </c>
      <c r="BG215" s="687">
        <f>BG32+BG57-BG189</f>
        <v>0</v>
      </c>
      <c r="BH215" s="61">
        <f>BH32+BH57</f>
        <v>0</v>
      </c>
      <c r="BI215" s="712">
        <f>IF(BH215&gt;0,BJ215/(BH215*BJ$8),0)</f>
        <v>0</v>
      </c>
      <c r="BJ215" s="687">
        <f>BJ32+BJ57-BJ189</f>
        <v>0</v>
      </c>
      <c r="BK215" s="61">
        <f>BK32+BK57</f>
        <v>0</v>
      </c>
      <c r="BL215" s="712">
        <f>IF(BK215&gt;0,BM215/(BK215*BM$8),0)</f>
        <v>0</v>
      </c>
      <c r="BM215" s="687">
        <f>BM32+BM57-BM189</f>
        <v>0</v>
      </c>
      <c r="BN215" s="61">
        <f>BN32+BN57</f>
        <v>0</v>
      </c>
      <c r="BO215" s="712">
        <f>IF(BN215&gt;0,BP215/(BN215*BP$8),0)</f>
        <v>0</v>
      </c>
      <c r="BP215" s="687">
        <f>BP32+BP57-BP189</f>
        <v>0</v>
      </c>
      <c r="BQ215" s="61">
        <f>BQ32+BQ57</f>
        <v>0</v>
      </c>
      <c r="BR215" s="712">
        <f>IF(BQ215&gt;0,BS215/(BQ215*BS$8),0)</f>
        <v>0</v>
      </c>
      <c r="BS215" s="687">
        <f>BS32+BS57-BS189</f>
        <v>0</v>
      </c>
      <c r="BT215" s="61">
        <f>BT32+BT57</f>
        <v>0</v>
      </c>
      <c r="BU215" s="712">
        <f>IF(BT215&gt;0,BV215/(BT215*BV$8),0)</f>
        <v>0</v>
      </c>
      <c r="BV215" s="687">
        <f>BV32+BV57-BV189</f>
        <v>0</v>
      </c>
    </row>
    <row r="216" spans="1:74" s="61" customFormat="1" x14ac:dyDescent="0.2">
      <c r="A216" s="373" t="s">
        <v>147</v>
      </c>
      <c r="C216" s="673">
        <f>SUM(C211:C215)</f>
        <v>795214</v>
      </c>
      <c r="E216" s="686">
        <f>SUM(E211:E215)</f>
        <v>1227458.631568</v>
      </c>
      <c r="F216" s="373">
        <f>SUM(F211:F215)</f>
        <v>795214</v>
      </c>
      <c r="H216" s="686">
        <f>SUM(H211:H215)</f>
        <v>1107489.8723840001</v>
      </c>
      <c r="I216" s="373">
        <f>SUM(I211:I215)</f>
        <v>750214</v>
      </c>
      <c r="K216" s="686">
        <f>SUM(K211:K215)</f>
        <v>1112397.171568</v>
      </c>
      <c r="L216" s="373">
        <f>SUM(L211:L215)</f>
        <v>750214</v>
      </c>
      <c r="N216" s="686">
        <f>SUM(N211:N215)</f>
        <v>1065893.8041600001</v>
      </c>
      <c r="O216" s="703">
        <f>SUM(O211:O215)</f>
        <v>736827</v>
      </c>
      <c r="Q216" s="686">
        <f>SUM(Q211:Q215)</f>
        <v>1069754.9815720001</v>
      </c>
      <c r="R216" s="373">
        <f>SUM(R211:R215)</f>
        <v>741047</v>
      </c>
      <c r="T216" s="686">
        <f>SUM(T211:T215)</f>
        <v>960826.95568000013</v>
      </c>
      <c r="U216" s="373">
        <f>SUM(U211:U215)</f>
        <v>745617</v>
      </c>
      <c r="W216" s="686">
        <f>SUM(W211:W215)</f>
        <v>993251.75274799997</v>
      </c>
      <c r="X216" s="373">
        <f>SUM(X211:X215)</f>
        <v>742391</v>
      </c>
      <c r="Z216" s="686">
        <f>SUM(Z211:Z215)</f>
        <v>988478.99200399988</v>
      </c>
      <c r="AA216" s="373">
        <f>SUM(AA211:AA215)</f>
        <v>736047</v>
      </c>
      <c r="AC216" s="686">
        <f>SUM(AC211:AC215)</f>
        <v>947967.88372000004</v>
      </c>
      <c r="AD216" s="373">
        <f>SUM(AD211:AD215)</f>
        <v>712000</v>
      </c>
      <c r="AF216" s="686">
        <f>SUM(AF211:AF215)</f>
        <v>964444.40800000005</v>
      </c>
      <c r="AG216" s="373">
        <f>SUM(AG211:AG215)</f>
        <v>757000</v>
      </c>
      <c r="AI216" s="686">
        <f>SUM(AI211:AI215)</f>
        <v>1031728.12</v>
      </c>
      <c r="AJ216" s="373">
        <f>SUM(AJ211:AJ215)</f>
        <v>757000</v>
      </c>
      <c r="AL216" s="686">
        <f>SUM(AL211:AL215)</f>
        <v>1081851.02</v>
      </c>
      <c r="AM216" s="373">
        <f>SUM(AM211:AM215)</f>
        <v>0</v>
      </c>
      <c r="AO216" s="686">
        <f>SUM(AO211:AO215)</f>
        <v>57717.659999999989</v>
      </c>
      <c r="AP216" s="373">
        <f>SUM(AP211:AP215)</f>
        <v>0</v>
      </c>
      <c r="AR216" s="686">
        <f>SUM(AR211:AR215)</f>
        <v>0</v>
      </c>
      <c r="AS216" s="373">
        <f>SUM(AS211:AS215)</f>
        <v>0</v>
      </c>
      <c r="AU216" s="686">
        <f>SUM(AU211:AU215)</f>
        <v>0</v>
      </c>
      <c r="AV216" s="373">
        <f>SUM(AV211:AV215)</f>
        <v>0</v>
      </c>
      <c r="AX216" s="686">
        <f>SUM(AX211:AX215)</f>
        <v>0</v>
      </c>
      <c r="AY216" s="373">
        <f>SUM(AY211:AY215)</f>
        <v>0</v>
      </c>
      <c r="BA216" s="686">
        <f>SUM(BA211:BA215)</f>
        <v>0</v>
      </c>
      <c r="BB216" s="373">
        <f>SUM(BB211:BB215)</f>
        <v>0</v>
      </c>
      <c r="BD216" s="686">
        <f>SUM(BD211:BD215)</f>
        <v>0</v>
      </c>
      <c r="BE216" s="373">
        <f>SUM(BE211:BE215)</f>
        <v>0</v>
      </c>
      <c r="BG216" s="686">
        <f>SUM(BG211:BG215)</f>
        <v>0</v>
      </c>
      <c r="BH216" s="373">
        <f>SUM(BH211:BH215)</f>
        <v>0</v>
      </c>
      <c r="BJ216" s="686">
        <f>SUM(BJ211:BJ215)</f>
        <v>0</v>
      </c>
      <c r="BK216" s="373">
        <f>SUM(BK211:BK215)</f>
        <v>0</v>
      </c>
      <c r="BM216" s="686">
        <f>SUM(BM211:BM215)</f>
        <v>0</v>
      </c>
      <c r="BN216" s="373">
        <f>SUM(BN211:BN215)</f>
        <v>0</v>
      </c>
      <c r="BP216" s="686">
        <f>SUM(BP211:BP215)</f>
        <v>0</v>
      </c>
      <c r="BQ216" s="373">
        <f>SUM(BQ211:BQ215)</f>
        <v>0</v>
      </c>
      <c r="BS216" s="686">
        <f>SUM(BS211:BS215)</f>
        <v>0</v>
      </c>
      <c r="BT216" s="373">
        <f>SUM(BT211:BT215)</f>
        <v>0</v>
      </c>
      <c r="BV216" s="686">
        <f>SUM(BV211:BV215)</f>
        <v>0</v>
      </c>
    </row>
    <row r="217" spans="1:74" s="61" customFormat="1" x14ac:dyDescent="0.2">
      <c r="A217" s="61" t="s">
        <v>216</v>
      </c>
      <c r="B217" s="61" t="s">
        <v>52</v>
      </c>
      <c r="C217" s="672">
        <f>C34+C59</f>
        <v>333000</v>
      </c>
      <c r="D217" s="712">
        <f>IF(C217&gt;0,E217/(C217*E$8),0)</f>
        <v>5.4682798798798803E-2</v>
      </c>
      <c r="E217" s="687">
        <f>E34+E59-E191</f>
        <v>564490.53200000001</v>
      </c>
      <c r="F217" s="61">
        <f>F34+F59</f>
        <v>333000</v>
      </c>
      <c r="G217" s="712">
        <f>IF(F217&gt;0,H217/(F217*H$8),0)</f>
        <v>5.373610810810811E-2</v>
      </c>
      <c r="H217" s="687">
        <f>H34+H59-H191</f>
        <v>501035.47200000001</v>
      </c>
      <c r="I217" s="61">
        <f>I34+I59</f>
        <v>333000</v>
      </c>
      <c r="J217" s="712">
        <f>IF(I217&gt;0,K217/(I217*K$8),0)</f>
        <v>5.371237237237237E-2</v>
      </c>
      <c r="K217" s="687">
        <f>K34+K59-K191</f>
        <v>554472.81999999995</v>
      </c>
      <c r="L217" s="61">
        <f>L34+L59</f>
        <v>333000</v>
      </c>
      <c r="M217" s="712">
        <f>IF(L217&gt;0,N217/(L217*N$8),0)</f>
        <v>5.441608408408409E-2</v>
      </c>
      <c r="N217" s="687">
        <f>N34+N59-N191</f>
        <v>543616.68000000005</v>
      </c>
      <c r="O217" s="702">
        <f>O34+O59</f>
        <v>333000</v>
      </c>
      <c r="P217" s="712">
        <f>IF(O217&gt;0,Q217/(O217*Q$8),0)</f>
        <v>5.4647627627627621E-2</v>
      </c>
      <c r="Q217" s="687">
        <f>Q34+Q59-Q191</f>
        <v>564127.46</v>
      </c>
      <c r="R217" s="61">
        <f>R34+R59</f>
        <v>333000</v>
      </c>
      <c r="S217" s="712">
        <f>IF(R217&gt;0,T217/(R217*T$8),0)</f>
        <v>5.4600300300300303E-2</v>
      </c>
      <c r="T217" s="687">
        <f>T34+T59-T191</f>
        <v>545457</v>
      </c>
      <c r="U217" s="61">
        <f>U34+U59</f>
        <v>362000</v>
      </c>
      <c r="V217" s="712">
        <f>IF(U217&gt;0,W217/(U217*W$8),0)</f>
        <v>5.6897182320441997E-2</v>
      </c>
      <c r="W217" s="687">
        <f>W34+W59-W191</f>
        <v>638500.18000000005</v>
      </c>
      <c r="X217" s="61">
        <f>X34+X59</f>
        <v>362000</v>
      </c>
      <c r="Y217" s="712">
        <f>IF(X217&gt;0,Z217/(X217*Z$8),0)</f>
        <v>5.6119723756906083E-2</v>
      </c>
      <c r="Z217" s="687">
        <f>Z34+Z59-Z191</f>
        <v>629775.54</v>
      </c>
      <c r="AA217" s="61">
        <f>AA34+AA59</f>
        <v>362000</v>
      </c>
      <c r="AB217" s="712">
        <f>IF(AA217&gt;0,AC217/(AA217*AC$8),0)</f>
        <v>5.652922651933702E-2</v>
      </c>
      <c r="AC217" s="687">
        <f>AC34+AC59-AC191</f>
        <v>613907.4</v>
      </c>
      <c r="AD217" s="61">
        <f>AD34+AD59</f>
        <v>333000</v>
      </c>
      <c r="AE217" s="712">
        <f>IF(AD217&gt;0,AF217/(AD217*AF$8),0)</f>
        <v>5.4012912912912915E-2</v>
      </c>
      <c r="AF217" s="687">
        <f>AF34+AF59-AF191</f>
        <v>557575.30000000005</v>
      </c>
      <c r="AG217" s="61">
        <f>AG34+AG59</f>
        <v>333000</v>
      </c>
      <c r="AH217" s="712">
        <f>IF(AG217&gt;0,AI217/(AG217*AI$8),0)</f>
        <v>5.3591723723723721E-2</v>
      </c>
      <c r="AI217" s="687">
        <f>AI34+AI59-AI191</f>
        <v>535381.31999999995</v>
      </c>
      <c r="AJ217" s="61">
        <f>AJ34+AJ59</f>
        <v>333000</v>
      </c>
      <c r="AK217" s="712">
        <f>IF(AJ217&gt;0,AL217/(AJ217*AL$8),0)</f>
        <v>5.3691231231231228E-2</v>
      </c>
      <c r="AL217" s="687">
        <f>AL34+AL59-AL191</f>
        <v>554254.57999999996</v>
      </c>
      <c r="AM217" s="61">
        <f>AM34+AM59</f>
        <v>0</v>
      </c>
      <c r="AN217" s="712">
        <f>IF(AM217&gt;0,AO217/(AM217*AO$8),0)</f>
        <v>0</v>
      </c>
      <c r="AO217" s="687">
        <f>AO34+AO59-AO191</f>
        <v>767.25</v>
      </c>
      <c r="AP217" s="61">
        <f>AP34+AP59</f>
        <v>0</v>
      </c>
      <c r="AQ217" s="712">
        <f>IF(AP217&gt;0,AR217/(AP217*AR$8),0)</f>
        <v>0</v>
      </c>
      <c r="AR217" s="687">
        <f>AR34+AR59-AR191</f>
        <v>0</v>
      </c>
      <c r="AS217" s="61">
        <f>AS34+AS59</f>
        <v>0</v>
      </c>
      <c r="AT217" s="712">
        <f>IF(AS217&gt;0,AU217/(AS217*AU$8),0)</f>
        <v>0</v>
      </c>
      <c r="AU217" s="687">
        <f>AU34+AU59-AU191</f>
        <v>0</v>
      </c>
      <c r="AV217" s="61">
        <f>AV34+AV59</f>
        <v>0</v>
      </c>
      <c r="AW217" s="712">
        <f>IF(AV217&gt;0,AX217/(AV217*AX$8),0)</f>
        <v>0</v>
      </c>
      <c r="AX217" s="687">
        <f>AX34+AX59-AX191</f>
        <v>0</v>
      </c>
      <c r="AY217" s="61">
        <f>AY34+AY59</f>
        <v>0</v>
      </c>
      <c r="AZ217" s="712">
        <f>IF(AY217&gt;0,BA217/(AY217*BA$8),0)</f>
        <v>0</v>
      </c>
      <c r="BA217" s="687">
        <f>BA34+BA59-BA191</f>
        <v>0</v>
      </c>
      <c r="BB217" s="61">
        <f>BB34+BB59</f>
        <v>0</v>
      </c>
      <c r="BC217" s="712">
        <f>IF(BB217&gt;0,BD217/(BB217*BD$8),0)</f>
        <v>0</v>
      </c>
      <c r="BD217" s="687">
        <f>BD34+BD59-BD191</f>
        <v>0</v>
      </c>
      <c r="BE217" s="61">
        <f>BE34+BE59</f>
        <v>0</v>
      </c>
      <c r="BF217" s="712">
        <f>IF(BE217&gt;0,BG217/(BE217*BG$8),0)</f>
        <v>0</v>
      </c>
      <c r="BG217" s="687">
        <f>BG34+BG59-BG191</f>
        <v>0</v>
      </c>
      <c r="BH217" s="61">
        <f>BH34+BH59</f>
        <v>0</v>
      </c>
      <c r="BI217" s="712">
        <f>IF(BH217&gt;0,BJ217/(BH217*BJ$8),0)</f>
        <v>0</v>
      </c>
      <c r="BJ217" s="687">
        <f>BJ34+BJ59-BJ191</f>
        <v>0</v>
      </c>
      <c r="BK217" s="61">
        <f>BK34+BK59</f>
        <v>0</v>
      </c>
      <c r="BL217" s="712">
        <f>IF(BK217&gt;0,BM217/(BK217*BM$8),0)</f>
        <v>0</v>
      </c>
      <c r="BM217" s="687">
        <f>BM34+BM59-BM191</f>
        <v>0</v>
      </c>
      <c r="BN217" s="61">
        <f>BN34+BN59</f>
        <v>0</v>
      </c>
      <c r="BO217" s="712">
        <f>IF(BN217&gt;0,BP217/(BN217*BP$8),0)</f>
        <v>0</v>
      </c>
      <c r="BP217" s="687">
        <f>BP34+BP59-BP191</f>
        <v>0</v>
      </c>
      <c r="BQ217" s="61">
        <f>BQ34+BQ59</f>
        <v>0</v>
      </c>
      <c r="BR217" s="712">
        <f>IF(BQ217&gt;0,BS217/(BQ217*BS$8),0)</f>
        <v>0</v>
      </c>
      <c r="BS217" s="687">
        <f>BS34+BS59-BS191</f>
        <v>0</v>
      </c>
      <c r="BT217" s="61">
        <f>BT34+BT59</f>
        <v>0</v>
      </c>
      <c r="BU217" s="712">
        <f>IF(BT217&gt;0,BV217/(BT217*BV$8),0)</f>
        <v>0</v>
      </c>
      <c r="BV217" s="687">
        <f>BV34+BV59-BV191</f>
        <v>0</v>
      </c>
    </row>
    <row r="218" spans="1:74" s="61" customFormat="1" x14ac:dyDescent="0.2">
      <c r="A218" s="373" t="s">
        <v>146</v>
      </c>
      <c r="C218" s="673">
        <f>SUM(C217:C217)</f>
        <v>333000</v>
      </c>
      <c r="E218" s="686">
        <f>SUM(E217:E217)</f>
        <v>564490.53200000001</v>
      </c>
      <c r="F218" s="373">
        <f>SUM(F217:F217)</f>
        <v>333000</v>
      </c>
      <c r="H218" s="686">
        <f>SUM(H217:H217)</f>
        <v>501035.47200000001</v>
      </c>
      <c r="I218" s="373">
        <f>SUM(I217:I217)</f>
        <v>333000</v>
      </c>
      <c r="K218" s="686">
        <f>SUM(K217:K217)</f>
        <v>554472.81999999995</v>
      </c>
      <c r="L218" s="373">
        <f>SUM(L217:L217)</f>
        <v>333000</v>
      </c>
      <c r="N218" s="686">
        <f>SUM(N217:N217)</f>
        <v>543616.68000000005</v>
      </c>
      <c r="O218" s="703">
        <f>SUM(O217:O217)</f>
        <v>333000</v>
      </c>
      <c r="Q218" s="686">
        <f>SUM(Q217:Q217)</f>
        <v>564127.46</v>
      </c>
      <c r="R218" s="373">
        <f>SUM(R217:R217)</f>
        <v>333000</v>
      </c>
      <c r="T218" s="686">
        <f>SUM(T217:T217)</f>
        <v>545457</v>
      </c>
      <c r="U218" s="373">
        <f>SUM(U217:U217)</f>
        <v>362000</v>
      </c>
      <c r="W218" s="686">
        <f>SUM(W217:W217)</f>
        <v>638500.18000000005</v>
      </c>
      <c r="X218" s="373">
        <f>SUM(X217:X217)</f>
        <v>362000</v>
      </c>
      <c r="Z218" s="686">
        <f>SUM(Z217:Z217)</f>
        <v>629775.54</v>
      </c>
      <c r="AA218" s="373">
        <f>SUM(AA217:AA217)</f>
        <v>362000</v>
      </c>
      <c r="AC218" s="686">
        <f>SUM(AC217:AC217)</f>
        <v>613907.4</v>
      </c>
      <c r="AD218" s="373">
        <f>SUM(AD217:AD217)</f>
        <v>333000</v>
      </c>
      <c r="AF218" s="686">
        <f>SUM(AF217:AF217)</f>
        <v>557575.30000000005</v>
      </c>
      <c r="AG218" s="373">
        <f>SUM(AG217:AG217)</f>
        <v>333000</v>
      </c>
      <c r="AI218" s="686">
        <f>SUM(AI217:AI217)</f>
        <v>535381.31999999995</v>
      </c>
      <c r="AJ218" s="373">
        <f>SUM(AJ217:AJ217)</f>
        <v>333000</v>
      </c>
      <c r="AL218" s="686">
        <f>SUM(AL217:AL217)</f>
        <v>554254.57999999996</v>
      </c>
      <c r="AM218" s="373">
        <f>SUM(AM217:AM217)</f>
        <v>0</v>
      </c>
      <c r="AO218" s="686">
        <f>SUM(AO217:AO217)</f>
        <v>767.25</v>
      </c>
      <c r="AP218" s="373">
        <f>SUM(AP217:AP217)</f>
        <v>0</v>
      </c>
      <c r="AR218" s="686">
        <f>SUM(AR217:AR217)</f>
        <v>0</v>
      </c>
      <c r="AS218" s="373">
        <f>SUM(AS217:AS217)</f>
        <v>0</v>
      </c>
      <c r="AU218" s="686">
        <f>SUM(AU217:AU217)</f>
        <v>0</v>
      </c>
      <c r="AV218" s="373">
        <f>SUM(AV217:AV217)</f>
        <v>0</v>
      </c>
      <c r="AX218" s="686">
        <f>SUM(AX217:AX217)</f>
        <v>0</v>
      </c>
      <c r="AY218" s="373">
        <f>SUM(AY217:AY217)</f>
        <v>0</v>
      </c>
      <c r="BA218" s="686">
        <f>SUM(BA217:BA217)</f>
        <v>0</v>
      </c>
      <c r="BB218" s="373">
        <f>SUM(BB217:BB217)</f>
        <v>0</v>
      </c>
      <c r="BD218" s="686">
        <f>SUM(BD217:BD217)</f>
        <v>0</v>
      </c>
      <c r="BE218" s="373">
        <f>SUM(BE217:BE217)</f>
        <v>0</v>
      </c>
      <c r="BG218" s="686">
        <f>SUM(BG217:BG217)</f>
        <v>0</v>
      </c>
      <c r="BH218" s="373">
        <f>SUM(BH217:BH217)</f>
        <v>0</v>
      </c>
      <c r="BJ218" s="686">
        <f>SUM(BJ217:BJ217)</f>
        <v>0</v>
      </c>
      <c r="BK218" s="373">
        <f>SUM(BK217:BK217)</f>
        <v>0</v>
      </c>
      <c r="BM218" s="686">
        <f>SUM(BM217:BM217)</f>
        <v>0</v>
      </c>
      <c r="BN218" s="373">
        <f>SUM(BN217:BN217)</f>
        <v>0</v>
      </c>
      <c r="BP218" s="686">
        <f>SUM(BP217:BP217)</f>
        <v>0</v>
      </c>
      <c r="BQ218" s="373">
        <f>SUM(BQ217:BQ217)</f>
        <v>0</v>
      </c>
      <c r="BS218" s="686">
        <f>SUM(BS217:BS217)</f>
        <v>0</v>
      </c>
      <c r="BT218" s="373">
        <f>SUM(BT217:BT217)</f>
        <v>0</v>
      </c>
      <c r="BV218" s="686">
        <f>SUM(BV217:BV217)</f>
        <v>0</v>
      </c>
    </row>
    <row r="219" spans="1:74" s="61" customFormat="1" x14ac:dyDescent="0.2">
      <c r="A219" s="61" t="s">
        <v>83</v>
      </c>
      <c r="B219" s="61" t="s">
        <v>52</v>
      </c>
      <c r="C219" s="672">
        <f>C36+C61</f>
        <v>259000</v>
      </c>
      <c r="D219" s="712">
        <f>IF(C219&gt;0,E219/(C219*E$8),0)</f>
        <v>4.5864096525096529E-2</v>
      </c>
      <c r="E219" s="687">
        <f>E36+E61-E193</f>
        <v>368242.83100000001</v>
      </c>
      <c r="F219" s="61">
        <f>F36+F61</f>
        <v>259000</v>
      </c>
      <c r="G219" s="712">
        <f>IF(F219&gt;0,H219/(F219*H$8),0)</f>
        <v>4.5888602316602314E-2</v>
      </c>
      <c r="H219" s="687">
        <f>H36+H61-H193</f>
        <v>332784.14399999997</v>
      </c>
      <c r="I219" s="61">
        <f>I36+I61</f>
        <v>259000</v>
      </c>
      <c r="J219" s="712">
        <f>IF(I219&gt;0,K219/(I219*K$8),0)</f>
        <v>4.5931030888030883E-2</v>
      </c>
      <c r="K219" s="687">
        <f>K36+K61-K193</f>
        <v>368780.24699999997</v>
      </c>
      <c r="L219" s="61">
        <f>L36+L61</f>
        <v>259000</v>
      </c>
      <c r="M219" s="712">
        <f>IF(L219&gt;0,N219/(L219*N$8),0)</f>
        <v>4.5969509652509656E-2</v>
      </c>
      <c r="N219" s="687">
        <f>N36+N61-N193</f>
        <v>357183.09</v>
      </c>
      <c r="O219" s="702">
        <f>O36+O61</f>
        <v>259000</v>
      </c>
      <c r="P219" s="712">
        <f>IF(O219&gt;0,Q219/(O219*Q$8),0)</f>
        <v>4.5985011583011583E-2</v>
      </c>
      <c r="Q219" s="687">
        <f>Q36+Q61-Q193</f>
        <v>369213.658</v>
      </c>
      <c r="R219" s="61">
        <f>R36+R61</f>
        <v>259000</v>
      </c>
      <c r="S219" s="712">
        <f>IF(R219&gt;0,T219/(R219*T$8),0)</f>
        <v>4.6000555984555984E-2</v>
      </c>
      <c r="T219" s="687">
        <f>T36+T61-T193</f>
        <v>357424.32</v>
      </c>
      <c r="U219" s="61">
        <f>U36+U61</f>
        <v>259000</v>
      </c>
      <c r="V219" s="712">
        <f>IF(U219&gt;0,W219/(U219*W$8),0)</f>
        <v>4.5815382239382245E-2</v>
      </c>
      <c r="W219" s="687">
        <f>W36+W61-W193</f>
        <v>367851.70400000003</v>
      </c>
      <c r="X219" s="61">
        <f>X36+X61</f>
        <v>259000</v>
      </c>
      <c r="Y219" s="712">
        <f>IF(X219&gt;0,Z219/(X219*Z$8),0)</f>
        <v>4.5914424710424714E-2</v>
      </c>
      <c r="Z219" s="687">
        <f>Z36+Z61-Z193</f>
        <v>368646.91600000003</v>
      </c>
      <c r="AA219" s="61">
        <f>AA36+AA61</f>
        <v>259000</v>
      </c>
      <c r="AB219" s="712">
        <f>IF(AA219&gt;0,AC219/(AA219*AC$8),0)</f>
        <v>4.5813725868725869E-2</v>
      </c>
      <c r="AC219" s="687">
        <f>AC36+AC61-AC193</f>
        <v>355972.65</v>
      </c>
      <c r="AD219" s="61">
        <f>AD36+AD61</f>
        <v>259000</v>
      </c>
      <c r="AE219" s="712">
        <f>IF(AD219&gt;0,AF219/(AD219*AF$8),0)</f>
        <v>4.5976772200772204E-2</v>
      </c>
      <c r="AF219" s="687">
        <f>AF36+AF61-AF193</f>
        <v>369147.50400000002</v>
      </c>
      <c r="AG219" s="61">
        <f>AG36+AG61</f>
        <v>259000</v>
      </c>
      <c r="AH219" s="712">
        <f>IF(AG219&gt;0,AI219/(AG219*AI$8),0)</f>
        <v>4.5998772200772205E-2</v>
      </c>
      <c r="AI219" s="687">
        <f>AI36+AI61-AI193</f>
        <v>357410.46</v>
      </c>
      <c r="AJ219" s="61">
        <f>AJ36+AJ61</f>
        <v>259000</v>
      </c>
      <c r="AK219" s="712">
        <f>IF(AJ219&gt;0,AL219/(AJ219*AL$8),0)</f>
        <v>4.6041837837837843E-2</v>
      </c>
      <c r="AL219" s="687">
        <f>AL36+AL61-AL193</f>
        <v>369669.91600000003</v>
      </c>
      <c r="AM219" s="61">
        <f>AM36+AM61</f>
        <v>0</v>
      </c>
      <c r="AN219" s="712">
        <f>IF(AM219&gt;0,AO219/(AM219*AO$8),0)</f>
        <v>0</v>
      </c>
      <c r="AO219" s="687">
        <f>AO36+AO61-AO193</f>
        <v>0</v>
      </c>
      <c r="AP219" s="61">
        <f>AP36+AP61</f>
        <v>0</v>
      </c>
      <c r="AQ219" s="712">
        <f>IF(AP219&gt;0,AR219/(AP219*AR$8),0)</f>
        <v>0</v>
      </c>
      <c r="AR219" s="687">
        <f>AR36+AR61-AR193</f>
        <v>0</v>
      </c>
      <c r="AS219" s="61">
        <f>AS36+AS61</f>
        <v>0</v>
      </c>
      <c r="AT219" s="712">
        <f>IF(AS219&gt;0,AU219/(AS219*AU$8),0)</f>
        <v>0</v>
      </c>
      <c r="AU219" s="687">
        <f>AU36+AU61-AU193</f>
        <v>0</v>
      </c>
      <c r="AV219" s="61">
        <f>AV36+AV61</f>
        <v>0</v>
      </c>
      <c r="AW219" s="712">
        <f>IF(AV219&gt;0,AX219/(AV219*AX$8),0)</f>
        <v>0</v>
      </c>
      <c r="AX219" s="687">
        <f>AX36+AX61-AX193</f>
        <v>0</v>
      </c>
      <c r="AY219" s="61">
        <f>AY36+AY61</f>
        <v>0</v>
      </c>
      <c r="AZ219" s="712">
        <f>IF(AY219&gt;0,BA219/(AY219*BA$8),0)</f>
        <v>0</v>
      </c>
      <c r="BA219" s="687">
        <f>BA36+BA61-BA193</f>
        <v>0</v>
      </c>
      <c r="BB219" s="61">
        <f>BB36+BB61</f>
        <v>0</v>
      </c>
      <c r="BC219" s="712">
        <f>IF(BB219&gt;0,BD219/(BB219*BD$8),0)</f>
        <v>0</v>
      </c>
      <c r="BD219" s="687">
        <f>BD36+BD61-BD193</f>
        <v>0</v>
      </c>
      <c r="BE219" s="61">
        <f>BE36+BE61</f>
        <v>0</v>
      </c>
      <c r="BF219" s="712">
        <f>IF(BE219&gt;0,BG219/(BE219*BG$8),0)</f>
        <v>0</v>
      </c>
      <c r="BG219" s="687">
        <f>BG36+BG61-BG193</f>
        <v>0</v>
      </c>
      <c r="BH219" s="61">
        <f>BH36+BH61</f>
        <v>0</v>
      </c>
      <c r="BI219" s="712">
        <f>IF(BH219&gt;0,BJ219/(BH219*BJ$8),0)</f>
        <v>0</v>
      </c>
      <c r="BJ219" s="687">
        <f>BJ36+BJ61-BJ193</f>
        <v>0</v>
      </c>
      <c r="BK219" s="61">
        <f>BK36+BK61</f>
        <v>0</v>
      </c>
      <c r="BL219" s="712">
        <f>IF(BK219&gt;0,BM219/(BK219*BM$8),0)</f>
        <v>0</v>
      </c>
      <c r="BM219" s="687">
        <f>BM36+BM61-BM193</f>
        <v>0</v>
      </c>
      <c r="BN219" s="61">
        <f>BN36+BN61</f>
        <v>0</v>
      </c>
      <c r="BO219" s="712">
        <f>IF(BN219&gt;0,BP219/(BN219*BP$8),0)</f>
        <v>0</v>
      </c>
      <c r="BP219" s="687">
        <f>BP36+BP61-BP193</f>
        <v>0</v>
      </c>
      <c r="BQ219" s="61">
        <f>BQ36+BQ61</f>
        <v>0</v>
      </c>
      <c r="BR219" s="712">
        <f>IF(BQ219&gt;0,BS219/(BQ219*BS$8),0)</f>
        <v>0</v>
      </c>
      <c r="BS219" s="687">
        <f>BS36+BS61-BS193</f>
        <v>0</v>
      </c>
      <c r="BT219" s="61">
        <f>BT36+BT61</f>
        <v>0</v>
      </c>
      <c r="BU219" s="712">
        <f>IF(BT219&gt;0,BV219/(BT219*BV$8),0)</f>
        <v>0</v>
      </c>
      <c r="BV219" s="687">
        <f>BV36+BV61-BV193</f>
        <v>0</v>
      </c>
    </row>
    <row r="220" spans="1:74" s="61" customFormat="1" x14ac:dyDescent="0.2">
      <c r="A220" s="373" t="s">
        <v>145</v>
      </c>
      <c r="C220" s="673">
        <f>SUM(C219:C219)</f>
        <v>259000</v>
      </c>
      <c r="E220" s="686">
        <f>SUM(E219:E219)</f>
        <v>368242.83100000001</v>
      </c>
      <c r="F220" s="373">
        <f>SUM(F219:F219)</f>
        <v>259000</v>
      </c>
      <c r="H220" s="686">
        <f>SUM(H219:H219)</f>
        <v>332784.14399999997</v>
      </c>
      <c r="I220" s="373">
        <f>SUM(I219:I219)</f>
        <v>259000</v>
      </c>
      <c r="K220" s="686">
        <f>SUM(K219:K219)</f>
        <v>368780.24699999997</v>
      </c>
      <c r="L220" s="373">
        <f>SUM(L219:L219)</f>
        <v>259000</v>
      </c>
      <c r="N220" s="686">
        <f>SUM(N219:N219)</f>
        <v>357183.09</v>
      </c>
      <c r="O220" s="703">
        <f>SUM(O219:O219)</f>
        <v>259000</v>
      </c>
      <c r="Q220" s="686">
        <f>SUM(Q219:Q219)</f>
        <v>369213.658</v>
      </c>
      <c r="R220" s="373">
        <f>SUM(R219:R219)</f>
        <v>259000</v>
      </c>
      <c r="T220" s="686">
        <f>SUM(T219:T219)</f>
        <v>357424.32</v>
      </c>
      <c r="U220" s="373">
        <f>SUM(U219:U219)</f>
        <v>259000</v>
      </c>
      <c r="W220" s="686">
        <f>SUM(W219:W219)</f>
        <v>367851.70400000003</v>
      </c>
      <c r="X220" s="373">
        <f>SUM(X219:X219)</f>
        <v>259000</v>
      </c>
      <c r="Z220" s="686">
        <f>SUM(Z219:Z219)</f>
        <v>368646.91600000003</v>
      </c>
      <c r="AA220" s="373">
        <f>SUM(AA219:AA219)</f>
        <v>259000</v>
      </c>
      <c r="AC220" s="686">
        <f>SUM(AC219:AC219)</f>
        <v>355972.65</v>
      </c>
      <c r="AD220" s="373">
        <f>SUM(AD219:AD219)</f>
        <v>259000</v>
      </c>
      <c r="AF220" s="686">
        <f>SUM(AF219:AF219)</f>
        <v>369147.50400000002</v>
      </c>
      <c r="AG220" s="373">
        <f>SUM(AG219:AG219)</f>
        <v>259000</v>
      </c>
      <c r="AI220" s="686">
        <f>SUM(AI219:AI219)</f>
        <v>357410.46</v>
      </c>
      <c r="AJ220" s="373">
        <f>SUM(AJ219:AJ219)</f>
        <v>259000</v>
      </c>
      <c r="AL220" s="686">
        <f>SUM(AL219:AL219)</f>
        <v>369669.91600000003</v>
      </c>
      <c r="AM220" s="373">
        <f>SUM(AM219:AM219)</f>
        <v>0</v>
      </c>
      <c r="AO220" s="686">
        <f>SUM(AO219:AO219)</f>
        <v>0</v>
      </c>
      <c r="AP220" s="373">
        <f>SUM(AP219:AP219)</f>
        <v>0</v>
      </c>
      <c r="AR220" s="686">
        <f>SUM(AR219:AR219)</f>
        <v>0</v>
      </c>
      <c r="AS220" s="373">
        <f>SUM(AS219:AS219)</f>
        <v>0</v>
      </c>
      <c r="AU220" s="686">
        <f>SUM(AU219:AU219)</f>
        <v>0</v>
      </c>
      <c r="AV220" s="373">
        <f>SUM(AV219:AV219)</f>
        <v>0</v>
      </c>
      <c r="AX220" s="686">
        <f>SUM(AX219:AX219)</f>
        <v>0</v>
      </c>
      <c r="AY220" s="373">
        <f>SUM(AY219:AY219)</f>
        <v>0</v>
      </c>
      <c r="BA220" s="686">
        <f>SUM(BA219:BA219)</f>
        <v>0</v>
      </c>
      <c r="BB220" s="373">
        <f>SUM(BB219:BB219)</f>
        <v>0</v>
      </c>
      <c r="BD220" s="686">
        <f>SUM(BD219:BD219)</f>
        <v>0</v>
      </c>
      <c r="BE220" s="373">
        <f>SUM(BE219:BE219)</f>
        <v>0</v>
      </c>
      <c r="BG220" s="686">
        <f>SUM(BG219:BG219)</f>
        <v>0</v>
      </c>
      <c r="BH220" s="373">
        <f>SUM(BH219:BH219)</f>
        <v>0</v>
      </c>
      <c r="BJ220" s="686">
        <f>SUM(BJ219:BJ219)</f>
        <v>0</v>
      </c>
      <c r="BK220" s="373">
        <f>SUM(BK219:BK219)</f>
        <v>0</v>
      </c>
      <c r="BM220" s="686">
        <f>SUM(BM219:BM219)</f>
        <v>0</v>
      </c>
      <c r="BN220" s="373">
        <f>SUM(BN219:BN219)</f>
        <v>0</v>
      </c>
      <c r="BP220" s="686">
        <f>SUM(BP219:BP219)</f>
        <v>0</v>
      </c>
      <c r="BQ220" s="373">
        <f>SUM(BQ219:BQ219)</f>
        <v>0</v>
      </c>
      <c r="BS220" s="686">
        <f>SUM(BS219:BS219)</f>
        <v>0</v>
      </c>
      <c r="BT220" s="373">
        <f>SUM(BT219:BT219)</f>
        <v>0</v>
      </c>
      <c r="BV220" s="686">
        <f>SUM(BV219:BV219)</f>
        <v>0</v>
      </c>
    </row>
    <row r="221" spans="1:74" s="61" customFormat="1" x14ac:dyDescent="0.2">
      <c r="A221" s="61" t="s">
        <v>136</v>
      </c>
      <c r="B221" s="61" t="s">
        <v>52</v>
      </c>
      <c r="C221" s="672">
        <f>C38+C63</f>
        <v>0</v>
      </c>
      <c r="D221" s="712">
        <f>IF(C221&gt;0,E221/(C221*E$8),0)</f>
        <v>0</v>
      </c>
      <c r="E221" s="687">
        <f>E38+E63-E195</f>
        <v>0</v>
      </c>
      <c r="F221" s="61">
        <f>F38+F63</f>
        <v>0</v>
      </c>
      <c r="G221" s="712">
        <f>IF(F221&gt;0,H221/(F221*H$8),0)</f>
        <v>0</v>
      </c>
      <c r="H221" s="687">
        <f>H38+H63-H195</f>
        <v>0</v>
      </c>
      <c r="I221" s="61">
        <f>I38+I63</f>
        <v>0</v>
      </c>
      <c r="J221" s="712">
        <f>IF(I221&gt;0,K221/(I221*K$8),0)</f>
        <v>0</v>
      </c>
      <c r="K221" s="687">
        <f>K38+K63-K195</f>
        <v>0</v>
      </c>
      <c r="L221" s="61">
        <f>L38+L63</f>
        <v>0</v>
      </c>
      <c r="M221" s="712">
        <f>IF(L221&gt;0,N221/(L221*N$8),0)</f>
        <v>0</v>
      </c>
      <c r="N221" s="687">
        <f>N38+N63-N195</f>
        <v>0</v>
      </c>
      <c r="O221" s="702">
        <f>O38+O63</f>
        <v>0</v>
      </c>
      <c r="P221" s="712">
        <f>IF(O221&gt;0,Q221/(O221*Q$8),0)</f>
        <v>0</v>
      </c>
      <c r="Q221" s="687">
        <f>Q38+Q63-Q195</f>
        <v>0</v>
      </c>
      <c r="R221" s="61">
        <f>R38+R63</f>
        <v>0</v>
      </c>
      <c r="S221" s="712">
        <f>IF(R221&gt;0,T221/(R221*T$8),0)</f>
        <v>0</v>
      </c>
      <c r="T221" s="687">
        <f>T38+T63-T195</f>
        <v>0</v>
      </c>
      <c r="U221" s="61">
        <f>U38+U63</f>
        <v>0</v>
      </c>
      <c r="V221" s="712">
        <f>IF(U221&gt;0,W221/(U221*W$8),0)</f>
        <v>0</v>
      </c>
      <c r="W221" s="687">
        <f>W38+W63-W195</f>
        <v>0</v>
      </c>
      <c r="X221" s="61">
        <f>X38+X63</f>
        <v>0</v>
      </c>
      <c r="Y221" s="712">
        <f>IF(X221&gt;0,Z221/(X221*Z$8),0)</f>
        <v>0</v>
      </c>
      <c r="Z221" s="687">
        <f>Z38+Z63-Z195</f>
        <v>0</v>
      </c>
      <c r="AA221" s="61">
        <f>AA38+AA63</f>
        <v>0</v>
      </c>
      <c r="AB221" s="712">
        <f>IF(AA221&gt;0,AC221/(AA221*AC$8),0)</f>
        <v>0</v>
      </c>
      <c r="AC221" s="687">
        <f>AC38+AC63-AC195</f>
        <v>0</v>
      </c>
      <c r="AD221" s="61">
        <f>AD38+AD63</f>
        <v>0</v>
      </c>
      <c r="AE221" s="712">
        <f>IF(AD221&gt;0,AF221/(AD221*AF$8),0)</f>
        <v>0</v>
      </c>
      <c r="AF221" s="687">
        <f>AF38+AF63-AF195</f>
        <v>0</v>
      </c>
      <c r="AG221" s="61">
        <f>AG38+AG63</f>
        <v>0</v>
      </c>
      <c r="AH221" s="712">
        <f>IF(AG221&gt;0,AI221/(AG221*AI$8),0)</f>
        <v>0</v>
      </c>
      <c r="AI221" s="687">
        <f>AI38+AI63-AI195</f>
        <v>0</v>
      </c>
      <c r="AJ221" s="61">
        <f>AJ38+AJ63</f>
        <v>0</v>
      </c>
      <c r="AK221" s="712">
        <f>IF(AJ221&gt;0,AL221/(AJ221*AL$8),0)</f>
        <v>0</v>
      </c>
      <c r="AL221" s="687">
        <f>AL38+AL63-AL195</f>
        <v>0</v>
      </c>
      <c r="AM221" s="61">
        <f>AM38+AM63</f>
        <v>0</v>
      </c>
      <c r="AN221" s="712">
        <f>IF(AM221&gt;0,AO221/(AM221*AO$8),0)</f>
        <v>0</v>
      </c>
      <c r="AO221" s="687">
        <f>AO38+AO63-AO195</f>
        <v>0</v>
      </c>
      <c r="AP221" s="61">
        <f>AP38+AP63</f>
        <v>0</v>
      </c>
      <c r="AQ221" s="712">
        <f>IF(AP221&gt;0,AR221/(AP221*AR$8),0)</f>
        <v>0</v>
      </c>
      <c r="AR221" s="687">
        <f>AR38+AR63-AR195</f>
        <v>0</v>
      </c>
      <c r="AS221" s="61">
        <f>AS38+AS63</f>
        <v>0</v>
      </c>
      <c r="AT221" s="712">
        <f>IF(AS221&gt;0,AU221/(AS221*AU$8),0)</f>
        <v>0</v>
      </c>
      <c r="AU221" s="687">
        <f>AU38+AU63-AU195</f>
        <v>0</v>
      </c>
      <c r="AV221" s="61">
        <f>AV38+AV63</f>
        <v>0</v>
      </c>
      <c r="AW221" s="712">
        <f>IF(AV221&gt;0,AX221/(AV221*AX$8),0)</f>
        <v>0</v>
      </c>
      <c r="AX221" s="687">
        <f>AX38+AX63-AX195</f>
        <v>0</v>
      </c>
      <c r="AY221" s="61">
        <f>AY38+AY63</f>
        <v>0</v>
      </c>
      <c r="AZ221" s="712">
        <f>IF(AY221&gt;0,BA221/(AY221*BA$8),0)</f>
        <v>0</v>
      </c>
      <c r="BA221" s="687">
        <f>BA38+BA63-BA195</f>
        <v>0</v>
      </c>
      <c r="BB221" s="61">
        <f>BB38+BB63</f>
        <v>0</v>
      </c>
      <c r="BC221" s="712">
        <f>IF(BB221&gt;0,BD221/(BB221*BD$8),0)</f>
        <v>0</v>
      </c>
      <c r="BD221" s="687">
        <f>BD38+BD63-BD195</f>
        <v>0</v>
      </c>
      <c r="BE221" s="61">
        <f>BE38+BE63</f>
        <v>0</v>
      </c>
      <c r="BF221" s="712">
        <f>IF(BE221&gt;0,BG221/(BE221*BG$8),0)</f>
        <v>0</v>
      </c>
      <c r="BG221" s="687">
        <f>BG38+BG63-BG195</f>
        <v>0</v>
      </c>
      <c r="BH221" s="61">
        <f>BH38+BH63</f>
        <v>0</v>
      </c>
      <c r="BI221" s="712">
        <f>IF(BH221&gt;0,BJ221/(BH221*BJ$8),0)</f>
        <v>0</v>
      </c>
      <c r="BJ221" s="687">
        <f>BJ38+BJ63-BJ195</f>
        <v>0</v>
      </c>
      <c r="BK221" s="61">
        <f>BK38+BK63</f>
        <v>0</v>
      </c>
      <c r="BL221" s="712">
        <f>IF(BK221&gt;0,BM221/(BK221*BM$8),0)</f>
        <v>0</v>
      </c>
      <c r="BM221" s="687">
        <f>BM38+BM63-BM195</f>
        <v>0</v>
      </c>
      <c r="BN221" s="61">
        <f>BN38+BN63</f>
        <v>0</v>
      </c>
      <c r="BO221" s="712">
        <f>IF(BN221&gt;0,BP221/(BN221*BP$8),0)</f>
        <v>0</v>
      </c>
      <c r="BP221" s="687">
        <f>BP38+BP63-BP195</f>
        <v>0</v>
      </c>
      <c r="BQ221" s="61">
        <f>BQ38+BQ63</f>
        <v>0</v>
      </c>
      <c r="BR221" s="712">
        <f>IF(BQ221&gt;0,BS221/(BQ221*BS$8),0)</f>
        <v>0</v>
      </c>
      <c r="BS221" s="687">
        <f>BS38+BS63-BS195</f>
        <v>0</v>
      </c>
      <c r="BT221" s="61">
        <f>BT38+BT63</f>
        <v>0</v>
      </c>
      <c r="BU221" s="712">
        <f>IF(BT221&gt;0,BV221/(BT221*BV$8),0)</f>
        <v>0</v>
      </c>
      <c r="BV221" s="687">
        <f>BV38+BV63-BV195</f>
        <v>0</v>
      </c>
    </row>
    <row r="222" spans="1:74" s="61" customFormat="1" x14ac:dyDescent="0.2">
      <c r="A222" s="61" t="s">
        <v>137</v>
      </c>
      <c r="B222" s="61" t="s">
        <v>52</v>
      </c>
      <c r="C222" s="672">
        <f>C39+C64</f>
        <v>497500</v>
      </c>
      <c r="D222" s="712">
        <f>IF(C222&gt;0,E222/(C222*E$8),0)</f>
        <v>0.10365025125628141</v>
      </c>
      <c r="E222" s="687">
        <f>E39+E64-E196</f>
        <v>1598546</v>
      </c>
      <c r="F222" s="61">
        <f>F39+F64</f>
        <v>497500</v>
      </c>
      <c r="G222" s="712">
        <f>IF(F222&gt;0,H222/(F222*H$8),0)</f>
        <v>0.10365025125628141</v>
      </c>
      <c r="H222" s="687">
        <f>H39+H64-H196</f>
        <v>1443848</v>
      </c>
      <c r="I222" s="61">
        <f>I39+I64</f>
        <v>477500</v>
      </c>
      <c r="J222" s="712">
        <f>IF(I222&gt;0,K222/(I222*K$8),0)</f>
        <v>0.10349319371727748</v>
      </c>
      <c r="K222" s="687">
        <f>K39+K64-K196</f>
        <v>1531958</v>
      </c>
      <c r="L222" s="61">
        <f>L39+L64</f>
        <v>477500</v>
      </c>
      <c r="M222" s="712">
        <f>IF(L222&gt;0,N222/(L222*N$8),0)</f>
        <v>0.10349319371727748</v>
      </c>
      <c r="N222" s="687">
        <f>N39+N64-N196</f>
        <v>1482540</v>
      </c>
      <c r="O222" s="702">
        <f>O39+O64</f>
        <v>477500</v>
      </c>
      <c r="P222" s="712">
        <f>IF(O222&gt;0,Q222/(O222*Q$8),0)</f>
        <v>0.10349319371727748</v>
      </c>
      <c r="Q222" s="687">
        <f>Q39+Q64-Q196</f>
        <v>1531958</v>
      </c>
      <c r="R222" s="61">
        <f>R39+R64</f>
        <v>477500</v>
      </c>
      <c r="S222" s="712">
        <f>IF(R222&gt;0,T222/(R222*T$8),0)</f>
        <v>0.10349319371727748</v>
      </c>
      <c r="T222" s="687">
        <f>T39+T64-T196</f>
        <v>1482540</v>
      </c>
      <c r="U222" s="61">
        <f>U39+U64</f>
        <v>477500</v>
      </c>
      <c r="V222" s="712">
        <f>IF(U222&gt;0,W222/(U222*W$8),0)</f>
        <v>0.10349319371727748</v>
      </c>
      <c r="W222" s="687">
        <f>W39+W64-W196</f>
        <v>1531958</v>
      </c>
      <c r="X222" s="61">
        <f>X39+X64</f>
        <v>477500</v>
      </c>
      <c r="Y222" s="712">
        <f>IF(X222&gt;0,Z222/(X222*Z$8),0)</f>
        <v>0.10349319371727748</v>
      </c>
      <c r="Z222" s="687">
        <f>Z39+Z64-Z196</f>
        <v>1531958</v>
      </c>
      <c r="AA222" s="61">
        <f>AA39+AA64</f>
        <v>477500</v>
      </c>
      <c r="AB222" s="712">
        <f>IF(AA222&gt;0,AC222/(AA222*AC$8),0)</f>
        <v>0.10349319371727748</v>
      </c>
      <c r="AC222" s="687">
        <f>AC39+AC64-AC196</f>
        <v>1482540</v>
      </c>
      <c r="AD222" s="61">
        <f>AD39+AD64</f>
        <v>477500</v>
      </c>
      <c r="AE222" s="712">
        <f>IF(AD222&gt;0,AF222/(AD222*AF$8),0)</f>
        <v>0.10349319371727748</v>
      </c>
      <c r="AF222" s="687">
        <f>AF39+AF64-AF196</f>
        <v>1531958</v>
      </c>
      <c r="AG222" s="61">
        <f>AG39+AG64</f>
        <v>456000</v>
      </c>
      <c r="AH222" s="712">
        <f>IF(AG222&gt;0,AI222/(AG222*AI$8),0)</f>
        <v>0.10816228070175439</v>
      </c>
      <c r="AI222" s="687">
        <f>AI39+AI64-AI196</f>
        <v>1479660</v>
      </c>
      <c r="AJ222" s="61">
        <f>AJ39+AJ64</f>
        <v>456000</v>
      </c>
      <c r="AK222" s="712">
        <f>IF(AJ222&gt;0,AL222/(AJ222*AL$8),0)</f>
        <v>0.10816228070175439</v>
      </c>
      <c r="AL222" s="687">
        <f>AL39+AL64-AL196</f>
        <v>1528982</v>
      </c>
      <c r="AM222" s="61">
        <f>AM39+AM64</f>
        <v>0</v>
      </c>
      <c r="AN222" s="712">
        <f>IF(AM222&gt;0,AO222/(AM222*AO$8),0)</f>
        <v>0</v>
      </c>
      <c r="AO222" s="687">
        <f>AO39+AO64-AO196</f>
        <v>13840.337500000001</v>
      </c>
      <c r="AP222" s="61">
        <f>AP39+AP64</f>
        <v>0</v>
      </c>
      <c r="AQ222" s="712">
        <f>IF(AP222&gt;0,AR222/(AP222*AR$8),0)</f>
        <v>0</v>
      </c>
      <c r="AR222" s="687">
        <f>AR39+AR64-AR196</f>
        <v>0</v>
      </c>
      <c r="AS222" s="61">
        <f>AS39+AS64</f>
        <v>0</v>
      </c>
      <c r="AT222" s="712">
        <f>IF(AS222&gt;0,AU222/(AS222*AU$8),0)</f>
        <v>0</v>
      </c>
      <c r="AU222" s="687">
        <f>AU39+AU64-AU196</f>
        <v>0</v>
      </c>
      <c r="AV222" s="61">
        <f>AV39+AV64</f>
        <v>0</v>
      </c>
      <c r="AW222" s="712">
        <f>IF(AV222&gt;0,AX222/(AV222*AX$8),0)</f>
        <v>0</v>
      </c>
      <c r="AX222" s="687">
        <f>AX39+AX64-AX196</f>
        <v>0</v>
      </c>
      <c r="AY222" s="61">
        <f>AY39+AY64</f>
        <v>0</v>
      </c>
      <c r="AZ222" s="712">
        <f>IF(AY222&gt;0,BA222/(AY222*BA$8),0)</f>
        <v>0</v>
      </c>
      <c r="BA222" s="687">
        <f>BA39+BA64-BA196</f>
        <v>0</v>
      </c>
      <c r="BB222" s="61">
        <f>BB39+BB64</f>
        <v>0</v>
      </c>
      <c r="BC222" s="712">
        <f>IF(BB222&gt;0,BD222/(BB222*BD$8),0)</f>
        <v>0</v>
      </c>
      <c r="BD222" s="687">
        <f>BD39+BD64-BD196</f>
        <v>0</v>
      </c>
      <c r="BE222" s="61">
        <f>BE39+BE64</f>
        <v>0</v>
      </c>
      <c r="BF222" s="712">
        <f>IF(BE222&gt;0,BG222/(BE222*BG$8),0)</f>
        <v>0</v>
      </c>
      <c r="BG222" s="687">
        <f>BG39+BG64-BG196</f>
        <v>0</v>
      </c>
      <c r="BH222" s="61">
        <f>BH39+BH64</f>
        <v>0</v>
      </c>
      <c r="BI222" s="712">
        <f>IF(BH222&gt;0,BJ222/(BH222*BJ$8),0)</f>
        <v>0</v>
      </c>
      <c r="BJ222" s="687">
        <f>BJ39+BJ64-BJ196</f>
        <v>0</v>
      </c>
      <c r="BK222" s="61">
        <f>BK39+BK64</f>
        <v>0</v>
      </c>
      <c r="BL222" s="712">
        <f>IF(BK222&gt;0,BM222/(BK222*BM$8),0)</f>
        <v>0</v>
      </c>
      <c r="BM222" s="687">
        <f>BM39+BM64-BM196</f>
        <v>0</v>
      </c>
      <c r="BN222" s="61">
        <f>BN39+BN64</f>
        <v>0</v>
      </c>
      <c r="BO222" s="712">
        <f>IF(BN222&gt;0,BP222/(BN222*BP$8),0)</f>
        <v>0</v>
      </c>
      <c r="BP222" s="687">
        <f>BP39+BP64-BP196</f>
        <v>0</v>
      </c>
      <c r="BQ222" s="61">
        <f>BQ39+BQ64</f>
        <v>0</v>
      </c>
      <c r="BR222" s="712">
        <f>IF(BQ222&gt;0,BS222/(BQ222*BS$8),0)</f>
        <v>0</v>
      </c>
      <c r="BS222" s="687">
        <f>BS39+BS64-BS196</f>
        <v>0</v>
      </c>
      <c r="BT222" s="61">
        <f>BT39+BT64</f>
        <v>0</v>
      </c>
      <c r="BU222" s="712">
        <f>IF(BT222&gt;0,BV222/(BT222*BV$8),0)</f>
        <v>0</v>
      </c>
      <c r="BV222" s="687">
        <f>BV39+BV64-BV196</f>
        <v>0</v>
      </c>
    </row>
    <row r="223" spans="1:74" s="61" customFormat="1" x14ac:dyDescent="0.2">
      <c r="A223" s="373" t="s">
        <v>144</v>
      </c>
      <c r="C223" s="673">
        <f>SUM(C221:C222)</f>
        <v>497500</v>
      </c>
      <c r="E223" s="686">
        <f>SUM(E221:E222)</f>
        <v>1598546</v>
      </c>
      <c r="F223" s="373">
        <f>SUM(F221:F222)</f>
        <v>497500</v>
      </c>
      <c r="H223" s="686">
        <f>SUM(H221:H222)</f>
        <v>1443848</v>
      </c>
      <c r="I223" s="373">
        <f>SUM(I221:I222)</f>
        <v>477500</v>
      </c>
      <c r="K223" s="686">
        <f>SUM(K221:K222)</f>
        <v>1531958</v>
      </c>
      <c r="L223" s="373">
        <f>SUM(L221:L222)</f>
        <v>477500</v>
      </c>
      <c r="N223" s="686">
        <f>SUM(N221:N222)</f>
        <v>1482540</v>
      </c>
      <c r="O223" s="703">
        <f>SUM(O221:O222)</f>
        <v>477500</v>
      </c>
      <c r="Q223" s="686">
        <f>SUM(Q221:Q222)</f>
        <v>1531958</v>
      </c>
      <c r="R223" s="373">
        <f>SUM(R221:R222)</f>
        <v>477500</v>
      </c>
      <c r="T223" s="686">
        <f>SUM(T221:T222)</f>
        <v>1482540</v>
      </c>
      <c r="U223" s="373">
        <f>SUM(U221:U222)</f>
        <v>477500</v>
      </c>
      <c r="W223" s="686">
        <f>SUM(W221:W222)</f>
        <v>1531958</v>
      </c>
      <c r="X223" s="373">
        <f>SUM(X221:X222)</f>
        <v>477500</v>
      </c>
      <c r="Z223" s="686">
        <f>SUM(Z221:Z222)</f>
        <v>1531958</v>
      </c>
      <c r="AA223" s="373">
        <f>SUM(AA221:AA222)</f>
        <v>477500</v>
      </c>
      <c r="AC223" s="686">
        <f>SUM(AC221:AC222)</f>
        <v>1482540</v>
      </c>
      <c r="AD223" s="373">
        <f>SUM(AD221:AD222)</f>
        <v>477500</v>
      </c>
      <c r="AF223" s="686">
        <f>SUM(AF221:AF222)</f>
        <v>1531958</v>
      </c>
      <c r="AG223" s="373">
        <f>SUM(AG221:AG222)</f>
        <v>456000</v>
      </c>
      <c r="AI223" s="686">
        <f>SUM(AI221:AI222)</f>
        <v>1479660</v>
      </c>
      <c r="AJ223" s="373">
        <f>SUM(AJ221:AJ222)</f>
        <v>456000</v>
      </c>
      <c r="AL223" s="686">
        <f>SUM(AL221:AL222)</f>
        <v>1528982</v>
      </c>
      <c r="AM223" s="373">
        <f>SUM(AM221:AM222)</f>
        <v>0</v>
      </c>
      <c r="AO223" s="686">
        <f>SUM(AO221:AO222)</f>
        <v>13840.337500000001</v>
      </c>
      <c r="AP223" s="373">
        <f>SUM(AP221:AP222)</f>
        <v>0</v>
      </c>
      <c r="AR223" s="686">
        <f>SUM(AR221:AR222)</f>
        <v>0</v>
      </c>
      <c r="AS223" s="373">
        <f>SUM(AS221:AS222)</f>
        <v>0</v>
      </c>
      <c r="AU223" s="686">
        <f>SUM(AU221:AU222)</f>
        <v>0</v>
      </c>
      <c r="AV223" s="373">
        <f>SUM(AV221:AV222)</f>
        <v>0</v>
      </c>
      <c r="AX223" s="686">
        <f>SUM(AX221:AX222)</f>
        <v>0</v>
      </c>
      <c r="AY223" s="373">
        <f>SUM(AY221:AY222)</f>
        <v>0</v>
      </c>
      <c r="BA223" s="686">
        <f>SUM(BA221:BA222)</f>
        <v>0</v>
      </c>
      <c r="BB223" s="373">
        <f>SUM(BB221:BB222)</f>
        <v>0</v>
      </c>
      <c r="BD223" s="686">
        <f>SUM(BD221:BD222)</f>
        <v>0</v>
      </c>
      <c r="BE223" s="373">
        <f>SUM(BE221:BE222)</f>
        <v>0</v>
      </c>
      <c r="BG223" s="686">
        <f>SUM(BG221:BG222)</f>
        <v>0</v>
      </c>
      <c r="BH223" s="373">
        <f>SUM(BH221:BH222)</f>
        <v>0</v>
      </c>
      <c r="BJ223" s="686">
        <f>SUM(BJ221:BJ222)</f>
        <v>0</v>
      </c>
      <c r="BK223" s="373">
        <f>SUM(BK221:BK222)</f>
        <v>0</v>
      </c>
      <c r="BM223" s="686">
        <f>SUM(BM221:BM222)</f>
        <v>0</v>
      </c>
      <c r="BN223" s="373">
        <f>SUM(BN221:BN222)</f>
        <v>0</v>
      </c>
      <c r="BP223" s="686">
        <f>SUM(BP221:BP222)</f>
        <v>0</v>
      </c>
      <c r="BQ223" s="373">
        <f>SUM(BQ221:BQ222)</f>
        <v>0</v>
      </c>
      <c r="BS223" s="686">
        <f>SUM(BS221:BS222)</f>
        <v>0</v>
      </c>
      <c r="BT223" s="373">
        <f>SUM(BT221:BT222)</f>
        <v>0</v>
      </c>
      <c r="BV223" s="686">
        <f>SUM(BV221:BV222)</f>
        <v>0</v>
      </c>
    </row>
    <row r="224" spans="1:74" s="61" customFormat="1" x14ac:dyDescent="0.2">
      <c r="A224" s="61" t="s">
        <v>138</v>
      </c>
      <c r="B224" s="61" t="s">
        <v>52</v>
      </c>
      <c r="C224" s="672">
        <f>C41+C66</f>
        <v>550500</v>
      </c>
      <c r="D224" s="712">
        <f>IF(C224&gt;0,E224/(C224*E$8),0)</f>
        <v>0.25488508174386926</v>
      </c>
      <c r="E224" s="687">
        <f>E41+E66-E198</f>
        <v>4349741.3625000007</v>
      </c>
      <c r="F224" s="61">
        <f>F41+F66</f>
        <v>550500</v>
      </c>
      <c r="G224" s="712">
        <f>IF(F224&gt;0,H224/(F224*H$8),0)</f>
        <v>0.24656229336966398</v>
      </c>
      <c r="H224" s="687">
        <f>H41+H66-H198</f>
        <v>3800511.1900000004</v>
      </c>
      <c r="I224" s="61">
        <f>I41+I66</f>
        <v>550500</v>
      </c>
      <c r="J224" s="712">
        <f>IF(I224&gt;0,K224/(I224*K$8),0)</f>
        <v>0.24692960944595821</v>
      </c>
      <c r="K224" s="687">
        <f>K41+K66-K198</f>
        <v>4213977.25</v>
      </c>
      <c r="L224" s="61">
        <f>L41+L66</f>
        <v>550500</v>
      </c>
      <c r="M224" s="712">
        <f>IF(L224&gt;0,N224/(L224*N$8),0)</f>
        <v>0.2461192098092643</v>
      </c>
      <c r="N224" s="687">
        <f>N41+N66-N198</f>
        <v>4064658.75</v>
      </c>
      <c r="O224" s="702">
        <f>O41+O66</f>
        <v>550500</v>
      </c>
      <c r="P224" s="712">
        <f>IF(O224&gt;0,Q224/(O224*Q$8),0)</f>
        <v>0.246119186370162</v>
      </c>
      <c r="Q224" s="687">
        <f>Q41+Q66-Q198</f>
        <v>4200146.9749999996</v>
      </c>
      <c r="R224" s="61">
        <f>R41+R66</f>
        <v>630500</v>
      </c>
      <c r="S224" s="712">
        <f>IF(R224&gt;0,T224/(R224*T$8),0)</f>
        <v>0.2707101308485329</v>
      </c>
      <c r="T224" s="687">
        <f>T41+T66-T198</f>
        <v>5120482.125</v>
      </c>
      <c r="U224" s="61">
        <f>U41+U66</f>
        <v>670500</v>
      </c>
      <c r="V224" s="712">
        <f>IF(U224&gt;0,W224/(U224*W$8),0)</f>
        <v>0.27591130235019606</v>
      </c>
      <c r="W224" s="687">
        <f>W41+W66-W198</f>
        <v>5734954.375</v>
      </c>
      <c r="X224" s="61">
        <f>X41+X66</f>
        <v>670500</v>
      </c>
      <c r="Y224" s="712">
        <f>IF(X224&gt;0,Z224/(X224*Z$8),0)</f>
        <v>0.27634804731663903</v>
      </c>
      <c r="Z224" s="687">
        <f>Z41+Z66-Z198</f>
        <v>5744032.3375000004</v>
      </c>
      <c r="AA224" s="61">
        <f>AA41+AA66</f>
        <v>670500</v>
      </c>
      <c r="AB224" s="712">
        <f>IF(AA224&gt;0,AC224/(AA224*AC$8),0)</f>
        <v>0.27591129753914989</v>
      </c>
      <c r="AC224" s="687">
        <f>AC41+AC66-AC198</f>
        <v>5549955.75</v>
      </c>
      <c r="AD224" s="61">
        <f>AD41+AD66</f>
        <v>670500</v>
      </c>
      <c r="AE224" s="712">
        <f>IF(AD224&gt;0,AF224/(AD224*AF$8),0)</f>
        <v>0.27576572069471506</v>
      </c>
      <c r="AF224" s="687">
        <f>AF41+AF66-AF198</f>
        <v>5731928.3875000002</v>
      </c>
      <c r="AG224" s="61">
        <f>AG41+AG66</f>
        <v>649000</v>
      </c>
      <c r="AH224" s="712">
        <f>IF(AG224&gt;0,AI224/(AG224*AI$8),0)</f>
        <v>0.28187673343605546</v>
      </c>
      <c r="AI224" s="687">
        <f>AI41+AI66-AI198</f>
        <v>5488140</v>
      </c>
      <c r="AJ224" s="61">
        <f>AJ41+AJ66</f>
        <v>649000</v>
      </c>
      <c r="AK224" s="712">
        <f>IF(AJ224&gt;0,AL224/(AJ224*AL$8),0)</f>
        <v>0.28275939410507478</v>
      </c>
      <c r="AL224" s="687">
        <f>AL41+AL66-AL198</f>
        <v>5688836.25</v>
      </c>
      <c r="AM224" s="61">
        <f>AM41+AM66</f>
        <v>0</v>
      </c>
      <c r="AN224" s="712">
        <f>IF(AM224&gt;0,AO224/(AM224*AO$8),0)</f>
        <v>0</v>
      </c>
      <c r="AO224" s="687">
        <f>AO41+AO66-AO198</f>
        <v>167619.48000000001</v>
      </c>
      <c r="AP224" s="61">
        <f>AP41+AP66</f>
        <v>0</v>
      </c>
      <c r="AQ224" s="712">
        <f>IF(AP224&gt;0,AR224/(AP224*AR$8),0)</f>
        <v>0</v>
      </c>
      <c r="AR224" s="687">
        <f>AR41+AR66-AR198</f>
        <v>0</v>
      </c>
      <c r="AS224" s="61">
        <f>AS41+AS66</f>
        <v>0</v>
      </c>
      <c r="AT224" s="712">
        <f>IF(AS224&gt;0,AU224/(AS224*AU$8),0)</f>
        <v>0</v>
      </c>
      <c r="AU224" s="687">
        <f>AU41+AU66-AU198</f>
        <v>0</v>
      </c>
      <c r="AV224" s="61">
        <f>AV41+AV66</f>
        <v>0</v>
      </c>
      <c r="AW224" s="712">
        <f>IF(AV224&gt;0,AX224/(AV224*AX$8),0)</f>
        <v>0</v>
      </c>
      <c r="AX224" s="687">
        <f>AX41+AX66-AX198</f>
        <v>0</v>
      </c>
      <c r="AY224" s="61">
        <f>AY41+AY66</f>
        <v>0</v>
      </c>
      <c r="AZ224" s="712">
        <f>IF(AY224&gt;0,BA224/(AY224*BA$8),0)</f>
        <v>0</v>
      </c>
      <c r="BA224" s="687">
        <f>BA41+BA66-BA198</f>
        <v>0</v>
      </c>
      <c r="BB224" s="61">
        <f>BB41+BB66</f>
        <v>0</v>
      </c>
      <c r="BC224" s="712">
        <f>IF(BB224&gt;0,BD224/(BB224*BD$8),0)</f>
        <v>0</v>
      </c>
      <c r="BD224" s="687">
        <f>BD41+BD66-BD198</f>
        <v>0</v>
      </c>
      <c r="BE224" s="61">
        <f>BE41+BE66</f>
        <v>0</v>
      </c>
      <c r="BF224" s="712">
        <f>IF(BE224&gt;0,BG224/(BE224*BG$8),0)</f>
        <v>0</v>
      </c>
      <c r="BG224" s="687">
        <f>BG41+BG66-BG198</f>
        <v>0</v>
      </c>
      <c r="BH224" s="61">
        <f>BH41+BH66</f>
        <v>0</v>
      </c>
      <c r="BI224" s="712">
        <f>IF(BH224&gt;0,BJ224/(BH224*BJ$8),0)</f>
        <v>0</v>
      </c>
      <c r="BJ224" s="687">
        <f>BJ41+BJ66-BJ198</f>
        <v>0</v>
      </c>
      <c r="BK224" s="61">
        <f>BK41+BK66</f>
        <v>0</v>
      </c>
      <c r="BL224" s="712">
        <f>IF(BK224&gt;0,BM224/(BK224*BM$8),0)</f>
        <v>0</v>
      </c>
      <c r="BM224" s="687">
        <f>BM41+BM66-BM198</f>
        <v>0</v>
      </c>
      <c r="BN224" s="61">
        <f>BN41+BN66</f>
        <v>0</v>
      </c>
      <c r="BO224" s="712">
        <f>IF(BN224&gt;0,BP224/(BN224*BP$8),0)</f>
        <v>0</v>
      </c>
      <c r="BP224" s="687">
        <f>BP41+BP66-BP198</f>
        <v>0</v>
      </c>
      <c r="BQ224" s="61">
        <f>BQ41+BQ66</f>
        <v>0</v>
      </c>
      <c r="BR224" s="712">
        <f>IF(BQ224&gt;0,BS224/(BQ224*BS$8),0)</f>
        <v>0</v>
      </c>
      <c r="BS224" s="687">
        <f>BS41+BS66-BS198</f>
        <v>0</v>
      </c>
      <c r="BT224" s="61">
        <f>BT41+BT66</f>
        <v>0</v>
      </c>
      <c r="BU224" s="712">
        <f>IF(BT224&gt;0,BV224/(BT224*BV$8),0)</f>
        <v>0</v>
      </c>
      <c r="BV224" s="687">
        <f>BV41+BV66-BV198</f>
        <v>0</v>
      </c>
    </row>
    <row r="225" spans="1:74" s="61" customFormat="1" x14ac:dyDescent="0.2">
      <c r="A225" s="61" t="s">
        <v>139</v>
      </c>
      <c r="B225" s="61" t="s">
        <v>52</v>
      </c>
      <c r="C225" s="672">
        <f>C42+C67</f>
        <v>60000</v>
      </c>
      <c r="D225" s="712">
        <f>IF(C225&gt;0,E225/(C225*E$8),0)</f>
        <v>0.16409000000000001</v>
      </c>
      <c r="E225" s="687">
        <f>E42+E67-E199</f>
        <v>305207.40000000002</v>
      </c>
      <c r="F225" s="61">
        <f>F42+F67</f>
        <v>60000</v>
      </c>
      <c r="G225" s="712">
        <f>IF(F225&gt;0,H225/(F225*H$8),0)</f>
        <v>0.16390500000000002</v>
      </c>
      <c r="H225" s="687">
        <f>H42+H67-H199</f>
        <v>275360.40000000002</v>
      </c>
      <c r="I225" s="61">
        <f>I42+I67</f>
        <v>60000</v>
      </c>
      <c r="J225" s="712">
        <f>IF(I225&gt;0,K225/(I225*K$8),0)</f>
        <v>0.16260999999999998</v>
      </c>
      <c r="K225" s="687">
        <f>K42+K67-K199</f>
        <v>302454.59999999998</v>
      </c>
      <c r="L225" s="61">
        <f>L42+L67</f>
        <v>60000</v>
      </c>
      <c r="M225" s="712">
        <f>IF(L225&gt;0,N225/(L225*N$8),0)</f>
        <v>0.16483</v>
      </c>
      <c r="N225" s="687">
        <f>N42+N67-N199</f>
        <v>296694</v>
      </c>
      <c r="O225" s="702">
        <f>O42+O67</f>
        <v>60000</v>
      </c>
      <c r="P225" s="712">
        <f>IF(O225&gt;0,Q225/(O225*Q$8),0)</f>
        <v>0.163905</v>
      </c>
      <c r="Q225" s="687">
        <f>Q42+Q67-Q199</f>
        <v>304863.3</v>
      </c>
      <c r="R225" s="61">
        <f>R42+R67</f>
        <v>60000</v>
      </c>
      <c r="S225" s="712">
        <f>IF(R225&gt;0,T225/(R225*T$8),0)</f>
        <v>0.16298000000000001</v>
      </c>
      <c r="T225" s="687">
        <f>T42+T67-T199</f>
        <v>293364</v>
      </c>
      <c r="U225" s="61">
        <f>U42+U67</f>
        <v>60000</v>
      </c>
      <c r="V225" s="712">
        <f>IF(U225&gt;0,W225/(U225*W$8),0)</f>
        <v>0.163165</v>
      </c>
      <c r="W225" s="687">
        <f>W42+W67-W199</f>
        <v>303486.90000000002</v>
      </c>
      <c r="X225" s="61">
        <f>X42+X67</f>
        <v>60000</v>
      </c>
      <c r="Y225" s="712">
        <f>IF(X225&gt;0,Z225/(X225*Z$8),0)</f>
        <v>0.16260999999999998</v>
      </c>
      <c r="Z225" s="687">
        <f>Z42+Z67-Z199</f>
        <v>302454.59999999998</v>
      </c>
      <c r="AA225" s="61">
        <f>AA42+AA67</f>
        <v>60000</v>
      </c>
      <c r="AB225" s="712">
        <f>IF(AA225&gt;0,AC225/(AA225*AC$8),0)</f>
        <v>0.163905</v>
      </c>
      <c r="AC225" s="687">
        <f>AC42+AC67-AC199</f>
        <v>295029</v>
      </c>
      <c r="AD225" s="61">
        <f>AD42+AD67</f>
        <v>60000</v>
      </c>
      <c r="AE225" s="712">
        <f>IF(AD225&gt;0,AF225/(AD225*AF$8),0)</f>
        <v>0.16260999999999998</v>
      </c>
      <c r="AF225" s="687">
        <f>AF42+AF67-AF199</f>
        <v>302454.59999999998</v>
      </c>
      <c r="AG225" s="61">
        <f>AG42+AG67</f>
        <v>60000</v>
      </c>
      <c r="AH225" s="712">
        <f>IF(AG225&gt;0,AI225/(AG225*AI$8),0)</f>
        <v>0.16187000000000001</v>
      </c>
      <c r="AI225" s="687">
        <f>AI42+AI67-AI199</f>
        <v>291366</v>
      </c>
      <c r="AJ225" s="61">
        <f>AJ42+AJ67</f>
        <v>60000</v>
      </c>
      <c r="AK225" s="712">
        <f>IF(AJ225&gt;0,AL225/(AJ225*AL$8),0)</f>
        <v>0.161685</v>
      </c>
      <c r="AL225" s="687">
        <f>AL42+AL67-AL199</f>
        <v>300734.09999999998</v>
      </c>
      <c r="AM225" s="61">
        <f>AM42+AM67</f>
        <v>0</v>
      </c>
      <c r="AN225" s="712">
        <f>IF(AM225&gt;0,AO225/(AM225*AO$8),0)</f>
        <v>0</v>
      </c>
      <c r="AO225" s="687">
        <f>AO42+AO67-AO199</f>
        <v>0</v>
      </c>
      <c r="AP225" s="61">
        <f>AP42+AP67</f>
        <v>0</v>
      </c>
      <c r="AQ225" s="712">
        <f>IF(AP225&gt;0,AR225/(AP225*AR$8),0)</f>
        <v>0</v>
      </c>
      <c r="AR225" s="687">
        <f>AR42+AR67-AR199</f>
        <v>0</v>
      </c>
      <c r="AS225" s="61">
        <f>AS42+AS67</f>
        <v>0</v>
      </c>
      <c r="AT225" s="712">
        <f>IF(AS225&gt;0,AU225/(AS225*AU$8),0)</f>
        <v>0</v>
      </c>
      <c r="AU225" s="687">
        <f>AU42+AU67-AU199</f>
        <v>0</v>
      </c>
      <c r="AV225" s="61">
        <f>AV42+AV67</f>
        <v>0</v>
      </c>
      <c r="AW225" s="712">
        <f>IF(AV225&gt;0,AX225/(AV225*AX$8),0)</f>
        <v>0</v>
      </c>
      <c r="AX225" s="687">
        <f>AX42+AX67-AX199</f>
        <v>0</v>
      </c>
      <c r="AY225" s="61">
        <f>AY42+AY67</f>
        <v>0</v>
      </c>
      <c r="AZ225" s="712">
        <f>IF(AY225&gt;0,BA225/(AY225*BA$8),0)</f>
        <v>0</v>
      </c>
      <c r="BA225" s="687">
        <f>BA42+BA67-BA199</f>
        <v>0</v>
      </c>
      <c r="BB225" s="61">
        <f>BB42+BB67</f>
        <v>0</v>
      </c>
      <c r="BC225" s="712">
        <f>IF(BB225&gt;0,BD225/(BB225*BD$8),0)</f>
        <v>0</v>
      </c>
      <c r="BD225" s="687">
        <f>BD42+BD67-BD199</f>
        <v>0</v>
      </c>
      <c r="BE225" s="61">
        <f>BE42+BE67</f>
        <v>0</v>
      </c>
      <c r="BF225" s="712">
        <f>IF(BE225&gt;0,BG225/(BE225*BG$8),0)</f>
        <v>0</v>
      </c>
      <c r="BG225" s="687">
        <f>BG42+BG67-BG199</f>
        <v>0</v>
      </c>
      <c r="BH225" s="61">
        <f>BH42+BH67</f>
        <v>0</v>
      </c>
      <c r="BI225" s="712">
        <f>IF(BH225&gt;0,BJ225/(BH225*BJ$8),0)</f>
        <v>0</v>
      </c>
      <c r="BJ225" s="687">
        <f>BJ42+BJ67-BJ199</f>
        <v>0</v>
      </c>
      <c r="BK225" s="61">
        <f>BK42+BK67</f>
        <v>0</v>
      </c>
      <c r="BL225" s="712">
        <f>IF(BK225&gt;0,BM225/(BK225*BM$8),0)</f>
        <v>0</v>
      </c>
      <c r="BM225" s="687">
        <f>BM42+BM67-BM199</f>
        <v>0</v>
      </c>
      <c r="BN225" s="61">
        <f>BN42+BN67</f>
        <v>0</v>
      </c>
      <c r="BO225" s="712">
        <f>IF(BN225&gt;0,BP225/(BN225*BP$8),0)</f>
        <v>0</v>
      </c>
      <c r="BP225" s="687">
        <f>BP42+BP67-BP199</f>
        <v>0</v>
      </c>
      <c r="BQ225" s="61">
        <f>BQ42+BQ67</f>
        <v>0</v>
      </c>
      <c r="BR225" s="712">
        <f>IF(BQ225&gt;0,BS225/(BQ225*BS$8),0)</f>
        <v>0</v>
      </c>
      <c r="BS225" s="687">
        <f>BS42+BS67-BS199</f>
        <v>0</v>
      </c>
      <c r="BT225" s="61">
        <f>BT42+BT67</f>
        <v>0</v>
      </c>
      <c r="BU225" s="712">
        <f>IF(BT225&gt;0,BV225/(BT225*BV$8),0)</f>
        <v>0</v>
      </c>
      <c r="BV225" s="687">
        <f>BV42+BV67-BV199</f>
        <v>0</v>
      </c>
    </row>
    <row r="226" spans="1:74" s="61" customFormat="1" x14ac:dyDescent="0.2">
      <c r="A226" s="61" t="s">
        <v>140</v>
      </c>
      <c r="B226" s="61" t="s">
        <v>52</v>
      </c>
      <c r="C226" s="672">
        <f>C43+C68</f>
        <v>211100</v>
      </c>
      <c r="D226" s="712">
        <f>IF(C226&gt;0,E226/(C226*E$8),0)</f>
        <v>0.31158329701563242</v>
      </c>
      <c r="E226" s="687">
        <f>E43+E68-E200+E19</f>
        <v>2039032.2540000002</v>
      </c>
      <c r="F226" s="61">
        <f>F43+F68</f>
        <v>211100</v>
      </c>
      <c r="G226" s="712">
        <f>IF(F226&gt;0,H226/(F226*H$8),0)</f>
        <v>0.3113890478446234</v>
      </c>
      <c r="H226" s="687">
        <f>H43+H68-H200+H19</f>
        <v>1840558.3840000001</v>
      </c>
      <c r="I226" s="61">
        <f>I43+I68</f>
        <v>231100</v>
      </c>
      <c r="J226" s="712">
        <f>IF(I226&gt;0,K226/(I226*K$8),0)</f>
        <v>0.31503758546083943</v>
      </c>
      <c r="K226" s="687">
        <f>K43+K68-K200+K19</f>
        <v>2256960.7659999998</v>
      </c>
      <c r="L226" s="61">
        <f>L43+L68</f>
        <v>231100</v>
      </c>
      <c r="M226" s="712">
        <f>IF(L226&gt;0,N226/(L226*N$8),0)</f>
        <v>0.33277913457377756</v>
      </c>
      <c r="N226" s="687">
        <f>N43+N68-N200+N19</f>
        <v>2307157.7399999998</v>
      </c>
      <c r="O226" s="702">
        <f>O43+O68</f>
        <v>231100</v>
      </c>
      <c r="P226" s="712">
        <f>IF(O226&gt;0,Q226/(O226*Q$8),0)</f>
        <v>0.3318919428818693</v>
      </c>
      <c r="Q226" s="687">
        <f>Q43+Q68-Q200+Q19</f>
        <v>2377707.068</v>
      </c>
      <c r="R226" s="61">
        <f>R43+R68</f>
        <v>231100</v>
      </c>
      <c r="S226" s="712">
        <f>IF(R226&gt;0,T226/(R226*T$8),0)</f>
        <v>0.33100475118996103</v>
      </c>
      <c r="T226" s="687">
        <f>T43+T68-T200+T19</f>
        <v>2294855.94</v>
      </c>
      <c r="U226" s="61">
        <f>U43+U68</f>
        <v>231100</v>
      </c>
      <c r="V226" s="712">
        <f>IF(U226&gt;0,W226/(U226*W$8),0)</f>
        <v>0.33118218952834272</v>
      </c>
      <c r="W226" s="687">
        <f>W43+W68-W200+W19</f>
        <v>2372622.324</v>
      </c>
      <c r="X226" s="61">
        <f>X43+X68</f>
        <v>231100</v>
      </c>
      <c r="Y226" s="712">
        <f>IF(X226&gt;0,Z226/(X226*Z$8),0)</f>
        <v>0.33064987451319772</v>
      </c>
      <c r="Z226" s="687">
        <f>Z43+Z68-Z200+Z19</f>
        <v>2368808.7659999998</v>
      </c>
      <c r="AA226" s="61">
        <f>AA43+AA68</f>
        <v>231100</v>
      </c>
      <c r="AB226" s="712">
        <f>IF(AA226&gt;0,AC226/(AA226*AC$8),0)</f>
        <v>0.3318919428818693</v>
      </c>
      <c r="AC226" s="687">
        <f>AC43+AC68-AC200+AC19</f>
        <v>2301006.84</v>
      </c>
      <c r="AD226" s="61">
        <f>AD43+AD68</f>
        <v>231100</v>
      </c>
      <c r="AE226" s="712">
        <f>IF(AD226&gt;0,AF226/(AD226*AF$8),0)</f>
        <v>0.33064987451319772</v>
      </c>
      <c r="AF226" s="687">
        <f>AF43+AF68-AF200+AF19</f>
        <v>2368808.7659999998</v>
      </c>
      <c r="AG226" s="61">
        <f>AG43+AG68</f>
        <v>252600</v>
      </c>
      <c r="AH226" s="712">
        <f>IF(AG226&gt;0,AI226/(AG226*AI$8),0)</f>
        <v>0.38756045130641331</v>
      </c>
      <c r="AI226" s="687">
        <f>AI43+AI68-AI200+AI19</f>
        <v>2936933.1</v>
      </c>
      <c r="AJ226" s="61">
        <f>AJ43+AJ68</f>
        <v>252600</v>
      </c>
      <c r="AK226" s="712">
        <f>IF(AJ226&gt;0,AL226/(AJ226*AL$8),0)</f>
        <v>0.38737632620744261</v>
      </c>
      <c r="AL226" s="687">
        <f>AL43+AL68-AL200+AL19</f>
        <v>3033389.06</v>
      </c>
      <c r="AM226" s="61">
        <f>AM43+AM68</f>
        <v>0</v>
      </c>
      <c r="AN226" s="712">
        <f>IF(AM226&gt;0,AO226/(AM226*AO$8),0)</f>
        <v>0</v>
      </c>
      <c r="AO226" s="687">
        <f>AO43+AO68-AO200</f>
        <v>10378.799999999999</v>
      </c>
      <c r="AP226" s="61">
        <f>AP43+AP68</f>
        <v>0</v>
      </c>
      <c r="AQ226" s="712">
        <f>IF(AP226&gt;0,AR226/(AP226*AR$8),0)</f>
        <v>0</v>
      </c>
      <c r="AR226" s="687">
        <f>AR43+AR68-AR200</f>
        <v>0</v>
      </c>
      <c r="AS226" s="61">
        <f>AS43+AS68</f>
        <v>0</v>
      </c>
      <c r="AT226" s="712">
        <f>IF(AS226&gt;0,AU226/(AS226*AU$8),0)</f>
        <v>0</v>
      </c>
      <c r="AU226" s="687">
        <f>AU43+AU68-AU200</f>
        <v>0</v>
      </c>
      <c r="AV226" s="61">
        <f>AV43+AV68</f>
        <v>0</v>
      </c>
      <c r="AW226" s="712">
        <f>IF(AV226&gt;0,AX226/(AV226*AX$8),0)</f>
        <v>0</v>
      </c>
      <c r="AX226" s="687">
        <f>AX43+AX68-AX200</f>
        <v>0</v>
      </c>
      <c r="AY226" s="61">
        <f>AY43+AY68</f>
        <v>0</v>
      </c>
      <c r="AZ226" s="712">
        <f>IF(AY226&gt;0,BA226/(AY226*BA$8),0)</f>
        <v>0</v>
      </c>
      <c r="BA226" s="687">
        <f>BA43+BA68-BA200</f>
        <v>0</v>
      </c>
      <c r="BB226" s="61">
        <f>BB43+BB68</f>
        <v>0</v>
      </c>
      <c r="BC226" s="712">
        <f>IF(BB226&gt;0,BD226/(BB226*BD$8),0)</f>
        <v>0</v>
      </c>
      <c r="BD226" s="687">
        <f>BD43+BD68-BD200</f>
        <v>0</v>
      </c>
      <c r="BE226" s="61">
        <f>BE43+BE68</f>
        <v>0</v>
      </c>
      <c r="BF226" s="712">
        <f>IF(BE226&gt;0,BG226/(BE226*BG$8),0)</f>
        <v>0</v>
      </c>
      <c r="BG226" s="687">
        <f>BG43+BG68-BG200</f>
        <v>0</v>
      </c>
      <c r="BH226" s="61">
        <f>BH43+BH68</f>
        <v>0</v>
      </c>
      <c r="BI226" s="712">
        <f>IF(BH226&gt;0,BJ226/(BH226*BJ$8),0)</f>
        <v>0</v>
      </c>
      <c r="BJ226" s="687">
        <f>BJ43+BJ68-BJ200</f>
        <v>0</v>
      </c>
      <c r="BK226" s="61">
        <f>BK43+BK68</f>
        <v>0</v>
      </c>
      <c r="BL226" s="712">
        <f>IF(BK226&gt;0,BM226/(BK226*BM$8),0)</f>
        <v>0</v>
      </c>
      <c r="BM226" s="687">
        <f>BM43+BM68-BM200</f>
        <v>0</v>
      </c>
      <c r="BN226" s="61">
        <f>BN43+BN68</f>
        <v>0</v>
      </c>
      <c r="BO226" s="712">
        <f>IF(BN226&gt;0,BP226/(BN226*BP$8),0)</f>
        <v>0</v>
      </c>
      <c r="BP226" s="687">
        <f>BP43+BP68-BP200</f>
        <v>0</v>
      </c>
      <c r="BQ226" s="61">
        <f>BQ43+BQ68</f>
        <v>0</v>
      </c>
      <c r="BR226" s="712">
        <f>IF(BQ226&gt;0,BS226/(BQ226*BS$8),0)</f>
        <v>0</v>
      </c>
      <c r="BS226" s="687">
        <f>BS43+BS68-BS200</f>
        <v>0</v>
      </c>
      <c r="BT226" s="61">
        <f>BT43+BT68</f>
        <v>0</v>
      </c>
      <c r="BU226" s="712">
        <f>IF(BT226&gt;0,BV226/(BT226*BV$8),0)</f>
        <v>0</v>
      </c>
      <c r="BV226" s="687">
        <f>BV43+BV68-BV200</f>
        <v>0</v>
      </c>
    </row>
    <row r="227" spans="1:74" s="61" customFormat="1" x14ac:dyDescent="0.2">
      <c r="A227" s="61" t="s">
        <v>141</v>
      </c>
      <c r="B227" s="61" t="s">
        <v>52</v>
      </c>
      <c r="C227" s="672">
        <f>C44+C69</f>
        <v>265000</v>
      </c>
      <c r="D227" s="712">
        <f>IF(C227&gt;0,E227/(C227*E$8),0)</f>
        <v>0.26427559342665857</v>
      </c>
      <c r="E227" s="687">
        <f>E44+E69-E201</f>
        <v>2171024</v>
      </c>
      <c r="F227" s="61">
        <f>F44+F69</f>
        <v>265000</v>
      </c>
      <c r="G227" s="712">
        <f>IF(F227&gt;0,H227/(F227*H$8),0)</f>
        <v>0.26427547169811322</v>
      </c>
      <c r="H227" s="687">
        <f>H44+H69-H201</f>
        <v>1960924</v>
      </c>
      <c r="I227" s="61">
        <f>I44+I69</f>
        <v>245000</v>
      </c>
      <c r="J227" s="712">
        <f>IF(I227&gt;0,K227/(I227*K$8),0)</f>
        <v>0.26352258064516126</v>
      </c>
      <c r="K227" s="687">
        <f>K44+K69-K201</f>
        <v>2001454</v>
      </c>
      <c r="L227" s="61">
        <f>L44+L69</f>
        <v>245000</v>
      </c>
      <c r="M227" s="712">
        <f>IF(L227&gt;0,N227/(L227*N$8),0)</f>
        <v>0.26352244897959182</v>
      </c>
      <c r="N227" s="687">
        <f>N44+N69-N201</f>
        <v>1936890</v>
      </c>
      <c r="O227" s="702">
        <f>O44+O69</f>
        <v>245000</v>
      </c>
      <c r="P227" s="712">
        <f>IF(O227&gt;0,Q227/(O227*Q$8),0)</f>
        <v>0.26352258064516126</v>
      </c>
      <c r="Q227" s="687">
        <f>Q44+Q69-Q201</f>
        <v>2001454</v>
      </c>
      <c r="R227" s="61">
        <f>R44+R69</f>
        <v>245000</v>
      </c>
      <c r="S227" s="712">
        <f>IF(R227&gt;0,T227/(R227*T$8),0)</f>
        <v>0.26352244897959182</v>
      </c>
      <c r="T227" s="687">
        <f>T44+T69-T201</f>
        <v>1936890</v>
      </c>
      <c r="U227" s="61">
        <f>U44+U69</f>
        <v>245000</v>
      </c>
      <c r="V227" s="712">
        <f>IF(U227&gt;0,W227/(U227*W$8),0)</f>
        <v>0.26352258064516126</v>
      </c>
      <c r="W227" s="687">
        <f>W44+W69-W201</f>
        <v>2001454</v>
      </c>
      <c r="X227" s="61">
        <f>X44+X69</f>
        <v>245000</v>
      </c>
      <c r="Y227" s="712">
        <f>IF(X227&gt;0,Z227/(X227*Z$8),0)</f>
        <v>0.26352258064516126</v>
      </c>
      <c r="Z227" s="687">
        <f>Z44+Z69-Z201</f>
        <v>2001454</v>
      </c>
      <c r="AA227" s="61">
        <f>AA44+AA69</f>
        <v>245000</v>
      </c>
      <c r="AB227" s="712">
        <f>IF(AA227&gt;0,AC227/(AA227*AC$8),0)</f>
        <v>0.26352244897959182</v>
      </c>
      <c r="AC227" s="687">
        <f>AC44+AC69-AC201</f>
        <v>1936890</v>
      </c>
      <c r="AD227" s="61">
        <f>AD44+AD69</f>
        <v>245000</v>
      </c>
      <c r="AE227" s="712">
        <f>IF(AD227&gt;0,AF227/(AD227*AF$8),0)</f>
        <v>0.26352258064516126</v>
      </c>
      <c r="AF227" s="687">
        <f>AF44+AF69-AF201</f>
        <v>2001454</v>
      </c>
      <c r="AG227" s="61">
        <f>AG44+AG69</f>
        <v>245000</v>
      </c>
      <c r="AH227" s="712">
        <f>IF(AG227&gt;0,AI227/(AG227*AI$8),0)</f>
        <v>0.26911632653061224</v>
      </c>
      <c r="AI227" s="687">
        <f>AI44+AI69-AI201</f>
        <v>1978005</v>
      </c>
      <c r="AJ227" s="61">
        <f>AJ44+AJ69</f>
        <v>245000</v>
      </c>
      <c r="AK227" s="712">
        <f>IF(AJ227&gt;0,AL227/(AJ227*AL$8),0)</f>
        <v>0.26911612903225807</v>
      </c>
      <c r="AL227" s="687">
        <f>AL44+AL69-AL201</f>
        <v>2043937</v>
      </c>
      <c r="AM227" s="61">
        <f>AM44+AM69</f>
        <v>0</v>
      </c>
      <c r="AN227" s="712">
        <f>IF(AM227&gt;0,AO227/(AM227*AO$8),0)</f>
        <v>0</v>
      </c>
      <c r="AO227" s="687">
        <f>AO44+AO69-AO201</f>
        <v>146203.75</v>
      </c>
      <c r="AP227" s="61">
        <f>AP44+AP69</f>
        <v>0</v>
      </c>
      <c r="AQ227" s="712">
        <f>IF(AP227&gt;0,AR227/(AP227*AR$8),0)</f>
        <v>0</v>
      </c>
      <c r="AR227" s="687">
        <f>AR44+AR69-AR201</f>
        <v>0</v>
      </c>
      <c r="AS227" s="61">
        <f>AS44+AS69</f>
        <v>0</v>
      </c>
      <c r="AT227" s="712">
        <f>IF(AS227&gt;0,AU227/(AS227*AU$8),0)</f>
        <v>0</v>
      </c>
      <c r="AU227" s="687">
        <f>AU44+AU69-AU201</f>
        <v>0</v>
      </c>
      <c r="AV227" s="61">
        <f>AV44+AV69</f>
        <v>0</v>
      </c>
      <c r="AW227" s="712">
        <f>IF(AV227&gt;0,AX227/(AV227*AX$8),0)</f>
        <v>0</v>
      </c>
      <c r="AX227" s="687">
        <f>AX44+AX69-AX201</f>
        <v>0</v>
      </c>
      <c r="AY227" s="61">
        <f>AY44+AY69</f>
        <v>0</v>
      </c>
      <c r="AZ227" s="712">
        <f>IF(AY227&gt;0,BA227/(AY227*BA$8),0)</f>
        <v>0</v>
      </c>
      <c r="BA227" s="687">
        <f>BA44+BA69-BA201</f>
        <v>0</v>
      </c>
      <c r="BB227" s="61">
        <f>BB44+BB69</f>
        <v>0</v>
      </c>
      <c r="BC227" s="712">
        <f>IF(BB227&gt;0,BD227/(BB227*BD$8),0)</f>
        <v>0</v>
      </c>
      <c r="BD227" s="687">
        <f>BD44+BD69-BD201</f>
        <v>0</v>
      </c>
      <c r="BE227" s="61">
        <f>BE44+BE69</f>
        <v>0</v>
      </c>
      <c r="BF227" s="712">
        <f>IF(BE227&gt;0,BG227/(BE227*BG$8),0)</f>
        <v>0</v>
      </c>
      <c r="BG227" s="687">
        <f>BG44+BG69-BG201</f>
        <v>0</v>
      </c>
      <c r="BH227" s="61">
        <f>BH44+BH69</f>
        <v>0</v>
      </c>
      <c r="BI227" s="712">
        <f>IF(BH227&gt;0,BJ227/(BH227*BJ$8),0)</f>
        <v>0</v>
      </c>
      <c r="BJ227" s="687">
        <f>BJ44+BJ69-BJ201</f>
        <v>0</v>
      </c>
      <c r="BK227" s="61">
        <f>BK44+BK69</f>
        <v>0</v>
      </c>
      <c r="BL227" s="712">
        <f>IF(BK227&gt;0,BM227/(BK227*BM$8),0)</f>
        <v>0</v>
      </c>
      <c r="BM227" s="687">
        <f>BM44+BM69-BM201</f>
        <v>0</v>
      </c>
      <c r="BN227" s="61">
        <f>BN44+BN69</f>
        <v>0</v>
      </c>
      <c r="BO227" s="712">
        <f>IF(BN227&gt;0,BP227/(BN227*BP$8),0)</f>
        <v>0</v>
      </c>
      <c r="BP227" s="687">
        <f>BP44+BP69-BP201</f>
        <v>0</v>
      </c>
      <c r="BQ227" s="61">
        <f>BQ44+BQ69</f>
        <v>0</v>
      </c>
      <c r="BR227" s="712">
        <f>IF(BQ227&gt;0,BS227/(BQ227*BS$8),0)</f>
        <v>0</v>
      </c>
      <c r="BS227" s="687">
        <f>BS44+BS69-BS201</f>
        <v>0</v>
      </c>
      <c r="BT227" s="61">
        <f>BT44+BT69</f>
        <v>0</v>
      </c>
      <c r="BU227" s="712">
        <f>IF(BT227&gt;0,BV227/(BT227*BV$8),0)</f>
        <v>0</v>
      </c>
      <c r="BV227" s="687">
        <f>BV44+BV69-BV201</f>
        <v>0</v>
      </c>
    </row>
    <row r="228" spans="1:74" s="61" customFormat="1" x14ac:dyDescent="0.2">
      <c r="A228" s="61" t="s">
        <v>228</v>
      </c>
      <c r="B228" s="61" t="s">
        <v>52</v>
      </c>
      <c r="C228" s="672">
        <f>C45+C70</f>
        <v>1300</v>
      </c>
      <c r="D228" s="712">
        <f>IF(C228&gt;0,E228/(C228*E$8),0)</f>
        <v>0.22889999999999999</v>
      </c>
      <c r="E228" s="687">
        <f>E45+E70-E202</f>
        <v>9224.67</v>
      </c>
      <c r="F228" s="61">
        <f>F45+F70</f>
        <v>1300</v>
      </c>
      <c r="G228" s="712">
        <f>IF(F228&gt;0,H228/(F228*H$8),0)</f>
        <v>0.22889999999999996</v>
      </c>
      <c r="H228" s="687">
        <f>H45+H70-H202</f>
        <v>8331.9599999999991</v>
      </c>
      <c r="I228" s="61">
        <f>I45+I70</f>
        <v>1300</v>
      </c>
      <c r="J228" s="712">
        <f>IF(I228&gt;0,K228/(I228*K$8),0)</f>
        <v>0.22889999999999999</v>
      </c>
      <c r="K228" s="687">
        <f>K45+K70-K202</f>
        <v>9224.67</v>
      </c>
      <c r="L228" s="61">
        <f>L45+L70</f>
        <v>1300</v>
      </c>
      <c r="M228" s="712">
        <f>IF(L228&gt;0,N228/(L228*N$8),0)</f>
        <v>0.22890000000000002</v>
      </c>
      <c r="N228" s="687">
        <f>N45+N70-N202</f>
        <v>8927.1</v>
      </c>
      <c r="O228" s="702">
        <f>O45+O70</f>
        <v>1300</v>
      </c>
      <c r="P228" s="712">
        <f>IF(O228&gt;0,Q228/(O228*Q$8),0)</f>
        <v>0.22889999999999999</v>
      </c>
      <c r="Q228" s="687">
        <f>Q45+Q70-Q202</f>
        <v>9224.67</v>
      </c>
      <c r="R228" s="61">
        <f>R45+R70</f>
        <v>1300</v>
      </c>
      <c r="S228" s="712">
        <f>IF(R228&gt;0,T228/(R228*T$8),0)</f>
        <v>1.3900000000000001E-2</v>
      </c>
      <c r="T228" s="687">
        <f>T45+T70-T202</f>
        <v>542.1</v>
      </c>
      <c r="U228" s="61">
        <f>U45+U70</f>
        <v>1300</v>
      </c>
      <c r="V228" s="712">
        <f>IF(U228&gt;0,W228/(U228*W$8),0)</f>
        <v>1.4074E-2</v>
      </c>
      <c r="W228" s="687">
        <f>W45+W70-W202</f>
        <v>567.18219999999997</v>
      </c>
      <c r="X228" s="61">
        <f>X45+X70</f>
        <v>1300</v>
      </c>
      <c r="Y228" s="712">
        <f>IF(X228&gt;0,Z228/(X228*Z$8),0)</f>
        <v>1.2160000000000001E-2</v>
      </c>
      <c r="Z228" s="687">
        <f>Z45+Z70-Z202</f>
        <v>490.048</v>
      </c>
      <c r="AA228" s="61">
        <f>AA45+AA70</f>
        <v>1300</v>
      </c>
      <c r="AB228" s="712">
        <f>IF(AA228&gt;0,AC228/(AA228*AC$8),0)</f>
        <v>1.2508000000000003E-2</v>
      </c>
      <c r="AC228" s="687">
        <f>AC45+AC70-AC202</f>
        <v>487.81200000000013</v>
      </c>
      <c r="AD228" s="61">
        <f>AD45+AD70</f>
        <v>1300</v>
      </c>
      <c r="AE228" s="712">
        <f>IF(AD228&gt;0,AF228/(AD228*AF$8),0)</f>
        <v>1.3900000000000003E-2</v>
      </c>
      <c r="AF228" s="687">
        <f>AF45+AF70-AF202</f>
        <v>560.17000000000007</v>
      </c>
      <c r="AG228" s="61">
        <f>AG45+AG70</f>
        <v>1300</v>
      </c>
      <c r="AH228" s="712">
        <f>IF(AG228&gt;0,AI228/(AG228*AI$8),0)</f>
        <v>2.0511999999999999E-2</v>
      </c>
      <c r="AI228" s="687">
        <f>AI45+AI70-AI202</f>
        <v>799.96799999999996</v>
      </c>
      <c r="AJ228" s="61">
        <f>AJ45+AJ70</f>
        <v>1300</v>
      </c>
      <c r="AK228" s="712">
        <f>IF(AJ228&gt;0,AL228/(AJ228*AL$8),0)</f>
        <v>1.8249999999999999E-2</v>
      </c>
      <c r="AL228" s="687">
        <f>AL45+AL70-AL202</f>
        <v>735.47500000000002</v>
      </c>
      <c r="AM228" s="61">
        <f>AM45+AM70</f>
        <v>0</v>
      </c>
      <c r="AN228" s="712">
        <f>IF(AM228&gt;0,AO228/(AM228*AO$8),0)</f>
        <v>0</v>
      </c>
      <c r="AO228" s="687">
        <f>AO45+AO70-AO202</f>
        <v>775.7750000000002</v>
      </c>
      <c r="AP228" s="61">
        <f>AP45+AP70</f>
        <v>0</v>
      </c>
      <c r="AQ228" s="712">
        <f>IF(AP228&gt;0,AR228/(AP228*AR$8),0)</f>
        <v>0</v>
      </c>
      <c r="AR228" s="687">
        <f>AR45+AR70-AR202</f>
        <v>0</v>
      </c>
      <c r="AS228" s="61">
        <f>AS45+AS70</f>
        <v>0</v>
      </c>
      <c r="AT228" s="712">
        <f>IF(AS228&gt;0,AU228/(AS228*AU$8),0)</f>
        <v>0</v>
      </c>
      <c r="AU228" s="687">
        <f>AU45+AU70-AU202</f>
        <v>0</v>
      </c>
      <c r="AV228" s="61">
        <f>AV45+AV70</f>
        <v>0</v>
      </c>
      <c r="AW228" s="712">
        <f>IF(AV228&gt;0,AX228/(AV228*AX$8),0)</f>
        <v>0</v>
      </c>
      <c r="AX228" s="687">
        <f>AX45+AX70-AX202</f>
        <v>0</v>
      </c>
      <c r="AY228" s="61">
        <f>AY45+AY70</f>
        <v>0</v>
      </c>
      <c r="AZ228" s="712">
        <f>IF(AY228&gt;0,BA228/(AY228*BA$8),0)</f>
        <v>0</v>
      </c>
      <c r="BA228" s="687">
        <f>BA45+BA70-BA202</f>
        <v>0</v>
      </c>
      <c r="BB228" s="61">
        <f>BB45+BB70</f>
        <v>0</v>
      </c>
      <c r="BC228" s="712">
        <f>IF(BB228&gt;0,BD228/(BB228*BD$8),0)</f>
        <v>0</v>
      </c>
      <c r="BD228" s="687">
        <f>BD45+BD70-BD202</f>
        <v>0</v>
      </c>
      <c r="BE228" s="61">
        <f>BE45+BE70</f>
        <v>0</v>
      </c>
      <c r="BF228" s="712">
        <f>IF(BE228&gt;0,BG228/(BE228*BG$8),0)</f>
        <v>0</v>
      </c>
      <c r="BG228" s="687">
        <f>BG45+BG70-BG202</f>
        <v>0</v>
      </c>
      <c r="BH228" s="61">
        <f>BH45+BH70</f>
        <v>0</v>
      </c>
      <c r="BI228" s="712">
        <f>IF(BH228&gt;0,BJ228/(BH228*BJ$8),0)</f>
        <v>0</v>
      </c>
      <c r="BJ228" s="687">
        <f>BJ45+BJ70-BJ202</f>
        <v>0</v>
      </c>
      <c r="BK228" s="61">
        <f>BK45+BK70</f>
        <v>0</v>
      </c>
      <c r="BL228" s="712">
        <f>IF(BK228&gt;0,BM228/(BK228*BM$8),0)</f>
        <v>0</v>
      </c>
      <c r="BM228" s="687">
        <f>BM45+BM70-BM202</f>
        <v>0</v>
      </c>
      <c r="BN228" s="61">
        <f>BN45+BN70</f>
        <v>0</v>
      </c>
      <c r="BO228" s="712">
        <f>IF(BN228&gt;0,BP228/(BN228*BP$8),0)</f>
        <v>0</v>
      </c>
      <c r="BP228" s="687">
        <f>BP45+BP70-BP202</f>
        <v>0</v>
      </c>
      <c r="BQ228" s="61">
        <f>BQ45+BQ70</f>
        <v>0</v>
      </c>
      <c r="BR228" s="712">
        <f>IF(BQ228&gt;0,BS228/(BQ228*BS$8),0)</f>
        <v>0</v>
      </c>
      <c r="BS228" s="687">
        <f>BS45+BS70-BS202</f>
        <v>0</v>
      </c>
      <c r="BT228" s="61">
        <f>BT45+BT70</f>
        <v>0</v>
      </c>
      <c r="BU228" s="712">
        <f>IF(BT228&gt;0,BV228/(BT228*BV$8),0)</f>
        <v>0</v>
      </c>
      <c r="BV228" s="687">
        <f>BV45+BV70-BV202</f>
        <v>0</v>
      </c>
    </row>
    <row r="229" spans="1:74" s="61" customFormat="1" x14ac:dyDescent="0.2">
      <c r="A229" s="373" t="s">
        <v>143</v>
      </c>
      <c r="C229" s="673">
        <f>SUM(C224:C228)</f>
        <v>1087900</v>
      </c>
      <c r="E229" s="686">
        <f>SUM(E224:E228)</f>
        <v>8874229.6865000017</v>
      </c>
      <c r="F229" s="373">
        <f>SUM(F224:F228)</f>
        <v>1087900</v>
      </c>
      <c r="H229" s="686">
        <f>SUM(H224:H228)</f>
        <v>7885685.9340000004</v>
      </c>
      <c r="I229" s="373">
        <f>SUM(I224:I228)</f>
        <v>1087900</v>
      </c>
      <c r="K229" s="686">
        <f>SUM(K224:K228)</f>
        <v>8784071.2860000003</v>
      </c>
      <c r="L229" s="373">
        <f>SUM(L224:L228)</f>
        <v>1087900</v>
      </c>
      <c r="N229" s="686">
        <f>SUM(N224:N228)</f>
        <v>8614327.5899999999</v>
      </c>
      <c r="O229" s="703">
        <f>SUM(O224:O228)</f>
        <v>1087900</v>
      </c>
      <c r="Q229" s="686">
        <f>SUM(Q224:Q228)</f>
        <v>8893396.0129999984</v>
      </c>
      <c r="R229" s="373">
        <f>SUM(R224:R228)</f>
        <v>1167900</v>
      </c>
      <c r="T229" s="686">
        <f>SUM(T224:T228)</f>
        <v>9646134.1649999991</v>
      </c>
      <c r="U229" s="373">
        <f>SUM(U224:U228)</f>
        <v>1207900</v>
      </c>
      <c r="W229" s="686">
        <f>SUM(W224:W228)</f>
        <v>10413084.781199999</v>
      </c>
      <c r="X229" s="373">
        <f>SUM(X224:X228)</f>
        <v>1207900</v>
      </c>
      <c r="Z229" s="686">
        <f>SUM(Z224:Z228)</f>
        <v>10417239.751499999</v>
      </c>
      <c r="AA229" s="373">
        <f>SUM(AA224:AA228)</f>
        <v>1207900</v>
      </c>
      <c r="AC229" s="686">
        <f>SUM(AC224:AC228)</f>
        <v>10083369.402000001</v>
      </c>
      <c r="AD229" s="373">
        <f>SUM(AD224:AD228)</f>
        <v>1207900</v>
      </c>
      <c r="AF229" s="686">
        <f>SUM(AF224:AF228)</f>
        <v>10405205.9235</v>
      </c>
      <c r="AG229" s="373">
        <f>SUM(AG224:AG228)</f>
        <v>1207900</v>
      </c>
      <c r="AI229" s="686">
        <f>SUM(AI224:AI228)</f>
        <v>10695244.068</v>
      </c>
      <c r="AJ229" s="373">
        <f>SUM(AJ224:AJ228)</f>
        <v>1207900</v>
      </c>
      <c r="AL229" s="686">
        <f>SUM(AL224:AL228)</f>
        <v>11067631.885</v>
      </c>
      <c r="AM229" s="373">
        <f>SUM(AM224:AM228)</f>
        <v>0</v>
      </c>
      <c r="AO229" s="686">
        <f>SUM(AO224:AO228)</f>
        <v>324977.80500000005</v>
      </c>
      <c r="AP229" s="373">
        <f>SUM(AP224:AP228)</f>
        <v>0</v>
      </c>
      <c r="AR229" s="686">
        <f>SUM(AR224:AR228)</f>
        <v>0</v>
      </c>
      <c r="AS229" s="373">
        <f>SUM(AS224:AS228)</f>
        <v>0</v>
      </c>
      <c r="AU229" s="686">
        <f>SUM(AU224:AU228)</f>
        <v>0</v>
      </c>
      <c r="AV229" s="373">
        <f>SUM(AV224:AV228)</f>
        <v>0</v>
      </c>
      <c r="AX229" s="686">
        <f>SUM(AX224:AX228)</f>
        <v>0</v>
      </c>
      <c r="AY229" s="373">
        <f>SUM(AY224:AY228)</f>
        <v>0</v>
      </c>
      <c r="BA229" s="686">
        <f>SUM(BA224:BA228)</f>
        <v>0</v>
      </c>
      <c r="BB229" s="373">
        <f>SUM(BB224:BB228)</f>
        <v>0</v>
      </c>
      <c r="BD229" s="686">
        <f>SUM(BD224:BD228)</f>
        <v>0</v>
      </c>
      <c r="BE229" s="373">
        <f>SUM(BE224:BE228)</f>
        <v>0</v>
      </c>
      <c r="BG229" s="686">
        <f>SUM(BG224:BG228)</f>
        <v>0</v>
      </c>
      <c r="BH229" s="373">
        <f>SUM(BH224:BH228)</f>
        <v>0</v>
      </c>
      <c r="BJ229" s="686">
        <f>SUM(BJ224:BJ228)</f>
        <v>0</v>
      </c>
      <c r="BK229" s="373">
        <f>SUM(BK224:BK228)</f>
        <v>0</v>
      </c>
      <c r="BM229" s="686">
        <f>SUM(BM224:BM228)</f>
        <v>0</v>
      </c>
      <c r="BN229" s="373">
        <f>SUM(BN224:BN228)</f>
        <v>0</v>
      </c>
      <c r="BP229" s="686">
        <f>SUM(BP224:BP228)</f>
        <v>0</v>
      </c>
      <c r="BQ229" s="373">
        <f>SUM(BQ224:BQ228)</f>
        <v>0</v>
      </c>
      <c r="BS229" s="686">
        <f>SUM(BS224:BS228)</f>
        <v>0</v>
      </c>
      <c r="BT229" s="373">
        <f>SUM(BT224:BT228)</f>
        <v>0</v>
      </c>
      <c r="BV229" s="686">
        <f>SUM(BV224:BV228)</f>
        <v>0</v>
      </c>
    </row>
  </sheetData>
  <mergeCells count="24"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  <mergeCell ref="C2:E2"/>
    <mergeCell ref="F2:H2"/>
    <mergeCell ref="I2:K2"/>
    <mergeCell ref="L2:N2"/>
    <mergeCell ref="O2:Q2"/>
    <mergeCell ref="R2:T2"/>
    <mergeCell ref="BK2:BM2"/>
    <mergeCell ref="BN2:BP2"/>
    <mergeCell ref="BQ2:BS2"/>
    <mergeCell ref="BT2:BV2"/>
    <mergeCell ref="AY2:BA2"/>
    <mergeCell ref="BB2:BD2"/>
    <mergeCell ref="BE2:BG2"/>
    <mergeCell ref="BH2:BJ2"/>
  </mergeCells>
  <phoneticPr fontId="10" type="noConversion"/>
  <pageMargins left="0" right="0" top="0.5" bottom="0.25" header="0.25" footer="0.25"/>
  <pageSetup paperSize="5" scale="57" fitToWidth="2" fitToHeight="3" orientation="landscape" r:id="rId1"/>
  <headerFooter alignWithMargins="0"/>
  <rowBreaks count="2" manualBreakCount="2">
    <brk id="25" max="21" man="1"/>
    <brk id="60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7"/>
  <sheetViews>
    <sheetView topLeftCell="AH9" zoomScale="75" workbookViewId="0">
      <selection activeCell="AS24" sqref="AS24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8" width="10.85546875" style="748" customWidth="1"/>
    <col min="9" max="9" width="11.7109375" style="748" customWidth="1"/>
    <col min="10" max="10" width="9.85546875" style="748" customWidth="1"/>
    <col min="11" max="11" width="6.85546875" style="748" customWidth="1"/>
    <col min="12" max="12" width="11.7109375" customWidth="1"/>
    <col min="13" max="13" width="11" customWidth="1"/>
    <col min="14" max="14" width="5.85546875" customWidth="1"/>
    <col min="15" max="15" width="11.7109375" customWidth="1"/>
    <col min="16" max="16" width="12.140625" customWidth="1"/>
    <col min="17" max="17" width="6.5703125" customWidth="1"/>
    <col min="18" max="18" width="11.7109375" bestFit="1" customWidth="1"/>
    <col min="19" max="19" width="10.85546875" customWidth="1"/>
    <col min="20" max="20" width="6.85546875" customWidth="1"/>
    <col min="21" max="21" width="11.7109375" bestFit="1" customWidth="1"/>
    <col min="22" max="22" width="8.5703125" customWidth="1"/>
    <col min="23" max="23" width="6.42578125" customWidth="1"/>
    <col min="24" max="24" width="11.7109375" bestFit="1" customWidth="1"/>
    <col min="25" max="25" width="9" customWidth="1"/>
    <col min="26" max="26" width="6.7109375" customWidth="1"/>
    <col min="27" max="27" width="14.42578125" customWidth="1"/>
    <col min="28" max="28" width="10.42578125" customWidth="1"/>
    <col min="29" max="29" width="7.42578125" customWidth="1"/>
    <col min="30" max="30" width="14.5703125" customWidth="1"/>
    <col min="31" max="31" width="11" customWidth="1"/>
    <col min="32" max="32" width="6.7109375" customWidth="1"/>
    <col min="33" max="33" width="14" customWidth="1"/>
    <col min="34" max="34" width="11.5703125" customWidth="1"/>
    <col min="35" max="35" width="7.28515625" customWidth="1"/>
    <col min="36" max="36" width="13.85546875" customWidth="1"/>
    <col min="37" max="37" width="11.5703125" customWidth="1"/>
    <col min="38" max="38" width="8.28515625" customWidth="1"/>
    <col min="39" max="39" width="13.28515625" customWidth="1"/>
    <col min="40" max="40" width="10" customWidth="1"/>
    <col min="41" max="41" width="5.7109375" customWidth="1"/>
    <col min="42" max="42" width="13" customWidth="1"/>
    <col min="43" max="43" width="10.140625" customWidth="1"/>
    <col min="44" max="44" width="7.42578125" customWidth="1"/>
    <col min="45" max="45" width="13.42578125" customWidth="1"/>
    <col min="46" max="46" width="13.42578125" bestFit="1" customWidth="1"/>
  </cols>
  <sheetData>
    <row r="1" spans="1:46" x14ac:dyDescent="0.2">
      <c r="A1" s="741" t="s">
        <v>0</v>
      </c>
    </row>
    <row r="2" spans="1:46" x14ac:dyDescent="0.2">
      <c r="A2" s="741" t="s">
        <v>595</v>
      </c>
      <c r="E2" s="1107">
        <f ca="1">NOW()</f>
        <v>41885.92788761574</v>
      </c>
      <c r="F2" s="1107"/>
    </row>
    <row r="3" spans="1:46" x14ac:dyDescent="0.2">
      <c r="A3" s="741" t="s">
        <v>634</v>
      </c>
    </row>
    <row r="4" spans="1:46" ht="13.5" thickBot="1" x14ac:dyDescent="0.25"/>
    <row r="5" spans="1:46" ht="13.5" thickBot="1" x14ac:dyDescent="0.25">
      <c r="A5" s="741" t="s">
        <v>596</v>
      </c>
      <c r="C5" s="744" t="s">
        <v>597</v>
      </c>
      <c r="E5" s="37" t="s">
        <v>598</v>
      </c>
    </row>
    <row r="7" spans="1:46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46" x14ac:dyDescent="0.2">
      <c r="J8" s="1106" t="s">
        <v>57</v>
      </c>
      <c r="K8" s="1106"/>
      <c r="L8" s="1106"/>
      <c r="M8" s="1106" t="s">
        <v>58</v>
      </c>
      <c r="N8" s="1106"/>
      <c r="O8" s="1106"/>
      <c r="P8" s="1106" t="s">
        <v>59</v>
      </c>
      <c r="Q8" s="1106"/>
      <c r="R8" s="1106"/>
      <c r="S8" s="1106" t="s">
        <v>60</v>
      </c>
      <c r="T8" s="1106"/>
      <c r="U8" s="1106"/>
      <c r="V8" s="1106" t="s">
        <v>1</v>
      </c>
      <c r="W8" s="1106"/>
      <c r="X8" s="1106"/>
      <c r="Y8" s="1106" t="s">
        <v>61</v>
      </c>
      <c r="Z8" s="1106"/>
      <c r="AA8" s="1106"/>
      <c r="AB8" s="1106" t="s">
        <v>62</v>
      </c>
      <c r="AC8" s="1106"/>
      <c r="AD8" s="1106"/>
      <c r="AE8" s="1106" t="s">
        <v>63</v>
      </c>
      <c r="AF8" s="1106"/>
      <c r="AG8" s="1106"/>
      <c r="AH8" s="1106" t="s">
        <v>64</v>
      </c>
      <c r="AI8" s="1106"/>
      <c r="AJ8" s="1106"/>
      <c r="AK8" s="1106" t="s">
        <v>65</v>
      </c>
      <c r="AL8" s="1106"/>
      <c r="AM8" s="1106"/>
      <c r="AN8" s="1106" t="s">
        <v>66</v>
      </c>
      <c r="AO8" s="1106"/>
      <c r="AP8" s="1106"/>
      <c r="AQ8" s="1106" t="s">
        <v>67</v>
      </c>
      <c r="AR8" s="1106"/>
      <c r="AS8" s="1106"/>
    </row>
    <row r="9" spans="1:46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0" t="s">
        <v>68</v>
      </c>
      <c r="I9" s="751" t="s">
        <v>464</v>
      </c>
      <c r="J9" s="767"/>
      <c r="K9" s="471"/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</row>
    <row r="10" spans="1:46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640</v>
      </c>
      <c r="I10" s="752" t="s">
        <v>473</v>
      </c>
      <c r="J10" s="769"/>
      <c r="K10" s="752"/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</row>
    <row r="11" spans="1:46" s="29" customFormat="1" x14ac:dyDescent="0.2">
      <c r="A11" s="784" t="s">
        <v>633</v>
      </c>
      <c r="B11" s="785"/>
      <c r="C11" s="786"/>
      <c r="D11" s="786"/>
      <c r="E11" s="787"/>
      <c r="F11" s="788"/>
      <c r="G11" s="764"/>
      <c r="H11" s="764"/>
      <c r="I11" s="764"/>
      <c r="J11" s="772"/>
      <c r="K11" s="764"/>
      <c r="L11" s="533"/>
      <c r="M11" s="772"/>
      <c r="N11" s="764"/>
      <c r="O11" s="533"/>
      <c r="P11" s="772"/>
      <c r="Q11" s="764"/>
      <c r="R11" s="533"/>
      <c r="S11" s="772"/>
      <c r="T11" s="764"/>
      <c r="U11" s="533"/>
      <c r="V11" s="772"/>
      <c r="W11" s="764"/>
      <c r="X11" s="533"/>
      <c r="Y11" s="772"/>
      <c r="Z11" s="764"/>
      <c r="AA11" s="533"/>
      <c r="AB11" s="772"/>
      <c r="AC11" s="764"/>
      <c r="AD11" s="533"/>
      <c r="AE11" s="772"/>
      <c r="AF11" s="764"/>
      <c r="AG11" s="533"/>
      <c r="AH11" s="772"/>
      <c r="AI11" s="764"/>
      <c r="AJ11" s="533"/>
      <c r="AK11" s="772"/>
      <c r="AL11" s="764"/>
      <c r="AM11" s="533"/>
      <c r="AN11" s="772"/>
      <c r="AO11" s="764"/>
      <c r="AP11" s="533"/>
      <c r="AQ11" s="772"/>
      <c r="AR11" s="764"/>
      <c r="AS11" s="533"/>
    </row>
    <row r="12" spans="1:46" x14ac:dyDescent="0.2">
      <c r="A12" s="743" t="s">
        <v>573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46" x14ac:dyDescent="0.2">
      <c r="A13" s="629">
        <v>27456</v>
      </c>
      <c r="B13" t="s">
        <v>636</v>
      </c>
      <c r="C13" s="745">
        <v>37561</v>
      </c>
      <c r="D13" s="745">
        <v>37621</v>
      </c>
      <c r="E13" s="37">
        <v>21500</v>
      </c>
      <c r="H13" s="789"/>
      <c r="I13" s="748">
        <v>1.03</v>
      </c>
      <c r="J13" s="455">
        <v>0</v>
      </c>
      <c r="K13" s="748">
        <f>IF(J13&gt;0,L13/J13/L$7,0)</f>
        <v>0</v>
      </c>
      <c r="L13" s="32">
        <v>0</v>
      </c>
      <c r="M13" s="455">
        <v>0</v>
      </c>
      <c r="N13" s="748">
        <f>IF(M13&gt;0,O13/M13/O$7,0)</f>
        <v>0</v>
      </c>
      <c r="O13" s="32">
        <v>0</v>
      </c>
      <c r="P13" s="455">
        <v>0</v>
      </c>
      <c r="Q13" s="748">
        <f>IF(P13&gt;0,R13/P13/R$7,0)</f>
        <v>0</v>
      </c>
      <c r="R13" s="32">
        <v>0</v>
      </c>
      <c r="S13" s="455">
        <v>0</v>
      </c>
      <c r="T13" s="748">
        <f>IF(S13&gt;0,U13/S13/U$7,0)</f>
        <v>0</v>
      </c>
      <c r="U13" s="32">
        <v>0</v>
      </c>
      <c r="V13" s="455">
        <v>0</v>
      </c>
      <c r="W13" s="748">
        <f>IF(V13&gt;0,X13/V13/X$7,0)</f>
        <v>0</v>
      </c>
      <c r="X13" s="32">
        <v>0</v>
      </c>
      <c r="Y13" s="455">
        <v>0</v>
      </c>
      <c r="Z13" s="748">
        <f>IF(Y13&gt;0,AA13/Y13/AA$7,0)</f>
        <v>0</v>
      </c>
      <c r="AA13" s="32">
        <v>0</v>
      </c>
      <c r="AB13" s="455">
        <v>0</v>
      </c>
      <c r="AC13" s="748">
        <f>IF(AB13&gt;0,AD13/AB13/AD$7,0)</f>
        <v>0</v>
      </c>
      <c r="AD13" s="32">
        <v>0</v>
      </c>
      <c r="AE13" s="455">
        <v>0</v>
      </c>
      <c r="AF13" s="748">
        <f>IF(AE13&gt;0,AG13/AE13/AG$7,0)</f>
        <v>0</v>
      </c>
      <c r="AG13" s="32">
        <v>0</v>
      </c>
      <c r="AH13" s="455">
        <v>0</v>
      </c>
      <c r="AI13" s="748">
        <v>0</v>
      </c>
      <c r="AJ13" s="32">
        <v>0</v>
      </c>
      <c r="AK13" s="455">
        <v>0</v>
      </c>
      <c r="AL13" s="748">
        <f>IF(AK13&gt;0,AM13/AK13/AM$7,0)</f>
        <v>0</v>
      </c>
      <c r="AM13" s="32">
        <v>0</v>
      </c>
      <c r="AN13" s="455">
        <v>0</v>
      </c>
      <c r="AO13" s="748">
        <f>IF(AN13&gt;0,AP13/AN13/AP$7,0)</f>
        <v>0</v>
      </c>
      <c r="AP13" s="32">
        <f>E13*I13*AP7</f>
        <v>664350</v>
      </c>
      <c r="AQ13" s="455">
        <v>0</v>
      </c>
      <c r="AR13" s="748">
        <f>IF(AQ13&gt;0,AS13/AQ13/AS$7,0)</f>
        <v>0</v>
      </c>
      <c r="AS13" s="32">
        <f>E13*I13*AS7</f>
        <v>686495</v>
      </c>
      <c r="AT13" s="32"/>
    </row>
    <row r="14" spans="1:46" x14ac:dyDescent="0.2">
      <c r="B14" t="s">
        <v>637</v>
      </c>
      <c r="C14" s="745"/>
      <c r="D14" s="745"/>
      <c r="E14" s="37">
        <v>21500</v>
      </c>
      <c r="F14" s="748">
        <v>0.3679</v>
      </c>
      <c r="H14" s="789"/>
      <c r="J14" s="455">
        <v>0</v>
      </c>
      <c r="K14" s="748">
        <f>IF(J14&gt;0,L14/J14/L$7,0)</f>
        <v>0</v>
      </c>
      <c r="L14" s="32">
        <v>0</v>
      </c>
      <c r="M14" s="455">
        <v>0</v>
      </c>
      <c r="N14" s="748">
        <f>IF(M14&gt;0,O14/M14/O$7,0)</f>
        <v>0</v>
      </c>
      <c r="O14" s="32">
        <v>0</v>
      </c>
      <c r="P14" s="455">
        <v>0</v>
      </c>
      <c r="Q14" s="748">
        <f>IF(P14&gt;0,R14/P14/R$7,0)</f>
        <v>0</v>
      </c>
      <c r="R14" s="32">
        <v>0</v>
      </c>
      <c r="S14" s="455">
        <v>0</v>
      </c>
      <c r="T14" s="748">
        <f>IF(S14&gt;0,U14/S14/U$7,0)</f>
        <v>0</v>
      </c>
      <c r="U14" s="32">
        <v>0</v>
      </c>
      <c r="V14" s="455">
        <v>0</v>
      </c>
      <c r="W14" s="748">
        <f>IF(V14&gt;0,X14/V14/X$7,0)</f>
        <v>0</v>
      </c>
      <c r="X14" s="32">
        <v>0</v>
      </c>
      <c r="Y14" s="455">
        <v>0</v>
      </c>
      <c r="Z14" s="748">
        <f>IF(Y14&gt;0,AA14/Y14/AA$7,0)</f>
        <v>0</v>
      </c>
      <c r="AA14" s="32">
        <v>0</v>
      </c>
      <c r="AB14" s="455">
        <v>0</v>
      </c>
      <c r="AC14" s="748">
        <f>IF(AB14&gt;0,AD14/AB14/AD$7,0)</f>
        <v>0</v>
      </c>
      <c r="AD14" s="32">
        <v>0</v>
      </c>
      <c r="AE14" s="455">
        <v>0</v>
      </c>
      <c r="AF14" s="748">
        <f>IF(AE14&gt;0,AG14/AE14/AG$7,0)</f>
        <v>0</v>
      </c>
      <c r="AG14" s="32">
        <v>0</v>
      </c>
      <c r="AH14" s="455">
        <v>0</v>
      </c>
      <c r="AI14" s="748">
        <v>0</v>
      </c>
      <c r="AJ14" s="32">
        <v>0</v>
      </c>
      <c r="AK14" s="455">
        <v>0</v>
      </c>
      <c r="AL14" s="748">
        <f>IF(AK14&gt;0,AM14/AK14/AM$7,0)</f>
        <v>0</v>
      </c>
      <c r="AM14" s="32">
        <v>0</v>
      </c>
      <c r="AN14" s="455">
        <v>0</v>
      </c>
      <c r="AO14" s="748">
        <f>IF(AN14&gt;0,AP14/AN14/AP$7,0)</f>
        <v>0</v>
      </c>
      <c r="AP14" s="32">
        <f>-E14*F14*AP7</f>
        <v>-237295.5</v>
      </c>
      <c r="AQ14" s="455">
        <v>0</v>
      </c>
      <c r="AR14" s="748">
        <f>IF(AQ14&gt;0,AS14/AQ14/AS$7,0)</f>
        <v>0</v>
      </c>
      <c r="AS14" s="32">
        <f>-E14*F14*AS7</f>
        <v>-245205.35</v>
      </c>
      <c r="AT14" s="32"/>
    </row>
    <row r="15" spans="1:46" x14ac:dyDescent="0.2">
      <c r="B15" t="s">
        <v>638</v>
      </c>
      <c r="C15" s="745"/>
      <c r="D15" s="745"/>
      <c r="E15" s="37">
        <v>21500</v>
      </c>
      <c r="G15" s="748">
        <f>0.0186+0.007</f>
        <v>2.5599999999999998E-2</v>
      </c>
      <c r="H15" s="789"/>
      <c r="J15" s="455">
        <v>0</v>
      </c>
      <c r="K15" s="748">
        <f>IF(J15&gt;0,L15/J15/L$7,0)</f>
        <v>0</v>
      </c>
      <c r="L15" s="32">
        <v>0</v>
      </c>
      <c r="M15" s="455">
        <v>0</v>
      </c>
      <c r="N15" s="748">
        <f>IF(M15&gt;0,O15/M15/O$7,0)</f>
        <v>0</v>
      </c>
      <c r="O15" s="32">
        <v>0</v>
      </c>
      <c r="P15" s="455">
        <v>0</v>
      </c>
      <c r="Q15" s="748">
        <f>IF(P15&gt;0,R15/P15/R$7,0)</f>
        <v>0</v>
      </c>
      <c r="R15" s="32">
        <v>0</v>
      </c>
      <c r="S15" s="455">
        <v>0</v>
      </c>
      <c r="T15" s="748">
        <f>IF(S15&gt;0,U15/S15/U$7,0)</f>
        <v>0</v>
      </c>
      <c r="U15" s="32">
        <v>0</v>
      </c>
      <c r="V15" s="455">
        <v>0</v>
      </c>
      <c r="W15" s="748">
        <f>IF(V15&gt;0,X15/V15/X$7,0)</f>
        <v>0</v>
      </c>
      <c r="X15" s="32">
        <v>0</v>
      </c>
      <c r="Y15" s="455">
        <v>0</v>
      </c>
      <c r="Z15" s="748">
        <f>IF(Y15&gt;0,AA15/Y15/AA$7,0)</f>
        <v>0</v>
      </c>
      <c r="AA15" s="32">
        <v>0</v>
      </c>
      <c r="AB15" s="455">
        <v>0</v>
      </c>
      <c r="AC15" s="748">
        <f>IF(AB15&gt;0,AD15/AB15/AD$7,0)</f>
        <v>0</v>
      </c>
      <c r="AD15" s="32">
        <v>0</v>
      </c>
      <c r="AE15" s="455">
        <v>0</v>
      </c>
      <c r="AF15" s="748">
        <f>IF(AE15&gt;0,AG15/AE15/AG$7,0)</f>
        <v>0</v>
      </c>
      <c r="AG15" s="32">
        <v>0</v>
      </c>
      <c r="AH15" s="455">
        <v>0</v>
      </c>
      <c r="AI15" s="748">
        <v>0</v>
      </c>
      <c r="AJ15" s="32">
        <v>0</v>
      </c>
      <c r="AK15" s="455">
        <v>0</v>
      </c>
      <c r="AL15" s="748">
        <f>IF(AK15&gt;0,AM15/AK15/AM$7,0)</f>
        <v>0</v>
      </c>
      <c r="AM15" s="32">
        <v>0</v>
      </c>
      <c r="AN15" s="455">
        <f>-$E15*'Out Years Data Input'!AG$82</f>
        <v>-21070</v>
      </c>
      <c r="AO15" s="748">
        <f>IF(AN15&gt;0,AP15/AN15/AP$7,0)</f>
        <v>0</v>
      </c>
      <c r="AP15" s="32">
        <f>-E15*G15*'Out Years Data Input'!AG82*AP7</f>
        <v>-16181.759999999998</v>
      </c>
      <c r="AQ15" s="455">
        <f>-$E15*'Out Years Data Input'!AJ$82</f>
        <v>-21285</v>
      </c>
      <c r="AR15" s="748">
        <f>IF(AQ15&gt;0,AS15/AQ15/AS$7,0)</f>
        <v>0</v>
      </c>
      <c r="AS15" s="32">
        <f>-E15*G15*'Out Years Data Input'!AJ82*'Negociate Rate K'!AS7</f>
        <v>-16891.775999999998</v>
      </c>
      <c r="AT15" s="32"/>
    </row>
    <row r="16" spans="1:46" x14ac:dyDescent="0.2">
      <c r="A16" s="629" t="s">
        <v>696</v>
      </c>
      <c r="B16" t="s">
        <v>637</v>
      </c>
      <c r="C16" s="745"/>
      <c r="D16" s="745"/>
      <c r="E16" s="37">
        <v>21500</v>
      </c>
      <c r="F16" s="748">
        <v>-2E-3</v>
      </c>
      <c r="H16" s="789"/>
      <c r="J16" s="455">
        <v>0</v>
      </c>
      <c r="K16" s="748">
        <f>IF(J16&gt;0,L16/J16/L$7,0)</f>
        <v>0</v>
      </c>
      <c r="L16" s="32">
        <v>0</v>
      </c>
      <c r="M16" s="455">
        <v>0</v>
      </c>
      <c r="N16" s="748">
        <f>IF(M16&gt;0,O16/M16/O$7,0)</f>
        <v>0</v>
      </c>
      <c r="O16" s="32">
        <v>0</v>
      </c>
      <c r="P16" s="455">
        <v>0</v>
      </c>
      <c r="Q16" s="748">
        <f>IF(P16&gt;0,R16/P16/R$7,0)</f>
        <v>0</v>
      </c>
      <c r="R16" s="32">
        <v>0</v>
      </c>
      <c r="S16" s="455">
        <v>0</v>
      </c>
      <c r="T16" s="748">
        <f>IF(S16&gt;0,U16/S16/U$7,0)</f>
        <v>0</v>
      </c>
      <c r="U16" s="32">
        <v>0</v>
      </c>
      <c r="V16" s="455">
        <v>0</v>
      </c>
      <c r="W16" s="748">
        <f>IF(V16&gt;0,X16/V16/X$7,0)</f>
        <v>0</v>
      </c>
      <c r="X16" s="32">
        <v>0</v>
      </c>
      <c r="Y16" s="455">
        <v>0</v>
      </c>
      <c r="Z16" s="748">
        <f>IF(Y16&gt;0,AA16/Y16/AA$7,0)</f>
        <v>0</v>
      </c>
      <c r="AA16" s="32">
        <v>0</v>
      </c>
      <c r="AB16" s="455">
        <v>0</v>
      </c>
      <c r="AC16" s="748">
        <f>IF(AB16&gt;0,AD16/AB16/AD$7,0)</f>
        <v>0</v>
      </c>
      <c r="AD16" s="32">
        <v>0</v>
      </c>
      <c r="AE16" s="455">
        <v>0</v>
      </c>
      <c r="AF16" s="748">
        <f>IF(AE16&gt;0,AG16/AE16/AG$7,0)</f>
        <v>0</v>
      </c>
      <c r="AG16" s="32">
        <v>0</v>
      </c>
      <c r="AH16" s="455">
        <v>0</v>
      </c>
      <c r="AI16" s="748">
        <v>0</v>
      </c>
      <c r="AJ16" s="32">
        <v>0</v>
      </c>
      <c r="AK16" s="455">
        <v>0</v>
      </c>
      <c r="AL16" s="748">
        <f>IF(AK16&gt;0,AM16/AK16/AM$7,0)</f>
        <v>0</v>
      </c>
      <c r="AM16" s="32">
        <v>0</v>
      </c>
      <c r="AN16" s="455">
        <v>0</v>
      </c>
      <c r="AO16" s="748">
        <f>IF(AN16&gt;0,AP16/AN16/AP$7,0)</f>
        <v>0</v>
      </c>
      <c r="AP16" s="32">
        <f>-E16*F16*AP7</f>
        <v>1290</v>
      </c>
      <c r="AQ16" s="455">
        <v>0</v>
      </c>
      <c r="AR16" s="748">
        <f>IF(AQ16&gt;0,AS16/AQ16/AS$7,0)</f>
        <v>0</v>
      </c>
      <c r="AS16" s="32">
        <f>-E16*F16*AS7</f>
        <v>1333</v>
      </c>
      <c r="AT16" s="32"/>
    </row>
    <row r="17" spans="1:46" x14ac:dyDescent="0.2">
      <c r="B17" t="s">
        <v>639</v>
      </c>
      <c r="C17" s="745"/>
      <c r="D17" s="745"/>
      <c r="E17" s="37">
        <v>0</v>
      </c>
      <c r="H17" s="789">
        <v>4.7500000000000001E-2</v>
      </c>
      <c r="J17" s="455">
        <v>0</v>
      </c>
      <c r="K17" s="748">
        <f>IF(J17&gt;0,L17/J17/L$7,0)</f>
        <v>0</v>
      </c>
      <c r="L17" s="32">
        <v>0</v>
      </c>
      <c r="M17" s="455">
        <v>0</v>
      </c>
      <c r="N17" s="748">
        <f>IF(M17&gt;0,O17/M17/O$7,0)</f>
        <v>0</v>
      </c>
      <c r="O17" s="32">
        <v>0</v>
      </c>
      <c r="P17" s="455">
        <v>0</v>
      </c>
      <c r="Q17" s="748">
        <f>IF(P17&gt;0,R17/P17/R$7,0)</f>
        <v>0</v>
      </c>
      <c r="R17" s="32">
        <v>0</v>
      </c>
      <c r="S17" s="455">
        <v>0</v>
      </c>
      <c r="T17" s="748">
        <f>IF(S17&gt;0,U17/S17/U$7,0)</f>
        <v>0</v>
      </c>
      <c r="U17" s="32">
        <v>0</v>
      </c>
      <c r="V17" s="455">
        <v>0</v>
      </c>
      <c r="W17" s="748">
        <f>IF(V17&gt;0,X17/V17/X$7,0)</f>
        <v>0</v>
      </c>
      <c r="X17" s="32">
        <v>0</v>
      </c>
      <c r="Y17" s="455">
        <v>0</v>
      </c>
      <c r="Z17" s="748">
        <f>IF(Y17&gt;0,AA17/Y17/AA$7,0)</f>
        <v>0</v>
      </c>
      <c r="AA17" s="32">
        <v>0</v>
      </c>
      <c r="AB17" s="455">
        <v>0</v>
      </c>
      <c r="AC17" s="748">
        <f>IF(AB17&gt;0,AD17/AB17/AD$7,0)</f>
        <v>0</v>
      </c>
      <c r="AD17" s="32">
        <v>0</v>
      </c>
      <c r="AE17" s="455">
        <v>0</v>
      </c>
      <c r="AF17" s="748">
        <f>IF(AE17&gt;0,AG17/AE17/AG$7,0)</f>
        <v>0</v>
      </c>
      <c r="AG17" s="32">
        <v>0</v>
      </c>
      <c r="AH17" s="455">
        <v>0</v>
      </c>
      <c r="AI17" s="748">
        <v>0</v>
      </c>
      <c r="AJ17" s="32">
        <v>0</v>
      </c>
      <c r="AK17" s="455">
        <v>0</v>
      </c>
      <c r="AL17" s="748">
        <f>IF(AK17&gt;0,AM17/AK17/AM$7,0)</f>
        <v>0</v>
      </c>
      <c r="AM17" s="32">
        <v>0</v>
      </c>
      <c r="AN17" s="455">
        <v>0</v>
      </c>
      <c r="AO17" s="748">
        <f>IF(AN17&gt;0,AP17/AN17/AP$7,0)</f>
        <v>0</v>
      </c>
      <c r="AP17" s="791">
        <f>-((($E$17*'Out Years Data Input'!AG82*'Negociate Rate K'!AP7)/(1-'Negociate Rate K'!$H$17))*$H$17)*'Not Used -Annual Fuel Calc'!M75</f>
        <v>0</v>
      </c>
      <c r="AQ17" s="455">
        <v>0</v>
      </c>
      <c r="AR17" s="748">
        <f>IF(AQ17&gt;0,AS17/AQ17/AS$7,0)</f>
        <v>0</v>
      </c>
      <c r="AS17" s="791">
        <f>-((($E$17*'Out Years Data Input'!AJ82*'Negociate Rate K'!AS7)/(1-'Negociate Rate K'!$H$17))*$H$17)*'Not Used -Annual Fuel Calc'!O75</f>
        <v>0</v>
      </c>
      <c r="AT17" s="32"/>
    </row>
    <row r="18" spans="1:46" s="42" customFormat="1" x14ac:dyDescent="0.2">
      <c r="A18" s="741"/>
      <c r="C18" s="792"/>
      <c r="D18" s="792"/>
      <c r="E18" s="431"/>
      <c r="F18" s="754"/>
      <c r="G18" s="754"/>
      <c r="H18" s="790"/>
      <c r="I18" s="754"/>
      <c r="J18" s="774"/>
      <c r="K18" s="754"/>
      <c r="L18" s="31"/>
      <c r="M18" s="774"/>
      <c r="N18" s="754"/>
      <c r="O18" s="31"/>
      <c r="P18" s="774"/>
      <c r="Q18" s="754"/>
      <c r="R18" s="31"/>
      <c r="S18" s="774"/>
      <c r="T18" s="754"/>
      <c r="U18" s="31"/>
      <c r="V18" s="774"/>
      <c r="W18" s="754"/>
      <c r="X18" s="31"/>
      <c r="Y18" s="774"/>
      <c r="Z18" s="754"/>
      <c r="AA18" s="31"/>
      <c r="AB18" s="774"/>
      <c r="AC18" s="754"/>
      <c r="AD18" s="31"/>
      <c r="AE18" s="774"/>
      <c r="AF18" s="754"/>
      <c r="AG18" s="31"/>
      <c r="AH18" s="774"/>
      <c r="AI18" s="754"/>
      <c r="AJ18" s="31"/>
      <c r="AK18" s="774"/>
      <c r="AL18" s="754"/>
      <c r="AM18" s="31"/>
      <c r="AN18" s="774"/>
      <c r="AO18" s="754"/>
      <c r="AP18" s="31">
        <f>SUM(AP13:AP17)</f>
        <v>412162.74</v>
      </c>
      <c r="AQ18" s="774"/>
      <c r="AR18" s="754"/>
      <c r="AS18" s="31">
        <f>SUM(AS13:AS17)</f>
        <v>425730.87400000001</v>
      </c>
      <c r="AT18" s="31">
        <f>AP18+AS18</f>
        <v>837893.61400000006</v>
      </c>
    </row>
    <row r="19" spans="1:46" x14ac:dyDescent="0.2">
      <c r="C19" s="745"/>
      <c r="D19" s="745"/>
      <c r="H19" s="789"/>
      <c r="J19" s="455"/>
      <c r="L19" s="32"/>
      <c r="M19" s="455"/>
      <c r="N19" s="748"/>
      <c r="O19" s="32"/>
      <c r="P19" s="455"/>
      <c r="Q19" s="748"/>
      <c r="R19" s="32"/>
      <c r="S19" s="455"/>
      <c r="T19" s="748"/>
      <c r="U19" s="32"/>
      <c r="V19" s="455"/>
      <c r="W19" s="748"/>
      <c r="X19" s="32"/>
      <c r="Y19" s="455"/>
      <c r="Z19" s="748"/>
      <c r="AA19" s="32"/>
      <c r="AB19" s="455"/>
      <c r="AC19" s="748"/>
      <c r="AD19" s="32"/>
      <c r="AE19" s="455"/>
      <c r="AF19" s="748"/>
      <c r="AG19" s="32"/>
      <c r="AH19" s="455"/>
      <c r="AI19" s="748"/>
      <c r="AJ19" s="32"/>
      <c r="AK19" s="455"/>
      <c r="AL19" s="748"/>
      <c r="AM19" s="32"/>
      <c r="AN19" s="455"/>
      <c r="AO19" s="748"/>
      <c r="AP19" s="32"/>
      <c r="AQ19" s="455"/>
      <c r="AR19" s="748"/>
      <c r="AS19" s="32"/>
      <c r="AT19" s="32"/>
    </row>
    <row r="20" spans="1:46" x14ac:dyDescent="0.2">
      <c r="A20" s="629">
        <v>27454</v>
      </c>
      <c r="B20" t="s">
        <v>635</v>
      </c>
      <c r="C20" s="745">
        <v>37257</v>
      </c>
      <c r="D20" s="745">
        <v>37621</v>
      </c>
      <c r="E20" s="37">
        <v>27500</v>
      </c>
      <c r="H20" s="789"/>
      <c r="I20" s="748">
        <v>1.27</v>
      </c>
      <c r="J20" s="455">
        <v>0</v>
      </c>
      <c r="K20" s="748">
        <f>IF(J20&gt;0,L20/J20/L$7,0)</f>
        <v>0</v>
      </c>
      <c r="L20" s="32">
        <f>ROUND($E20*$I20*L$7,0)</f>
        <v>1082675</v>
      </c>
      <c r="M20" s="455">
        <v>0</v>
      </c>
      <c r="N20" s="748">
        <f>IF(M20&gt;0,O20/M20/O$7,0)</f>
        <v>0</v>
      </c>
      <c r="O20" s="32">
        <f>ROUND($E20*$I20*O$7,0)</f>
        <v>977900</v>
      </c>
      <c r="P20" s="455">
        <v>0</v>
      </c>
      <c r="Q20" s="748">
        <f>IF(P20&gt;0,R20/P20/R$7,0)</f>
        <v>0</v>
      </c>
      <c r="R20" s="32">
        <f>ROUND($E20*$I20*R$7,0)</f>
        <v>1082675</v>
      </c>
      <c r="S20" s="455">
        <v>0</v>
      </c>
      <c r="T20" s="748">
        <f>IF(S20&gt;0,U20/S20/U$7,0)</f>
        <v>0</v>
      </c>
      <c r="U20" s="32">
        <f>ROUND($E20*$I20*U$7,0)</f>
        <v>1047750</v>
      </c>
      <c r="V20" s="455">
        <v>0</v>
      </c>
      <c r="W20" s="748">
        <f>IF(V20&gt;0,X20/V20/X$7,0)</f>
        <v>0</v>
      </c>
      <c r="X20" s="32">
        <f>ROUND($E20*$I20*X$7,0)</f>
        <v>1082675</v>
      </c>
      <c r="Y20" s="455">
        <v>0</v>
      </c>
      <c r="Z20" s="748">
        <f>IF(Y20&gt;0,AA20/Y20/AA$7,0)</f>
        <v>0</v>
      </c>
      <c r="AA20" s="32">
        <f>ROUND($E20*$I20*AA$7,0)</f>
        <v>1047750</v>
      </c>
      <c r="AB20" s="455">
        <v>0</v>
      </c>
      <c r="AC20" s="748">
        <f>IF(AB20&gt;0,AD20/AB20/AD$7,0)</f>
        <v>0</v>
      </c>
      <c r="AD20" s="32">
        <f>ROUND($E20*$I20*AD$7,0)</f>
        <v>1082675</v>
      </c>
      <c r="AE20" s="455">
        <v>0</v>
      </c>
      <c r="AF20" s="748">
        <f>IF(AE20&gt;0,AG20/AE20/AG$7,0)</f>
        <v>0</v>
      </c>
      <c r="AG20" s="32">
        <f>ROUND($E20*$I20*AG$7,0)</f>
        <v>1082675</v>
      </c>
      <c r="AH20" s="455">
        <v>0</v>
      </c>
      <c r="AI20" s="748">
        <f>IF(AH20&gt;0,AJ20/AH20/AJ$7,0)</f>
        <v>0</v>
      </c>
      <c r="AJ20" s="32">
        <f>ROUND($E20*$I20*AJ$7,0)</f>
        <v>1047750</v>
      </c>
      <c r="AK20" s="455">
        <v>0</v>
      </c>
      <c r="AL20" s="748">
        <f>IF(AK20&gt;0,AM20/AK20/AM$7,0)</f>
        <v>0</v>
      </c>
      <c r="AM20" s="32">
        <f>ROUND($E20*$I20*AM$7,0)</f>
        <v>1082675</v>
      </c>
      <c r="AN20" s="455">
        <v>0</v>
      </c>
      <c r="AO20" s="748">
        <f>IF(AN20&gt;0,AP20/AN20/AP$7,0)</f>
        <v>0</v>
      </c>
      <c r="AP20" s="32">
        <f>ROUND($E20*$I20*AP$7,0)</f>
        <v>1047750</v>
      </c>
      <c r="AQ20" s="455">
        <v>0</v>
      </c>
      <c r="AR20" s="748">
        <f>IF(AQ20&gt;0,AS20/AQ20/AS$7,0)</f>
        <v>0</v>
      </c>
      <c r="AS20" s="32">
        <f>ROUND($E20*$I20*AS$7,0)</f>
        <v>1082675</v>
      </c>
      <c r="AT20" s="32"/>
    </row>
    <row r="21" spans="1:46" x14ac:dyDescent="0.2">
      <c r="B21" t="s">
        <v>641</v>
      </c>
      <c r="C21" s="745"/>
      <c r="D21" s="745"/>
      <c r="E21" s="37">
        <v>27500</v>
      </c>
      <c r="F21" s="748">
        <v>0.3679</v>
      </c>
      <c r="H21" s="789"/>
      <c r="J21" s="455">
        <v>0</v>
      </c>
      <c r="K21" s="748">
        <f>IF(J21&gt;0,L21/J21/L$7,0)</f>
        <v>0</v>
      </c>
      <c r="L21" s="32">
        <f>-$E21*$F21*L$7</f>
        <v>-313634.75</v>
      </c>
      <c r="M21" s="455">
        <v>0</v>
      </c>
      <c r="N21" s="748">
        <f>IF(M21&gt;0,O21/M21/O$7,0)</f>
        <v>0</v>
      </c>
      <c r="O21" s="32">
        <f>-$E21*$F21*O$7</f>
        <v>-283283</v>
      </c>
      <c r="P21" s="455">
        <v>0</v>
      </c>
      <c r="Q21" s="748">
        <f>IF(P21&gt;0,R21/P21/R$7,0)</f>
        <v>0</v>
      </c>
      <c r="R21" s="32">
        <f>-$E21*$F21*R$7</f>
        <v>-313634.75</v>
      </c>
      <c r="S21" s="455">
        <v>0</v>
      </c>
      <c r="T21" s="748">
        <f>IF(S21&gt;0,U21/S21/U$7,0)</f>
        <v>0</v>
      </c>
      <c r="U21" s="32">
        <f>-$E21*$F21*U$7</f>
        <v>-303517.5</v>
      </c>
      <c r="V21" s="455">
        <v>0</v>
      </c>
      <c r="W21" s="748">
        <f>IF(V21&gt;0,X21/V21/X$7,0)</f>
        <v>0</v>
      </c>
      <c r="X21" s="32">
        <f>-$E21*$F21*X$7</f>
        <v>-313634.75</v>
      </c>
      <c r="Y21" s="455">
        <v>0</v>
      </c>
      <c r="Z21" s="748">
        <f>IF(Y21&gt;0,AA21/Y21/AA$7,0)</f>
        <v>0</v>
      </c>
      <c r="AA21" s="32">
        <f>-$E21*$F21*AA$7</f>
        <v>-303517.5</v>
      </c>
      <c r="AB21" s="455">
        <v>0</v>
      </c>
      <c r="AC21" s="748">
        <f>IF(AB21&gt;0,AD21/AB21/AD$7,0)</f>
        <v>0</v>
      </c>
      <c r="AD21" s="32">
        <f>-$E21*$F21*AD$7</f>
        <v>-313634.75</v>
      </c>
      <c r="AE21" s="455">
        <v>0</v>
      </c>
      <c r="AF21" s="748">
        <f>IF(AE21&gt;0,AG21/AE21/AG$7,0)</f>
        <v>0</v>
      </c>
      <c r="AG21" s="32">
        <f>-$E21*$F21*AG$7</f>
        <v>-313634.75</v>
      </c>
      <c r="AH21" s="455">
        <v>0</v>
      </c>
      <c r="AI21" s="748">
        <v>0</v>
      </c>
      <c r="AJ21" s="32">
        <f>-$E21*$F21*AJ$7</f>
        <v>-303517.5</v>
      </c>
      <c r="AK21" s="455">
        <v>0</v>
      </c>
      <c r="AL21" s="748">
        <f>IF(AK21&gt;0,AM21/AK21/AM$7,0)</f>
        <v>0</v>
      </c>
      <c r="AM21" s="32">
        <f>-$E21*$F21*AM$7</f>
        <v>-313634.75</v>
      </c>
      <c r="AN21" s="455">
        <v>0</v>
      </c>
      <c r="AO21" s="748">
        <f>IF(AN21&gt;0,AP21/AN21/AP$7,0)</f>
        <v>0</v>
      </c>
      <c r="AP21" s="32">
        <f>-$E21*$F21*AP$7</f>
        <v>-303517.5</v>
      </c>
      <c r="AQ21" s="455">
        <v>0</v>
      </c>
      <c r="AR21" s="748">
        <f>IF(AQ21&gt;0,AS21/AQ21/AS$7,0)</f>
        <v>0</v>
      </c>
      <c r="AS21" s="32">
        <f>-$E21*$F21*AS$7</f>
        <v>-313634.75</v>
      </c>
      <c r="AT21" s="32"/>
    </row>
    <row r="22" spans="1:46" x14ac:dyDescent="0.2">
      <c r="B22" t="s">
        <v>642</v>
      </c>
      <c r="C22" s="745"/>
      <c r="D22" s="745"/>
      <c r="E22" s="37">
        <v>27500</v>
      </c>
      <c r="G22" s="748">
        <f>0.0186+0.007</f>
        <v>2.5599999999999998E-2</v>
      </c>
      <c r="H22" s="789"/>
      <c r="J22" s="455">
        <f>-$E22*'Out Years Data Input'!C$82</f>
        <v>-23650</v>
      </c>
      <c r="K22" s="748">
        <f>IF(J22&gt;0,L22/J22/L$7,0)</f>
        <v>0</v>
      </c>
      <c r="L22" s="32">
        <f>-$E22*$G22*'Out Years Data Input'!C$82*L$7</f>
        <v>-18768.64</v>
      </c>
      <c r="M22" s="455">
        <f>-$E22*'Out Years Data Input'!F$82</f>
        <v>-23925</v>
      </c>
      <c r="N22" s="748">
        <f>IF(M22&gt;0,O22/M22/O$7,0)</f>
        <v>0</v>
      </c>
      <c r="O22" s="32">
        <f>-$E22*$G22*'Out Years Data Input'!F$82*O$7</f>
        <v>-17149.439999999999</v>
      </c>
      <c r="P22" s="455">
        <f>-$E22*'Out Years Data Input'!I$82</f>
        <v>-25850</v>
      </c>
      <c r="Q22" s="748">
        <f>IF(P22&gt;0,R22/P22/R$7,0)</f>
        <v>0</v>
      </c>
      <c r="R22" s="32">
        <f>-$E22*$G22*'Out Years Data Input'!I$82*R$7</f>
        <v>-20514.559999999998</v>
      </c>
      <c r="S22" s="455">
        <f>-$E22*'Out Years Data Input'!L$82</f>
        <v>-22550</v>
      </c>
      <c r="T22" s="748">
        <f>IF(S22&gt;0,U22/S22/U$7,0)</f>
        <v>0</v>
      </c>
      <c r="U22" s="32">
        <f>-$E22*$G22*'Out Years Data Input'!L$82*U$7</f>
        <v>-17318.399999999994</v>
      </c>
      <c r="V22" s="455">
        <f>-$E22*'Out Years Data Input'!O$82</f>
        <v>-23925</v>
      </c>
      <c r="W22" s="748">
        <f>IF(V22&gt;0,X22/V22/X$7,0)</f>
        <v>0</v>
      </c>
      <c r="X22" s="32">
        <f>-$E22*$G22*'Out Years Data Input'!O$82*X$7</f>
        <v>-18986.879999999997</v>
      </c>
      <c r="Y22" s="455">
        <f>-$E22*'Out Years Data Input'!R$82</f>
        <v>-25300</v>
      </c>
      <c r="Z22" s="748">
        <f>IF(Y22&gt;0,AA22/Y22/AA$7,0)</f>
        <v>0</v>
      </c>
      <c r="AA22" s="32">
        <f>-$E22*$G22*'Out Years Data Input'!R$82*AA$7</f>
        <v>-19430.399999999998</v>
      </c>
      <c r="AB22" s="455">
        <f>-$E22*'Out Years Data Input'!U$82</f>
        <v>-25025</v>
      </c>
      <c r="AC22" s="748">
        <f>IF(AB22&gt;0,AD22/AB22/AD$7,0)</f>
        <v>0</v>
      </c>
      <c r="AD22" s="32">
        <f>-$E22*$G22*'Out Years Data Input'!U$82*AD$7</f>
        <v>-19859.839999999997</v>
      </c>
      <c r="AE22" s="455">
        <f>-$E22*'Out Years Data Input'!X$82</f>
        <v>-25850</v>
      </c>
      <c r="AF22" s="748">
        <f>IF(AE22&gt;0,AG22/AE22/AG$7,0)</f>
        <v>0</v>
      </c>
      <c r="AG22" s="32">
        <f>-$E22*$G22*'Out Years Data Input'!X$82*AG$7</f>
        <v>-20514.559999999998</v>
      </c>
      <c r="AH22" s="455">
        <f>-$E22*'Out Years Data Input'!AA$82</f>
        <v>-23925</v>
      </c>
      <c r="AI22" s="748">
        <v>0</v>
      </c>
      <c r="AJ22" s="32">
        <f>-$E22*$G22*'Out Years Data Input'!AA$82*AJ$7</f>
        <v>-18374.399999999998</v>
      </c>
      <c r="AK22" s="455">
        <f>-$E22*'Out Years Data Input'!AD$82</f>
        <v>-25850</v>
      </c>
      <c r="AL22" s="748">
        <f>IF(AK22&gt;0,AM22/AK22/AM$7,0)</f>
        <v>0</v>
      </c>
      <c r="AM22" s="32">
        <f>-$E22*$G22*'Out Years Data Input'!AD$82*AM$7</f>
        <v>-20514.559999999998</v>
      </c>
      <c r="AN22" s="455">
        <f>-$E22*'Out Years Data Input'!AG$82</f>
        <v>-26950</v>
      </c>
      <c r="AO22" s="748">
        <f>IF(AN22&gt;0,AP22/AN22/AP$7,0)</f>
        <v>0</v>
      </c>
      <c r="AP22" s="32">
        <f>-$E22*$G22*'Out Years Data Input'!AG$82*AP$7</f>
        <v>-20697.599999999995</v>
      </c>
      <c r="AQ22" s="455">
        <f>-$E22*'Out Years Data Input'!AJ$82</f>
        <v>-27225</v>
      </c>
      <c r="AR22" s="748">
        <f>IF(AQ22&gt;0,AS22/AQ22/AS$7,0)</f>
        <v>0</v>
      </c>
      <c r="AS22" s="32">
        <f>-$E22*$G22*'Out Years Data Input'!AJ$82*AS$7</f>
        <v>-21605.759999999998</v>
      </c>
      <c r="AT22" s="32"/>
    </row>
    <row r="23" spans="1:46" x14ac:dyDescent="0.2">
      <c r="A23" s="629" t="s">
        <v>696</v>
      </c>
      <c r="B23" t="s">
        <v>641</v>
      </c>
      <c r="C23" s="745"/>
      <c r="D23" s="745"/>
      <c r="E23" s="37">
        <v>27500</v>
      </c>
      <c r="F23" s="748">
        <v>-2E-3</v>
      </c>
      <c r="H23" s="789"/>
      <c r="J23" s="455">
        <v>0</v>
      </c>
      <c r="K23" s="748">
        <f>IF(J23&gt;0,L23/J23/L$7,0)</f>
        <v>0</v>
      </c>
      <c r="L23" s="32">
        <f>-$E23*$F23*L$7</f>
        <v>1705</v>
      </c>
      <c r="M23" s="455">
        <v>0</v>
      </c>
      <c r="N23" s="748">
        <f>IF(M23&gt;0,O23/M23/O$7,0)</f>
        <v>0</v>
      </c>
      <c r="O23" s="32">
        <f>-$E23*$F23*O$7</f>
        <v>1540</v>
      </c>
      <c r="P23" s="455">
        <v>0</v>
      </c>
      <c r="Q23" s="748">
        <f>IF(P23&gt;0,R23/P23/R$7,0)</f>
        <v>0</v>
      </c>
      <c r="R23" s="32">
        <f>-$E23*$F23*R$7</f>
        <v>1705</v>
      </c>
      <c r="S23" s="455">
        <v>0</v>
      </c>
      <c r="T23" s="748">
        <f>IF(S23&gt;0,U23/S23/U$7,0)</f>
        <v>0</v>
      </c>
      <c r="U23" s="32">
        <f>-$E23*$F23*U$7</f>
        <v>1650</v>
      </c>
      <c r="V23" s="455">
        <v>0</v>
      </c>
      <c r="W23" s="748">
        <f>IF(V23&gt;0,X23/V23/X$7,0)</f>
        <v>0</v>
      </c>
      <c r="X23" s="32">
        <f>-$E23*$F23*X$7</f>
        <v>1705</v>
      </c>
      <c r="Y23" s="455">
        <v>0</v>
      </c>
      <c r="Z23" s="748">
        <f>IF(Y23&gt;0,AA23/Y23/AA$7,0)</f>
        <v>0</v>
      </c>
      <c r="AA23" s="32">
        <f>-$E23*$F23*AA$7</f>
        <v>1650</v>
      </c>
      <c r="AB23" s="455">
        <v>0</v>
      </c>
      <c r="AC23" s="748">
        <f>IF(AB23&gt;0,AD23/AB23/AD$7,0)</f>
        <v>0</v>
      </c>
      <c r="AD23" s="32">
        <f>-$E23*$F23*AD$7</f>
        <v>1705</v>
      </c>
      <c r="AE23" s="455">
        <v>0</v>
      </c>
      <c r="AF23" s="748">
        <f>IF(AE23&gt;0,AG23/AE23/AG$7,0)</f>
        <v>0</v>
      </c>
      <c r="AG23" s="32">
        <f>-$E23*$F23*AG$7</f>
        <v>1705</v>
      </c>
      <c r="AH23" s="455">
        <v>0</v>
      </c>
      <c r="AI23" s="748">
        <v>0</v>
      </c>
      <c r="AJ23" s="32">
        <f>-$E23*$F23*AJ$7</f>
        <v>1650</v>
      </c>
      <c r="AK23" s="455">
        <v>0</v>
      </c>
      <c r="AL23" s="748">
        <f>IF(AK23&gt;0,AM23/AK23/AM$7,0)</f>
        <v>0</v>
      </c>
      <c r="AM23" s="32">
        <f>-$E23*$F23*AM$7</f>
        <v>1705</v>
      </c>
      <c r="AN23" s="455">
        <v>0</v>
      </c>
      <c r="AO23" s="748">
        <f>IF(AN23&gt;0,AP23/AN23/AP$7,0)</f>
        <v>0</v>
      </c>
      <c r="AP23" s="32">
        <f>-$E23*$F23*AP$7</f>
        <v>1650</v>
      </c>
      <c r="AQ23" s="455">
        <v>0</v>
      </c>
      <c r="AR23" s="748">
        <f>IF(AQ23&gt;0,AS23/AQ23/AS$7,0)</f>
        <v>0</v>
      </c>
      <c r="AS23" s="32">
        <f>-$E23*$F23*AS$7</f>
        <v>1705</v>
      </c>
      <c r="AT23" s="32"/>
    </row>
    <row r="24" spans="1:46" x14ac:dyDescent="0.2">
      <c r="B24" t="s">
        <v>643</v>
      </c>
      <c r="C24" s="745"/>
      <c r="D24" s="745"/>
      <c r="E24" s="37">
        <v>0</v>
      </c>
      <c r="H24" s="789">
        <v>4.7500000000000001E-2</v>
      </c>
      <c r="J24" s="455">
        <v>0</v>
      </c>
      <c r="K24" s="748">
        <f>IF(J24&gt;0,L24/J24/L$7,0)</f>
        <v>0</v>
      </c>
      <c r="L24" s="791">
        <f>-((($E$24*'Out Years Data Input'!C$82*'Negociate Rate K'!L$7)/(1-'Negociate Rate K'!$H$24))*$H$24)*'Not Used -Annual Fuel Calc'!C75</f>
        <v>0</v>
      </c>
      <c r="M24" s="455">
        <v>0</v>
      </c>
      <c r="N24" s="748">
        <f>IF(M24&gt;0,O24/M24/O$7,0)</f>
        <v>0</v>
      </c>
      <c r="O24" s="791">
        <f>-((($E$24*'Out Years Data Input'!F$82*'Negociate Rate K'!O$7)/(1-'Negociate Rate K'!$H$24))*$H$24)*'Not Used -Annual Fuel Calc'!D75</f>
        <v>0</v>
      </c>
      <c r="P24" s="455">
        <v>0</v>
      </c>
      <c r="Q24" s="748">
        <f>IF(P24&gt;0,R24/P24/R$7,0)</f>
        <v>0</v>
      </c>
      <c r="R24" s="791">
        <f>-((($E$24*'Out Years Data Input'!I$82*'Negociate Rate K'!R$7)/(1-'Negociate Rate K'!$H$24))*$H$24)*'Not Used -Annual Fuel Calc'!E75</f>
        <v>0</v>
      </c>
      <c r="S24" s="455">
        <v>0</v>
      </c>
      <c r="T24" s="748">
        <f>IF(S24&gt;0,U24/S24/U$7,0)</f>
        <v>0</v>
      </c>
      <c r="U24" s="791">
        <f>-((($E$24*'Out Years Data Input'!L$82*'Negociate Rate K'!U$7)/(1-'Negociate Rate K'!$H$24))*$H$24)*'Not Used -Annual Fuel Calc'!F75</f>
        <v>0</v>
      </c>
      <c r="V24" s="455">
        <v>0</v>
      </c>
      <c r="W24" s="748">
        <f>IF(V24&gt;0,X24/V24/X$7,0)</f>
        <v>0</v>
      </c>
      <c r="X24" s="791">
        <f>-((($E$24*'Out Years Data Input'!O$82*'Negociate Rate K'!X$7)/(1-'Negociate Rate K'!$H$24))*$H$24)*'Not Used -Annual Fuel Calc'!G75</f>
        <v>0</v>
      </c>
      <c r="Y24" s="455">
        <v>0</v>
      </c>
      <c r="Z24" s="748">
        <f>IF(Y24&gt;0,AA24/Y24/AA$7,0)</f>
        <v>0</v>
      </c>
      <c r="AA24" s="791">
        <f>-((($E$24*'Out Years Data Input'!R$82*'Negociate Rate K'!AA$7)/(1-'Negociate Rate K'!$H$24))*$H$24)*'Not Used -Annual Fuel Calc'!H75</f>
        <v>0</v>
      </c>
      <c r="AB24" s="455">
        <v>0</v>
      </c>
      <c r="AC24" s="748">
        <f>IF(AB24&gt;0,AD24/AB24/AD$7,0)</f>
        <v>0</v>
      </c>
      <c r="AD24" s="791">
        <f>-((($E$24*'Out Years Data Input'!U$82*'Negociate Rate K'!AD$7)/(1-'Negociate Rate K'!$H$24))*$H$24)*'Not Used -Annual Fuel Calc'!I$75</f>
        <v>0</v>
      </c>
      <c r="AE24" s="455">
        <v>0</v>
      </c>
      <c r="AF24" s="748">
        <f>IF(AE24&gt;0,AG24/AE24/AG$7,0)</f>
        <v>0</v>
      </c>
      <c r="AG24" s="791">
        <f>-((($E$24*'Out Years Data Input'!X$82*'Negociate Rate K'!AG$7)/(1-'Negociate Rate K'!$H$24))*$H$24)*'Not Used -Annual Fuel Calc'!J$75</f>
        <v>0</v>
      </c>
      <c r="AH24" s="455">
        <v>0</v>
      </c>
      <c r="AI24" s="748">
        <v>0</v>
      </c>
      <c r="AJ24" s="791">
        <f>-((($E$24*'Out Years Data Input'!AA$82*'Negociate Rate K'!AJ$7)/(1-'Negociate Rate K'!$H$24))*$H$24)*'Not Used -Annual Fuel Calc'!K$75</f>
        <v>0</v>
      </c>
      <c r="AK24" s="455">
        <v>0</v>
      </c>
      <c r="AL24" s="748">
        <f>IF(AK24&gt;0,AM24/AK24/AM$7,0)</f>
        <v>0</v>
      </c>
      <c r="AM24" s="791">
        <f>-((($E$24*'Out Years Data Input'!AD$82*'Negociate Rate K'!AM$7)/(1-'Negociate Rate K'!$H$24))*$H$24)*'Not Used -Annual Fuel Calc'!L$75</f>
        <v>0</v>
      </c>
      <c r="AN24" s="455">
        <v>0</v>
      </c>
      <c r="AO24" s="748">
        <f>IF(AN24&gt;0,AP24/AN24/AP$7,0)</f>
        <v>0</v>
      </c>
      <c r="AP24" s="791">
        <f>-((($E$24*'Out Years Data Input'!AG$82*'Negociate Rate K'!AP$7)/(1-'Negociate Rate K'!$H$24))*$H$24)*'Not Used -Annual Fuel Calc'!M$75</f>
        <v>0</v>
      </c>
      <c r="AQ24" s="455">
        <v>0</v>
      </c>
      <c r="AR24" s="748">
        <f>IF(AQ24&gt;0,AS24/AQ24/AS$7,0)</f>
        <v>0</v>
      </c>
      <c r="AS24" s="791">
        <f>-((($E$24*'Out Years Data Input'!AJ$82*'Negociate Rate K'!AS$7)/(1-'Negociate Rate K'!$H$24))*$H$24)*'Not Used -Annual Fuel Calc'!N$75</f>
        <v>0</v>
      </c>
      <c r="AT24" s="32"/>
    </row>
    <row r="25" spans="1:46" x14ac:dyDescent="0.2">
      <c r="B25" s="42"/>
      <c r="C25" s="792"/>
      <c r="D25" s="792"/>
      <c r="E25" s="431"/>
      <c r="F25" s="754"/>
      <c r="G25" s="754"/>
      <c r="H25" s="790"/>
      <c r="I25" s="754"/>
      <c r="J25" s="774"/>
      <c r="K25" s="754"/>
      <c r="L25" s="31">
        <f>SUM(L20:L24)</f>
        <v>751976.61</v>
      </c>
      <c r="M25" s="774"/>
      <c r="N25" s="754"/>
      <c r="O25" s="31">
        <f>SUM(O20:O24)</f>
        <v>679007.56</v>
      </c>
      <c r="P25" s="774"/>
      <c r="Q25" s="754"/>
      <c r="R25" s="31">
        <f>SUM(R20:R24)</f>
        <v>750230.69</v>
      </c>
      <c r="S25" s="774"/>
      <c r="T25" s="754"/>
      <c r="U25" s="31">
        <f>SUM(U20:U24)</f>
        <v>728564.1</v>
      </c>
      <c r="V25" s="774"/>
      <c r="W25" s="754"/>
      <c r="X25" s="31">
        <f>SUM(X20:X24)</f>
        <v>751758.37</v>
      </c>
      <c r="Y25" s="774"/>
      <c r="Z25" s="754"/>
      <c r="AA25" s="31">
        <f>SUM(AA20:AA24)</f>
        <v>726452.1</v>
      </c>
      <c r="AB25" s="774"/>
      <c r="AC25" s="754"/>
      <c r="AD25" s="31">
        <f>SUM(AD20:AD24)</f>
        <v>750885.41</v>
      </c>
      <c r="AE25" s="774"/>
      <c r="AF25" s="754"/>
      <c r="AG25" s="31">
        <f>SUM(AG20:AG24)</f>
        <v>750230.69</v>
      </c>
      <c r="AH25" s="774"/>
      <c r="AI25" s="754"/>
      <c r="AJ25" s="31">
        <f>SUM(AJ20:AJ24)</f>
        <v>727508.1</v>
      </c>
      <c r="AK25" s="774"/>
      <c r="AL25" s="754"/>
      <c r="AM25" s="31">
        <f>SUM(AM20:AM24)</f>
        <v>750230.69</v>
      </c>
      <c r="AN25" s="774"/>
      <c r="AO25" s="754"/>
      <c r="AP25" s="31">
        <f>SUM(AP20:AP24)</f>
        <v>725184.9</v>
      </c>
      <c r="AQ25" s="774"/>
      <c r="AR25" s="754"/>
      <c r="AS25" s="31">
        <f>SUM(AS20:AS24)</f>
        <v>749139.49</v>
      </c>
      <c r="AT25" s="31"/>
    </row>
    <row r="26" spans="1:46" x14ac:dyDescent="0.2">
      <c r="B26" s="42"/>
      <c r="C26" s="792"/>
      <c r="D26" s="792"/>
      <c r="E26" s="431"/>
      <c r="F26" s="754"/>
      <c r="G26" s="754"/>
      <c r="H26" s="790"/>
      <c r="I26" s="754"/>
      <c r="J26" s="774"/>
      <c r="K26" s="754"/>
      <c r="L26" s="31"/>
      <c r="M26" s="774"/>
      <c r="N26" s="754"/>
      <c r="O26" s="31"/>
      <c r="P26" s="774"/>
      <c r="Q26" s="754"/>
      <c r="R26" s="31"/>
      <c r="S26" s="774"/>
      <c r="T26" s="754"/>
      <c r="U26" s="31"/>
      <c r="V26" s="774"/>
      <c r="W26" s="754"/>
      <c r="X26" s="31"/>
      <c r="Y26" s="774"/>
      <c r="Z26" s="754"/>
      <c r="AA26" s="31"/>
      <c r="AB26" s="774"/>
      <c r="AC26" s="754"/>
      <c r="AD26" s="31"/>
      <c r="AE26" s="774"/>
      <c r="AF26" s="754"/>
      <c r="AG26" s="31"/>
      <c r="AH26" s="774"/>
      <c r="AI26" s="754"/>
      <c r="AJ26" s="31"/>
      <c r="AK26" s="774"/>
      <c r="AL26" s="754"/>
      <c r="AM26" s="31"/>
      <c r="AN26" s="774"/>
      <c r="AO26" s="754"/>
      <c r="AP26" s="31"/>
      <c r="AQ26" s="774"/>
      <c r="AR26" s="754"/>
      <c r="AS26" s="31"/>
      <c r="AT26" s="31"/>
    </row>
    <row r="27" spans="1:46" s="42" customFormat="1" x14ac:dyDescent="0.2">
      <c r="A27" s="741" t="s">
        <v>632</v>
      </c>
      <c r="C27" s="3"/>
      <c r="D27" s="3"/>
      <c r="E27" s="431">
        <f>E13+E20</f>
        <v>49000</v>
      </c>
      <c r="F27" s="754"/>
      <c r="G27" s="754"/>
      <c r="H27" s="790"/>
      <c r="I27" s="754"/>
      <c r="J27" s="774">
        <v>0</v>
      </c>
      <c r="K27" s="754">
        <v>0</v>
      </c>
      <c r="L27" s="31">
        <f>L18+L25</f>
        <v>751976.61</v>
      </c>
      <c r="M27" s="774">
        <v>0</v>
      </c>
      <c r="N27" s="754">
        <v>0</v>
      </c>
      <c r="O27" s="31">
        <f>O18+O25</f>
        <v>679007.56</v>
      </c>
      <c r="P27" s="774">
        <v>0</v>
      </c>
      <c r="Q27" s="754">
        <v>0</v>
      </c>
      <c r="R27" s="31">
        <f>R18+R25</f>
        <v>750230.69</v>
      </c>
      <c r="S27" s="774">
        <v>0</v>
      </c>
      <c r="T27" s="754">
        <v>0</v>
      </c>
      <c r="U27" s="31">
        <f>U18+U25</f>
        <v>728564.1</v>
      </c>
      <c r="V27" s="774">
        <v>0</v>
      </c>
      <c r="W27" s="754">
        <v>0</v>
      </c>
      <c r="X27" s="31">
        <f>X18+X25</f>
        <v>751758.37</v>
      </c>
      <c r="Y27" s="774">
        <v>0</v>
      </c>
      <c r="Z27" s="754">
        <v>0</v>
      </c>
      <c r="AA27" s="31">
        <f>AA18+AA25</f>
        <v>726452.1</v>
      </c>
      <c r="AB27" s="774">
        <v>0</v>
      </c>
      <c r="AC27" s="754">
        <v>0</v>
      </c>
      <c r="AD27" s="31">
        <f>AD18+AD25</f>
        <v>750885.41</v>
      </c>
      <c r="AE27" s="774">
        <v>0</v>
      </c>
      <c r="AF27" s="754">
        <v>0</v>
      </c>
      <c r="AG27" s="31">
        <f>AG18+AG25</f>
        <v>750230.69</v>
      </c>
      <c r="AH27" s="774">
        <v>0</v>
      </c>
      <c r="AI27" s="754">
        <v>0</v>
      </c>
      <c r="AJ27" s="31">
        <f>AJ18+AJ25</f>
        <v>727508.1</v>
      </c>
      <c r="AK27" s="774">
        <v>0</v>
      </c>
      <c r="AL27" s="754">
        <v>0</v>
      </c>
      <c r="AM27" s="31">
        <f>AM18+AM25</f>
        <v>750230.69</v>
      </c>
      <c r="AN27" s="774">
        <v>0</v>
      </c>
      <c r="AO27" s="754">
        <v>0</v>
      </c>
      <c r="AP27" s="31">
        <f>AP18+AP25</f>
        <v>1137347.6400000001</v>
      </c>
      <c r="AQ27" s="774">
        <v>0</v>
      </c>
      <c r="AR27" s="754">
        <v>0</v>
      </c>
      <c r="AS27" s="31">
        <f>AS18+AS25</f>
        <v>1174870.3640000001</v>
      </c>
    </row>
    <row r="28" spans="1:46" s="42" customFormat="1" x14ac:dyDescent="0.2">
      <c r="A28" s="741"/>
      <c r="C28" s="3"/>
      <c r="D28" s="3"/>
      <c r="E28" s="431"/>
      <c r="F28" s="754"/>
      <c r="G28" s="754"/>
      <c r="H28" s="790"/>
      <c r="I28" s="754"/>
      <c r="J28" s="774"/>
      <c r="K28" s="754"/>
      <c r="L28" s="31"/>
      <c r="M28" s="774"/>
      <c r="N28" s="754"/>
      <c r="O28" s="31"/>
      <c r="P28" s="774"/>
      <c r="Q28" s="754"/>
      <c r="R28" s="31"/>
      <c r="S28" s="774"/>
      <c r="T28" s="754"/>
      <c r="U28" s="31"/>
      <c r="V28" s="774"/>
      <c r="W28" s="754"/>
      <c r="X28" s="31"/>
      <c r="Y28" s="774"/>
      <c r="Z28" s="754"/>
      <c r="AA28" s="31"/>
      <c r="AB28" s="774"/>
      <c r="AC28" s="754"/>
      <c r="AD28" s="31"/>
      <c r="AE28" s="774"/>
      <c r="AF28" s="754"/>
      <c r="AG28" s="31"/>
      <c r="AH28" s="774"/>
      <c r="AI28" s="754"/>
      <c r="AJ28" s="31"/>
      <c r="AK28" s="774"/>
      <c r="AL28" s="754"/>
      <c r="AM28" s="31"/>
      <c r="AN28" s="774"/>
      <c r="AO28" s="754"/>
      <c r="AP28" s="31"/>
      <c r="AQ28" s="774"/>
      <c r="AR28" s="754"/>
      <c r="AS28" s="31"/>
      <c r="AT28" s="31"/>
    </row>
    <row r="29" spans="1:46" x14ac:dyDescent="0.2">
      <c r="H29" s="78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x14ac:dyDescent="0.2">
      <c r="H30" s="789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796" t="s">
        <v>644</v>
      </c>
      <c r="AQ30" s="797"/>
      <c r="AR30" s="797"/>
      <c r="AS30" s="798">
        <f>SUM(J27:AS27)</f>
        <v>9679062.3239999991</v>
      </c>
      <c r="AT30" s="32"/>
    </row>
    <row r="31" spans="1:46" x14ac:dyDescent="0.2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 x14ac:dyDescent="0.2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2:46" x14ac:dyDescent="0.2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2:46" x14ac:dyDescent="0.2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2:46" x14ac:dyDescent="0.2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</row>
    <row r="36" spans="12:46" x14ac:dyDescent="0.2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2:46" x14ac:dyDescent="0.2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</sheetData>
  <mergeCells count="13">
    <mergeCell ref="E2:F2"/>
    <mergeCell ref="J8:L8"/>
    <mergeCell ref="M8:O8"/>
    <mergeCell ref="P8:R8"/>
    <mergeCell ref="AQ8:AS8"/>
    <mergeCell ref="AE8:AG8"/>
    <mergeCell ref="AH8:AJ8"/>
    <mergeCell ref="AK8:AM8"/>
    <mergeCell ref="AN8:AP8"/>
    <mergeCell ref="S8:U8"/>
    <mergeCell ref="V8:X8"/>
    <mergeCell ref="Y8:AA8"/>
    <mergeCell ref="AB8:AD8"/>
  </mergeCells>
  <phoneticPr fontId="10" type="noConversion"/>
  <pageMargins left="0.25" right="0.25" top="0.5" bottom="0.5" header="0.25" footer="0.25"/>
  <pageSetup paperSize="5" scale="70" fitToWidth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3"/>
  <sheetViews>
    <sheetView topLeftCell="A2" workbookViewId="0">
      <selection activeCell="A11" sqref="A11"/>
    </sheetView>
  </sheetViews>
  <sheetFormatPr defaultRowHeight="12.75" x14ac:dyDescent="0.2"/>
  <cols>
    <col min="1" max="1" width="27.5703125" customWidth="1"/>
    <col min="2" max="3" width="9.85546875" customWidth="1"/>
    <col min="4" max="4" width="8.85546875" bestFit="1" customWidth="1"/>
    <col min="5" max="5" width="8.5703125" customWidth="1"/>
    <col min="6" max="6" width="9.85546875" bestFit="1" customWidth="1"/>
    <col min="7" max="7" width="8.85546875" bestFit="1" customWidth="1"/>
    <col min="8" max="8" width="6.7109375" customWidth="1"/>
    <col min="9" max="9" width="9.85546875" bestFit="1" customWidth="1"/>
    <col min="10" max="10" width="10.28515625" bestFit="1" customWidth="1"/>
    <col min="11" max="11" width="6.7109375" bestFit="1" customWidth="1"/>
    <col min="12" max="12" width="9.85546875" bestFit="1" customWidth="1"/>
    <col min="13" max="13" width="10.28515625" bestFit="1" customWidth="1"/>
    <col min="14" max="14" width="6" bestFit="1" customWidth="1"/>
    <col min="15" max="15" width="9.85546875" bestFit="1" customWidth="1"/>
    <col min="16" max="16" width="8.85546875" bestFit="1" customWidth="1"/>
    <col min="17" max="17" width="6" bestFit="1" customWidth="1"/>
    <col min="18" max="18" width="9.85546875" bestFit="1" customWidth="1"/>
    <col min="19" max="19" width="8.85546875" bestFit="1" customWidth="1"/>
    <col min="20" max="20" width="6" bestFit="1" customWidth="1"/>
    <col min="21" max="21" width="9.85546875" bestFit="1" customWidth="1"/>
    <col min="22" max="22" width="8.85546875" bestFit="1" customWidth="1"/>
    <col min="23" max="23" width="6" bestFit="1" customWidth="1"/>
    <col min="24" max="24" width="9.85546875" bestFit="1" customWidth="1"/>
    <col min="25" max="25" width="8.85546875" bestFit="1" customWidth="1"/>
    <col min="26" max="26" width="6" bestFit="1" customWidth="1"/>
    <col min="27" max="27" width="9.85546875" bestFit="1" customWidth="1"/>
    <col min="28" max="28" width="8.85546875" bestFit="1" customWidth="1"/>
    <col min="29" max="29" width="6" bestFit="1" customWidth="1"/>
    <col min="30" max="30" width="9.85546875" bestFit="1" customWidth="1"/>
    <col min="31" max="31" width="8.85546875" bestFit="1" customWidth="1"/>
    <col min="32" max="32" width="6" bestFit="1" customWidth="1"/>
    <col min="33" max="33" width="9.85546875" bestFit="1" customWidth="1"/>
    <col min="34" max="34" width="8.85546875" bestFit="1" customWidth="1"/>
    <col min="35" max="35" width="7.7109375" customWidth="1"/>
    <col min="36" max="36" width="9.85546875" bestFit="1" customWidth="1"/>
    <col min="37" max="37" width="8.85546875" bestFit="1" customWidth="1"/>
    <col min="38" max="38" width="7.42578125" customWidth="1"/>
    <col min="39" max="39" width="9.85546875" bestFit="1" customWidth="1"/>
    <col min="42" max="42" width="11.28515625" customWidth="1"/>
  </cols>
  <sheetData>
    <row r="1" spans="1:75" ht="15" x14ac:dyDescent="0.25">
      <c r="A1" s="34" t="s">
        <v>0</v>
      </c>
      <c r="D1" s="440">
        <v>2002</v>
      </c>
      <c r="E1">
        <v>2002</v>
      </c>
      <c r="F1">
        <v>2002</v>
      </c>
      <c r="G1">
        <v>2002</v>
      </c>
      <c r="H1">
        <v>2002</v>
      </c>
      <c r="I1" s="390">
        <v>2002</v>
      </c>
      <c r="J1">
        <v>2002</v>
      </c>
      <c r="K1">
        <v>2002</v>
      </c>
      <c r="L1" s="390">
        <v>2002</v>
      </c>
      <c r="M1">
        <v>2002</v>
      </c>
      <c r="N1">
        <v>2002</v>
      </c>
      <c r="O1">
        <v>2002</v>
      </c>
      <c r="P1" s="692">
        <v>2002</v>
      </c>
      <c r="Q1">
        <v>2002</v>
      </c>
      <c r="R1" s="390">
        <v>2002</v>
      </c>
      <c r="S1">
        <v>2002</v>
      </c>
      <c r="T1">
        <v>2002</v>
      </c>
      <c r="U1" s="390">
        <v>2002</v>
      </c>
      <c r="V1">
        <v>2002</v>
      </c>
      <c r="W1">
        <v>2002</v>
      </c>
      <c r="X1" s="390">
        <v>2002</v>
      </c>
      <c r="Y1">
        <v>2002</v>
      </c>
      <c r="Z1">
        <v>2002</v>
      </c>
      <c r="AA1" s="390">
        <v>2002</v>
      </c>
      <c r="AB1">
        <v>2002</v>
      </c>
      <c r="AC1">
        <v>2002</v>
      </c>
      <c r="AD1" s="390">
        <v>2002</v>
      </c>
      <c r="AE1">
        <v>2002</v>
      </c>
      <c r="AF1">
        <v>2002</v>
      </c>
      <c r="AG1" s="390">
        <v>2002</v>
      </c>
      <c r="AH1">
        <v>2002</v>
      </c>
      <c r="AI1">
        <v>2002</v>
      </c>
      <c r="AJ1" s="390">
        <v>2002</v>
      </c>
      <c r="AK1">
        <v>2002</v>
      </c>
      <c r="AL1">
        <v>2002</v>
      </c>
      <c r="AM1" s="390">
        <v>2002</v>
      </c>
      <c r="AN1">
        <v>2003</v>
      </c>
      <c r="AO1">
        <v>2003</v>
      </c>
      <c r="AP1" s="390">
        <v>2003</v>
      </c>
      <c r="AQ1">
        <v>2003</v>
      </c>
      <c r="AR1">
        <v>2003</v>
      </c>
      <c r="AS1" s="390">
        <v>2003</v>
      </c>
      <c r="AT1">
        <v>2003</v>
      </c>
      <c r="AU1">
        <v>2003</v>
      </c>
      <c r="AV1" s="390">
        <v>2003</v>
      </c>
      <c r="AW1">
        <v>2003</v>
      </c>
      <c r="AX1">
        <v>2003</v>
      </c>
      <c r="AY1" s="390">
        <v>2003</v>
      </c>
      <c r="AZ1">
        <v>2003</v>
      </c>
      <c r="BA1">
        <v>2003</v>
      </c>
      <c r="BB1" s="390">
        <v>2003</v>
      </c>
      <c r="BC1">
        <v>2003</v>
      </c>
      <c r="BD1">
        <v>2003</v>
      </c>
      <c r="BE1" s="390">
        <v>2003</v>
      </c>
      <c r="BF1">
        <v>2003</v>
      </c>
      <c r="BG1">
        <v>2003</v>
      </c>
      <c r="BH1" s="390">
        <v>2003</v>
      </c>
      <c r="BI1">
        <v>2003</v>
      </c>
      <c r="BJ1">
        <v>2003</v>
      </c>
      <c r="BK1" s="390">
        <v>2003</v>
      </c>
      <c r="BL1">
        <v>2003</v>
      </c>
      <c r="BM1">
        <v>2003</v>
      </c>
      <c r="BN1" s="390">
        <v>2003</v>
      </c>
      <c r="BO1">
        <v>2003</v>
      </c>
      <c r="BP1">
        <v>2003</v>
      </c>
      <c r="BQ1" s="390">
        <v>2003</v>
      </c>
      <c r="BR1">
        <v>2003</v>
      </c>
      <c r="BS1">
        <v>2003</v>
      </c>
      <c r="BT1" s="390">
        <v>2003</v>
      </c>
      <c r="BU1">
        <v>2003</v>
      </c>
      <c r="BV1">
        <v>2003</v>
      </c>
      <c r="BW1" s="390">
        <v>2003</v>
      </c>
    </row>
    <row r="2" spans="1:75" ht="15" x14ac:dyDescent="0.25">
      <c r="A2" s="119" t="s">
        <v>757</v>
      </c>
      <c r="D2" s="1112" t="s">
        <v>57</v>
      </c>
      <c r="E2" s="1113"/>
      <c r="F2" s="1114"/>
      <c r="G2" s="1112" t="s">
        <v>58</v>
      </c>
      <c r="H2" s="1113"/>
      <c r="I2" s="1114"/>
      <c r="J2" s="1109" t="s">
        <v>59</v>
      </c>
      <c r="K2" s="1106"/>
      <c r="L2" s="1111"/>
      <c r="M2" s="1109" t="s">
        <v>60</v>
      </c>
      <c r="N2" s="1110"/>
      <c r="O2" s="1111"/>
      <c r="P2" s="1109" t="s">
        <v>1</v>
      </c>
      <c r="Q2" s="1110"/>
      <c r="R2" s="1111"/>
      <c r="S2" s="1109" t="s">
        <v>61</v>
      </c>
      <c r="T2" s="1110"/>
      <c r="U2" s="1111"/>
      <c r="V2" s="1109" t="s">
        <v>62</v>
      </c>
      <c r="W2" s="1110"/>
      <c r="X2" s="1111"/>
      <c r="Y2" s="1109" t="s">
        <v>63</v>
      </c>
      <c r="Z2" s="1110"/>
      <c r="AA2" s="1111"/>
      <c r="AB2" s="1109" t="s">
        <v>64</v>
      </c>
      <c r="AC2" s="1110"/>
      <c r="AD2" s="1111"/>
      <c r="AE2" s="1109" t="s">
        <v>65</v>
      </c>
      <c r="AF2" s="1110"/>
      <c r="AG2" s="1111"/>
      <c r="AH2" s="1109" t="s">
        <v>66</v>
      </c>
      <c r="AI2" s="1110"/>
      <c r="AJ2" s="1111"/>
      <c r="AK2" s="1109" t="s">
        <v>67</v>
      </c>
      <c r="AL2" s="1110"/>
      <c r="AM2" s="1110"/>
      <c r="AN2" s="1112" t="s">
        <v>57</v>
      </c>
      <c r="AO2" s="1113"/>
      <c r="AP2" s="1114"/>
      <c r="AQ2" s="1112" t="s">
        <v>58</v>
      </c>
      <c r="AR2" s="1113"/>
      <c r="AS2" s="1114"/>
      <c r="AT2" s="1109" t="s">
        <v>59</v>
      </c>
      <c r="AU2" s="1106"/>
      <c r="AV2" s="1111"/>
      <c r="AW2" s="1109" t="s">
        <v>60</v>
      </c>
      <c r="AX2" s="1110"/>
      <c r="AY2" s="1111"/>
      <c r="AZ2" s="1109" t="s">
        <v>1</v>
      </c>
      <c r="BA2" s="1110"/>
      <c r="BB2" s="1111"/>
      <c r="BC2" s="1109" t="s">
        <v>61</v>
      </c>
      <c r="BD2" s="1110"/>
      <c r="BE2" s="1111"/>
      <c r="BF2" s="1109" t="s">
        <v>62</v>
      </c>
      <c r="BG2" s="1110"/>
      <c r="BH2" s="1111"/>
      <c r="BI2" s="1109" t="s">
        <v>63</v>
      </c>
      <c r="BJ2" s="1110"/>
      <c r="BK2" s="1111"/>
      <c r="BL2" s="1109" t="s">
        <v>64</v>
      </c>
      <c r="BM2" s="1110"/>
      <c r="BN2" s="1111"/>
      <c r="BO2" s="1109" t="s">
        <v>65</v>
      </c>
      <c r="BP2" s="1110"/>
      <c r="BQ2" s="1111"/>
      <c r="BR2" s="1109" t="s">
        <v>66</v>
      </c>
      <c r="BS2" s="1110"/>
      <c r="BT2" s="1111"/>
      <c r="BU2" s="1109" t="s">
        <v>67</v>
      </c>
      <c r="BV2" s="1110"/>
      <c r="BW2" s="1110"/>
    </row>
    <row r="3" spans="1:75" x14ac:dyDescent="0.2">
      <c r="C3" s="3" t="s">
        <v>753</v>
      </c>
      <c r="D3" s="441"/>
      <c r="E3" s="52"/>
      <c r="F3" s="675"/>
      <c r="G3" s="52"/>
      <c r="H3" s="52"/>
      <c r="I3" s="371"/>
      <c r="J3" s="52"/>
      <c r="K3" s="52"/>
      <c r="L3" s="371"/>
      <c r="M3" s="52"/>
      <c r="N3" s="52"/>
      <c r="O3" s="42"/>
      <c r="P3" s="165"/>
      <c r="Q3" s="52"/>
      <c r="R3" s="371"/>
      <c r="S3" s="52"/>
      <c r="T3" s="52"/>
      <c r="U3" s="394"/>
      <c r="V3" s="52"/>
      <c r="W3" s="52"/>
      <c r="X3" s="371"/>
      <c r="Y3" s="52"/>
      <c r="Z3" s="52"/>
      <c r="AA3" s="371"/>
      <c r="AB3" s="52"/>
      <c r="AC3" s="52"/>
      <c r="AD3" s="371"/>
      <c r="AE3" s="52"/>
      <c r="AF3" s="52"/>
      <c r="AG3" s="371"/>
      <c r="AH3" s="52"/>
      <c r="AI3" s="52"/>
      <c r="AJ3" s="371"/>
      <c r="AK3" s="52"/>
      <c r="AL3" s="52"/>
      <c r="AM3" s="371"/>
      <c r="AN3" s="52"/>
      <c r="AO3" s="52"/>
      <c r="AP3" s="371"/>
      <c r="AQ3" s="52"/>
      <c r="AR3" s="52"/>
      <c r="AS3" s="371"/>
      <c r="AT3" s="52"/>
      <c r="AU3" s="52"/>
      <c r="AV3" s="371"/>
      <c r="AW3" s="52"/>
      <c r="AX3" s="52"/>
      <c r="AY3" s="394"/>
      <c r="AZ3" s="52"/>
      <c r="BA3" s="52"/>
      <c r="BB3" s="371"/>
      <c r="BC3" s="52"/>
      <c r="BD3" s="52"/>
      <c r="BE3" s="394"/>
      <c r="BF3" s="52"/>
      <c r="BG3" s="52"/>
      <c r="BH3" s="371"/>
      <c r="BI3" s="52"/>
      <c r="BJ3" s="52"/>
      <c r="BK3" s="371"/>
      <c r="BL3" s="52"/>
      <c r="BM3" s="52"/>
      <c r="BN3" s="371"/>
      <c r="BO3" s="52"/>
      <c r="BP3" s="52"/>
      <c r="BQ3" s="371"/>
      <c r="BR3" s="52"/>
      <c r="BS3" s="52"/>
      <c r="BT3" s="371"/>
      <c r="BU3" s="52"/>
      <c r="BV3" s="52"/>
      <c r="BW3" s="371"/>
    </row>
    <row r="4" spans="1:75" ht="15" x14ac:dyDescent="0.25">
      <c r="A4" s="782">
        <f ca="1">NOW()</f>
        <v>41885.92788761574</v>
      </c>
      <c r="C4" s="53" t="s">
        <v>50</v>
      </c>
      <c r="D4" s="442" t="s">
        <v>71</v>
      </c>
      <c r="E4" s="54" t="s">
        <v>72</v>
      </c>
      <c r="F4" s="676" t="s">
        <v>10</v>
      </c>
      <c r="G4" s="54" t="s">
        <v>71</v>
      </c>
      <c r="H4" s="54" t="s">
        <v>72</v>
      </c>
      <c r="I4" s="391" t="s">
        <v>10</v>
      </c>
      <c r="J4" s="54" t="s">
        <v>71</v>
      </c>
      <c r="K4" s="54" t="s">
        <v>72</v>
      </c>
      <c r="L4" s="391" t="s">
        <v>10</v>
      </c>
      <c r="M4" s="54" t="s">
        <v>71</v>
      </c>
      <c r="N4" s="54" t="s">
        <v>72</v>
      </c>
      <c r="O4" s="53" t="s">
        <v>10</v>
      </c>
      <c r="P4" s="166" t="s">
        <v>71</v>
      </c>
      <c r="Q4" s="54" t="s">
        <v>72</v>
      </c>
      <c r="R4" s="391" t="s">
        <v>10</v>
      </c>
      <c r="S4" s="54" t="s">
        <v>71</v>
      </c>
      <c r="T4" s="54" t="s">
        <v>72</v>
      </c>
      <c r="U4" s="391" t="s">
        <v>10</v>
      </c>
      <c r="V4" s="54" t="s">
        <v>71</v>
      </c>
      <c r="W4" s="54" t="s">
        <v>72</v>
      </c>
      <c r="X4" s="391" t="s">
        <v>10</v>
      </c>
      <c r="Y4" s="54" t="s">
        <v>71</v>
      </c>
      <c r="Z4" s="54" t="s">
        <v>72</v>
      </c>
      <c r="AA4" s="391" t="s">
        <v>10</v>
      </c>
      <c r="AB4" s="54" t="s">
        <v>71</v>
      </c>
      <c r="AC4" s="54" t="s">
        <v>72</v>
      </c>
      <c r="AD4" s="391" t="s">
        <v>10</v>
      </c>
      <c r="AE4" s="54" t="s">
        <v>71</v>
      </c>
      <c r="AF4" s="54" t="s">
        <v>72</v>
      </c>
      <c r="AG4" s="391" t="s">
        <v>10</v>
      </c>
      <c r="AH4" s="54" t="s">
        <v>71</v>
      </c>
      <c r="AI4" s="54" t="s">
        <v>72</v>
      </c>
      <c r="AJ4" s="391" t="s">
        <v>10</v>
      </c>
      <c r="AK4" s="54" t="s">
        <v>71</v>
      </c>
      <c r="AL4" s="54" t="s">
        <v>72</v>
      </c>
      <c r="AM4" s="391" t="s">
        <v>10</v>
      </c>
      <c r="AN4" s="54" t="s">
        <v>71</v>
      </c>
      <c r="AO4" s="54" t="s">
        <v>72</v>
      </c>
      <c r="AP4" s="391" t="s">
        <v>10</v>
      </c>
      <c r="AQ4" s="54" t="s">
        <v>71</v>
      </c>
      <c r="AR4" s="54" t="s">
        <v>72</v>
      </c>
      <c r="AS4" s="391" t="s">
        <v>10</v>
      </c>
      <c r="AT4" s="54" t="s">
        <v>71</v>
      </c>
      <c r="AU4" s="54" t="s">
        <v>72</v>
      </c>
      <c r="AV4" s="391" t="s">
        <v>10</v>
      </c>
      <c r="AW4" s="54" t="s">
        <v>71</v>
      </c>
      <c r="AX4" s="54" t="s">
        <v>72</v>
      </c>
      <c r="AY4" s="391" t="s">
        <v>10</v>
      </c>
      <c r="AZ4" s="54" t="s">
        <v>71</v>
      </c>
      <c r="BA4" s="54" t="s">
        <v>72</v>
      </c>
      <c r="BB4" s="391" t="s">
        <v>10</v>
      </c>
      <c r="BC4" s="54" t="s">
        <v>71</v>
      </c>
      <c r="BD4" s="54" t="s">
        <v>72</v>
      </c>
      <c r="BE4" s="391" t="s">
        <v>10</v>
      </c>
      <c r="BF4" s="54" t="s">
        <v>71</v>
      </c>
      <c r="BG4" s="54" t="s">
        <v>72</v>
      </c>
      <c r="BH4" s="391" t="s">
        <v>10</v>
      </c>
      <c r="BI4" s="54" t="s">
        <v>71</v>
      </c>
      <c r="BJ4" s="54" t="s">
        <v>72</v>
      </c>
      <c r="BK4" s="391" t="s">
        <v>10</v>
      </c>
      <c r="BL4" s="54" t="s">
        <v>71</v>
      </c>
      <c r="BM4" s="54" t="s">
        <v>72</v>
      </c>
      <c r="BN4" s="391" t="s">
        <v>10</v>
      </c>
      <c r="BO4" s="54" t="s">
        <v>71</v>
      </c>
      <c r="BP4" s="54" t="s">
        <v>72</v>
      </c>
      <c r="BQ4" s="391" t="s">
        <v>10</v>
      </c>
      <c r="BR4" s="54" t="s">
        <v>71</v>
      </c>
      <c r="BS4" s="54" t="s">
        <v>72</v>
      </c>
      <c r="BT4" s="391" t="s">
        <v>10</v>
      </c>
      <c r="BU4" s="54" t="s">
        <v>71</v>
      </c>
      <c r="BV4" s="54" t="s">
        <v>72</v>
      </c>
      <c r="BW4" s="391" t="s">
        <v>10</v>
      </c>
    </row>
    <row r="5" spans="1:75" x14ac:dyDescent="0.2">
      <c r="C5" s="1" t="s">
        <v>758</v>
      </c>
      <c r="D5" s="983"/>
      <c r="F5" s="674"/>
      <c r="I5" s="390"/>
      <c r="L5" s="390"/>
      <c r="P5" s="692"/>
      <c r="R5" s="390"/>
      <c r="U5" s="390"/>
      <c r="X5" s="390"/>
      <c r="AA5" s="390"/>
      <c r="AD5" s="390"/>
      <c r="AG5" s="390"/>
      <c r="AJ5" s="390"/>
      <c r="AM5" s="390"/>
      <c r="AP5" s="390"/>
      <c r="AS5" s="390"/>
      <c r="AV5" s="390"/>
      <c r="AY5" s="390"/>
      <c r="BB5" s="390"/>
      <c r="BE5" s="390"/>
      <c r="BH5" s="390"/>
      <c r="BK5" s="390"/>
      <c r="BN5" s="390"/>
      <c r="BQ5" s="390"/>
      <c r="BT5" s="390"/>
      <c r="BW5" s="390"/>
    </row>
    <row r="6" spans="1:75" ht="13.5" customHeight="1" x14ac:dyDescent="0.25">
      <c r="A6" s="981"/>
      <c r="B6" s="982"/>
      <c r="C6" s="982"/>
      <c r="D6" s="983"/>
      <c r="F6" s="674"/>
      <c r="I6" s="390"/>
      <c r="L6" s="390"/>
      <c r="P6" s="692"/>
      <c r="R6" s="390"/>
      <c r="U6" s="390"/>
      <c r="X6" s="390"/>
      <c r="AA6" s="390"/>
      <c r="AD6" s="390"/>
      <c r="AG6" s="390"/>
      <c r="AJ6" s="390"/>
      <c r="AM6" s="390"/>
      <c r="AP6" s="390"/>
      <c r="AS6" s="390"/>
      <c r="AV6" s="390"/>
      <c r="AY6" s="390"/>
      <c r="BB6" s="390"/>
      <c r="BE6" s="390"/>
      <c r="BH6" s="390"/>
      <c r="BK6" s="390"/>
      <c r="BN6" s="390"/>
      <c r="BQ6" s="390"/>
      <c r="BT6" s="390"/>
      <c r="BW6" s="390"/>
    </row>
    <row r="7" spans="1:75" s="43" customFormat="1" x14ac:dyDescent="0.2">
      <c r="D7" s="984"/>
      <c r="F7" s="677"/>
      <c r="I7" s="392"/>
      <c r="L7" s="392"/>
      <c r="P7" s="434"/>
      <c r="R7" s="392"/>
      <c r="U7" s="392"/>
      <c r="X7" s="392"/>
      <c r="AA7" s="392"/>
      <c r="AD7" s="392"/>
      <c r="AG7" s="392"/>
      <c r="AJ7" s="392"/>
      <c r="AM7" s="392"/>
      <c r="AP7" s="392"/>
      <c r="AS7" s="392"/>
      <c r="AV7" s="392"/>
      <c r="AY7" s="392"/>
      <c r="BB7" s="392"/>
      <c r="BE7" s="392"/>
      <c r="BH7" s="392"/>
      <c r="BK7" s="392"/>
      <c r="BN7" s="392"/>
      <c r="BQ7" s="392"/>
      <c r="BT7" s="392"/>
      <c r="BW7" s="392"/>
    </row>
    <row r="8" spans="1:75" x14ac:dyDescent="0.2">
      <c r="A8" s="42" t="s">
        <v>56</v>
      </c>
      <c r="D8" s="983"/>
      <c r="F8" s="390">
        <v>31</v>
      </c>
      <c r="I8" s="390">
        <v>28</v>
      </c>
      <c r="L8" s="390">
        <v>31</v>
      </c>
      <c r="O8">
        <v>30</v>
      </c>
      <c r="P8" s="692"/>
      <c r="R8" s="390">
        <v>31</v>
      </c>
      <c r="U8" s="390">
        <v>30</v>
      </c>
      <c r="X8" s="390">
        <v>31</v>
      </c>
      <c r="AA8" s="390">
        <v>31</v>
      </c>
      <c r="AD8" s="390">
        <v>30</v>
      </c>
      <c r="AG8" s="390">
        <v>31</v>
      </c>
      <c r="AJ8" s="390">
        <v>30</v>
      </c>
      <c r="AM8" s="390">
        <v>31</v>
      </c>
      <c r="AP8" s="390">
        <v>31</v>
      </c>
      <c r="AS8" s="390">
        <v>28</v>
      </c>
      <c r="AV8" s="390">
        <v>31</v>
      </c>
      <c r="AY8" s="390">
        <v>30</v>
      </c>
      <c r="BB8" s="390">
        <v>31</v>
      </c>
      <c r="BE8" s="390">
        <v>30</v>
      </c>
      <c r="BH8" s="390">
        <v>31</v>
      </c>
      <c r="BK8" s="390">
        <v>31</v>
      </c>
      <c r="BN8" s="390">
        <v>30</v>
      </c>
      <c r="BQ8" s="390">
        <v>31</v>
      </c>
      <c r="BT8" s="390">
        <v>30</v>
      </c>
      <c r="BW8" s="390">
        <v>31</v>
      </c>
    </row>
    <row r="9" spans="1:75" x14ac:dyDescent="0.2">
      <c r="D9" s="983"/>
      <c r="F9" s="390"/>
      <c r="I9" s="390"/>
      <c r="L9" s="390"/>
      <c r="P9" s="11"/>
      <c r="R9" s="390"/>
      <c r="U9" s="390"/>
      <c r="X9" s="390"/>
      <c r="AA9" s="390"/>
      <c r="AD9" s="390"/>
      <c r="AG9" s="390"/>
      <c r="AJ9" s="390"/>
      <c r="AM9" s="390"/>
      <c r="AP9" s="390"/>
      <c r="AS9" s="390"/>
      <c r="AV9" s="390"/>
      <c r="AY9" s="390"/>
      <c r="BB9" s="390"/>
      <c r="BE9" s="390"/>
      <c r="BH9" s="390"/>
      <c r="BK9" s="390"/>
      <c r="BN9" s="390"/>
      <c r="BQ9" s="390"/>
      <c r="BT9" s="390"/>
      <c r="BW9" s="390"/>
    </row>
    <row r="10" spans="1:75" x14ac:dyDescent="0.2">
      <c r="C10" s="41"/>
      <c r="D10" s="983"/>
      <c r="F10" s="390"/>
      <c r="I10" s="390"/>
      <c r="L10" s="390"/>
      <c r="P10" s="11"/>
      <c r="R10" s="390"/>
      <c r="U10" s="390"/>
      <c r="X10" s="390"/>
      <c r="AA10" s="390"/>
      <c r="AD10" s="390"/>
      <c r="AG10" s="390"/>
      <c r="AJ10" s="390"/>
      <c r="AM10" s="390"/>
      <c r="AP10" s="390"/>
      <c r="AS10" s="390"/>
      <c r="AV10" s="390"/>
      <c r="AY10" s="390"/>
      <c r="BB10" s="390"/>
      <c r="BE10" s="390"/>
      <c r="BH10" s="390"/>
      <c r="BK10" s="390"/>
      <c r="BN10" s="390"/>
      <c r="BQ10" s="390"/>
      <c r="BT10" s="390"/>
      <c r="BW10" s="390"/>
    </row>
    <row r="11" spans="1:75" s="41" customFormat="1" x14ac:dyDescent="0.2">
      <c r="A11" s="41" t="s">
        <v>148</v>
      </c>
      <c r="B11" s="48" t="s">
        <v>77</v>
      </c>
      <c r="C11" s="51">
        <v>0.03</v>
      </c>
      <c r="D11" s="993">
        <v>35200</v>
      </c>
      <c r="E11" s="862">
        <f>0.03-$C11</f>
        <v>0</v>
      </c>
      <c r="F11" s="678">
        <f>D11*E11*F$8</f>
        <v>0</v>
      </c>
      <c r="G11" s="48">
        <v>23900</v>
      </c>
      <c r="H11" s="862">
        <f>0.03-$C11</f>
        <v>0</v>
      </c>
      <c r="I11" s="678">
        <f>G11*H11*I$8</f>
        <v>0</v>
      </c>
      <c r="J11" s="862">
        <v>26400</v>
      </c>
      <c r="K11" s="862">
        <f>0.03-$C11</f>
        <v>0</v>
      </c>
      <c r="L11" s="678">
        <f>J11*K11*L$8</f>
        <v>0</v>
      </c>
      <c r="M11" s="862">
        <v>23900</v>
      </c>
      <c r="N11" s="862">
        <f>0.03-$C11</f>
        <v>0</v>
      </c>
      <c r="O11" s="865">
        <f>M11*N11*O$8</f>
        <v>0</v>
      </c>
      <c r="P11" s="867">
        <v>20000</v>
      </c>
      <c r="Q11" s="862">
        <f>0.03-$C11</f>
        <v>0</v>
      </c>
      <c r="R11" s="678">
        <f>P11*Q11*R$8</f>
        <v>0</v>
      </c>
      <c r="S11" s="48">
        <v>23900</v>
      </c>
      <c r="T11" s="862">
        <f>0.03-$C11</f>
        <v>0</v>
      </c>
      <c r="U11" s="678">
        <f>S11*T11*U$8</f>
        <v>0</v>
      </c>
      <c r="V11" s="48">
        <v>22800</v>
      </c>
      <c r="W11" s="862">
        <f>0.03-$C11</f>
        <v>0</v>
      </c>
      <c r="X11" s="678">
        <f>V11*W11*X$8</f>
        <v>0</v>
      </c>
      <c r="Y11" s="48">
        <v>12200</v>
      </c>
      <c r="Z11" s="862">
        <f>0.03-$C11</f>
        <v>0</v>
      </c>
      <c r="AA11" s="678">
        <f>Y11*Z11*AA$8</f>
        <v>0</v>
      </c>
      <c r="AB11" s="48">
        <v>20200</v>
      </c>
      <c r="AC11" s="862">
        <f>0.03-$C11</f>
        <v>0</v>
      </c>
      <c r="AD11" s="678">
        <f>AB11*AC11*AD$8</f>
        <v>0</v>
      </c>
      <c r="AE11" s="48">
        <v>10600</v>
      </c>
      <c r="AF11" s="862">
        <f>0.03-$C11</f>
        <v>0</v>
      </c>
      <c r="AG11" s="678">
        <f>AE11*AF11*AG$8</f>
        <v>0</v>
      </c>
      <c r="AH11" s="48">
        <v>13800</v>
      </c>
      <c r="AI11" s="862">
        <f>0.03-$C11</f>
        <v>0</v>
      </c>
      <c r="AJ11" s="678">
        <f>AH11*AI11*AJ$8</f>
        <v>0</v>
      </c>
      <c r="AK11" s="48">
        <v>27300</v>
      </c>
      <c r="AL11" s="862">
        <f>0.03-$C11</f>
        <v>0</v>
      </c>
      <c r="AM11" s="678">
        <f>AK11*AL11*AM$8</f>
        <v>0</v>
      </c>
      <c r="AP11" s="33">
        <f>AM11+AJ11+AG11+AD11+AA11+X11+U11+R11+O11+L11+I11+F11</f>
        <v>0</v>
      </c>
      <c r="AS11" s="678">
        <f>AQ11*AR11*AS$8</f>
        <v>0</v>
      </c>
      <c r="AV11" s="678">
        <f>AT11*AU11*AV$8</f>
        <v>0</v>
      </c>
      <c r="AY11" s="678">
        <f>AW11*AX11*AY$8</f>
        <v>0</v>
      </c>
      <c r="BB11" s="678">
        <f>AZ11*BA11*BB$8</f>
        <v>0</v>
      </c>
      <c r="BE11" s="678">
        <f>BC11*BD11*BE$8</f>
        <v>0</v>
      </c>
      <c r="BH11" s="678">
        <f>BF11*BG11*BH$8</f>
        <v>0</v>
      </c>
      <c r="BK11" s="678">
        <f>BI11*BJ11*BK$8</f>
        <v>0</v>
      </c>
      <c r="BN11" s="678">
        <f>BL11*BM11*BN$8</f>
        <v>0</v>
      </c>
      <c r="BQ11" s="678">
        <f>BO11*BP11*BQ$8</f>
        <v>0</v>
      </c>
      <c r="BT11" s="678">
        <f>BR11*BS11*BT$8</f>
        <v>0</v>
      </c>
      <c r="BW11" s="678">
        <f>BU11*BV11*BW$8</f>
        <v>0</v>
      </c>
    </row>
    <row r="12" spans="1:75" s="41" customFormat="1" x14ac:dyDescent="0.2">
      <c r="A12" s="41" t="s">
        <v>149</v>
      </c>
      <c r="B12" s="48" t="s">
        <v>77</v>
      </c>
      <c r="C12" s="51">
        <v>0</v>
      </c>
      <c r="D12" s="979"/>
      <c r="E12" s="862"/>
      <c r="F12" s="678">
        <f t="shared" ref="F12:F28" si="0">D12*E12*F$8</f>
        <v>0</v>
      </c>
      <c r="G12" s="48"/>
      <c r="H12" s="862"/>
      <c r="I12" s="678">
        <f t="shared" ref="I12:I28" si="1">G12*H12*I$8</f>
        <v>0</v>
      </c>
      <c r="J12" s="862"/>
      <c r="K12" s="862"/>
      <c r="L12" s="678">
        <f t="shared" ref="L12:L28" si="2">J12*K12*L$8</f>
        <v>0</v>
      </c>
      <c r="M12" s="862"/>
      <c r="N12" s="862"/>
      <c r="O12" s="865">
        <f t="shared" ref="O12:O28" si="3">M12*N12*O$8</f>
        <v>0</v>
      </c>
      <c r="P12" s="867"/>
      <c r="Q12" s="862"/>
      <c r="R12" s="678">
        <f t="shared" ref="R12:R28" si="4">P12*Q12*R$8</f>
        <v>0</v>
      </c>
      <c r="S12" s="48"/>
      <c r="T12" s="862"/>
      <c r="U12" s="678">
        <f t="shared" ref="U12:U28" si="5">S12*T12*U$8</f>
        <v>0</v>
      </c>
      <c r="V12" s="48"/>
      <c r="W12" s="862"/>
      <c r="X12" s="678">
        <f t="shared" ref="X12:X28" si="6">V12*W12*X$8</f>
        <v>0</v>
      </c>
      <c r="Y12" s="48"/>
      <c r="Z12" s="862"/>
      <c r="AA12" s="678">
        <f t="shared" ref="AA12:AA28" si="7">Y12*Z12*AA$8</f>
        <v>0</v>
      </c>
      <c r="AB12" s="48"/>
      <c r="AC12" s="862"/>
      <c r="AD12" s="678">
        <f t="shared" ref="AD12:AD28" si="8">AB12*AC12*AD$8</f>
        <v>0</v>
      </c>
      <c r="AE12" s="48"/>
      <c r="AF12" s="862"/>
      <c r="AG12" s="678">
        <f t="shared" ref="AG12:AG28" si="9">AE12*AF12*AG$8</f>
        <v>0</v>
      </c>
      <c r="AH12" s="48"/>
      <c r="AI12" s="862"/>
      <c r="AJ12" s="678">
        <f t="shared" ref="AJ12:AJ28" si="10">AH12*AI12*AJ$8</f>
        <v>0</v>
      </c>
      <c r="AK12" s="48"/>
      <c r="AL12" s="862"/>
      <c r="AM12" s="678">
        <f t="shared" ref="AM12:AM28" si="11">AK12*AL12*AM$8</f>
        <v>0</v>
      </c>
      <c r="AP12" s="33">
        <f t="shared" ref="AP12:AP28" si="12">AM12+AJ12+AG12+AD12+AA12+X12+U12+R12+O12+L12+I12+F12</f>
        <v>0</v>
      </c>
      <c r="AS12" s="678">
        <f t="shared" ref="AS12:AS28" si="13">AQ12*AR12*AS$8</f>
        <v>0</v>
      </c>
      <c r="AV12" s="678">
        <f t="shared" ref="AV12:AV28" si="14">AT12*AU12*AV$8</f>
        <v>0</v>
      </c>
      <c r="AY12" s="678">
        <f t="shared" ref="AY12:AY28" si="15">AW12*AX12*AY$8</f>
        <v>0</v>
      </c>
      <c r="BB12" s="678">
        <f t="shared" ref="BB12:BB28" si="16">AZ12*BA12*BB$8</f>
        <v>0</v>
      </c>
      <c r="BE12" s="678">
        <f t="shared" ref="BE12:BE28" si="17">BC12*BD12*BE$8</f>
        <v>0</v>
      </c>
      <c r="BH12" s="678">
        <f t="shared" ref="BH12:BH28" si="18">BF12*BG12*BH$8</f>
        <v>0</v>
      </c>
      <c r="BK12" s="678">
        <f t="shared" ref="BK12:BK28" si="19">BI12*BJ12*BK$8</f>
        <v>0</v>
      </c>
      <c r="BN12" s="678">
        <f t="shared" ref="BN12:BN28" si="20">BL12*BM12*BN$8</f>
        <v>0</v>
      </c>
      <c r="BQ12" s="678">
        <f t="shared" ref="BQ12:BQ28" si="21">BO12*BP12*BQ$8</f>
        <v>0</v>
      </c>
      <c r="BT12" s="678">
        <f t="shared" ref="BT12:BT28" si="22">BR12*BS12*BT$8</f>
        <v>0</v>
      </c>
      <c r="BW12" s="678">
        <f t="shared" ref="BW12:BW28" si="23">BU12*BV12*BW$8</f>
        <v>0</v>
      </c>
    </row>
    <row r="13" spans="1:75" s="41" customFormat="1" x14ac:dyDescent="0.2">
      <c r="A13" s="41" t="s">
        <v>150</v>
      </c>
      <c r="B13" s="48" t="s">
        <v>77</v>
      </c>
      <c r="C13" s="51">
        <v>0.02</v>
      </c>
      <c r="D13" s="979">
        <v>1900</v>
      </c>
      <c r="E13" s="862">
        <f>0.02-$C13</f>
        <v>0</v>
      </c>
      <c r="F13" s="678">
        <f t="shared" si="0"/>
        <v>0</v>
      </c>
      <c r="G13" s="48">
        <v>1800</v>
      </c>
      <c r="H13" s="862">
        <f>0.02-$C13</f>
        <v>0</v>
      </c>
      <c r="I13" s="678">
        <f t="shared" si="1"/>
        <v>0</v>
      </c>
      <c r="J13" s="862">
        <v>2500</v>
      </c>
      <c r="K13" s="862">
        <f>0.02-$C13</f>
        <v>0</v>
      </c>
      <c r="L13" s="678">
        <f t="shared" si="2"/>
        <v>0</v>
      </c>
      <c r="M13" s="862">
        <v>8000</v>
      </c>
      <c r="N13" s="862">
        <f>0.02-$C13</f>
        <v>0</v>
      </c>
      <c r="O13" s="865">
        <f t="shared" si="3"/>
        <v>0</v>
      </c>
      <c r="P13" s="867">
        <v>7000</v>
      </c>
      <c r="Q13" s="862">
        <f>0.02-$C13</f>
        <v>0</v>
      </c>
      <c r="R13" s="678">
        <f t="shared" si="4"/>
        <v>0</v>
      </c>
      <c r="S13" s="48">
        <v>20600</v>
      </c>
      <c r="T13" s="862">
        <f>0.02-$C13</f>
        <v>0</v>
      </c>
      <c r="U13" s="678">
        <f t="shared" si="5"/>
        <v>0</v>
      </c>
      <c r="V13" s="48">
        <v>1900</v>
      </c>
      <c r="W13" s="862">
        <f>0.02-$C13</f>
        <v>0</v>
      </c>
      <c r="X13" s="678">
        <f t="shared" si="6"/>
        <v>0</v>
      </c>
      <c r="Y13" s="48">
        <v>1800</v>
      </c>
      <c r="Z13" s="862">
        <f>0.02-$C13</f>
        <v>0</v>
      </c>
      <c r="AA13" s="678">
        <f t="shared" si="7"/>
        <v>0</v>
      </c>
      <c r="AB13" s="48">
        <v>2500</v>
      </c>
      <c r="AC13" s="862">
        <f>0.02-$C13</f>
        <v>0</v>
      </c>
      <c r="AD13" s="678">
        <f t="shared" si="8"/>
        <v>0</v>
      </c>
      <c r="AE13" s="48">
        <v>8000</v>
      </c>
      <c r="AF13" s="862">
        <f>0.02-$C13</f>
        <v>0</v>
      </c>
      <c r="AG13" s="678">
        <f t="shared" si="9"/>
        <v>0</v>
      </c>
      <c r="AH13" s="48">
        <v>7000</v>
      </c>
      <c r="AI13" s="862">
        <f>0.02-$C13</f>
        <v>0</v>
      </c>
      <c r="AJ13" s="678">
        <f t="shared" si="10"/>
        <v>0</v>
      </c>
      <c r="AK13" s="48">
        <v>20600</v>
      </c>
      <c r="AL13" s="862">
        <f>0.02-$C13</f>
        <v>0</v>
      </c>
      <c r="AM13" s="678">
        <f t="shared" si="11"/>
        <v>0</v>
      </c>
      <c r="AN13" s="41">
        <v>0</v>
      </c>
      <c r="AO13" s="41">
        <v>0</v>
      </c>
      <c r="AP13" s="33">
        <f t="shared" si="12"/>
        <v>0</v>
      </c>
      <c r="AQ13" s="41">
        <v>0</v>
      </c>
      <c r="AR13" s="41">
        <v>0</v>
      </c>
      <c r="AS13" s="678">
        <f t="shared" si="13"/>
        <v>0</v>
      </c>
      <c r="AV13" s="678">
        <f t="shared" si="14"/>
        <v>0</v>
      </c>
      <c r="AY13" s="678">
        <f t="shared" si="15"/>
        <v>0</v>
      </c>
      <c r="BB13" s="678">
        <f t="shared" si="16"/>
        <v>0</v>
      </c>
      <c r="BE13" s="678">
        <f t="shared" si="17"/>
        <v>0</v>
      </c>
      <c r="BH13" s="678">
        <f t="shared" si="18"/>
        <v>0</v>
      </c>
      <c r="BK13" s="678">
        <f t="shared" si="19"/>
        <v>0</v>
      </c>
      <c r="BN13" s="678">
        <f t="shared" si="20"/>
        <v>0</v>
      </c>
      <c r="BQ13" s="678">
        <f t="shared" si="21"/>
        <v>0</v>
      </c>
      <c r="BT13" s="678">
        <f t="shared" si="22"/>
        <v>0</v>
      </c>
      <c r="BW13" s="678">
        <f t="shared" si="23"/>
        <v>0</v>
      </c>
    </row>
    <row r="14" spans="1:75" s="41" customFormat="1" x14ac:dyDescent="0.2">
      <c r="A14" s="41" t="s">
        <v>151</v>
      </c>
      <c r="B14" s="48" t="s">
        <v>77</v>
      </c>
      <c r="D14" s="979"/>
      <c r="E14" s="862"/>
      <c r="F14" s="678">
        <f t="shared" si="0"/>
        <v>0</v>
      </c>
      <c r="G14" s="48"/>
      <c r="H14" s="48"/>
      <c r="I14" s="678">
        <f t="shared" si="1"/>
        <v>0</v>
      </c>
      <c r="J14" s="862"/>
      <c r="K14" s="862"/>
      <c r="L14" s="678">
        <f t="shared" si="2"/>
        <v>0</v>
      </c>
      <c r="M14" s="862"/>
      <c r="N14" s="862"/>
      <c r="O14" s="865">
        <f t="shared" si="3"/>
        <v>0</v>
      </c>
      <c r="P14" s="867"/>
      <c r="Q14" s="868"/>
      <c r="R14" s="678">
        <f t="shared" si="4"/>
        <v>0</v>
      </c>
      <c r="S14" s="48"/>
      <c r="T14" s="48"/>
      <c r="U14" s="678">
        <f t="shared" si="5"/>
        <v>0</v>
      </c>
      <c r="V14" s="48"/>
      <c r="W14" s="48"/>
      <c r="X14" s="678">
        <f t="shared" si="6"/>
        <v>0</v>
      </c>
      <c r="Y14" s="48"/>
      <c r="Z14" s="48"/>
      <c r="AA14" s="678">
        <f t="shared" si="7"/>
        <v>0</v>
      </c>
      <c r="AB14" s="48"/>
      <c r="AC14" s="48"/>
      <c r="AD14" s="678">
        <f t="shared" si="8"/>
        <v>0</v>
      </c>
      <c r="AE14" s="48"/>
      <c r="AF14" s="48"/>
      <c r="AG14" s="678">
        <f t="shared" si="9"/>
        <v>0</v>
      </c>
      <c r="AH14" s="48"/>
      <c r="AI14" s="48"/>
      <c r="AJ14" s="678">
        <f t="shared" si="10"/>
        <v>0</v>
      </c>
      <c r="AK14" s="48"/>
      <c r="AL14" s="48"/>
      <c r="AM14" s="678">
        <f t="shared" si="11"/>
        <v>0</v>
      </c>
      <c r="AP14" s="33">
        <f t="shared" si="12"/>
        <v>0</v>
      </c>
      <c r="AS14" s="678">
        <f t="shared" si="13"/>
        <v>0</v>
      </c>
      <c r="AV14" s="678">
        <f t="shared" si="14"/>
        <v>0</v>
      </c>
      <c r="AY14" s="678">
        <f t="shared" si="15"/>
        <v>0</v>
      </c>
      <c r="BB14" s="678">
        <f t="shared" si="16"/>
        <v>0</v>
      </c>
      <c r="BE14" s="678">
        <f t="shared" si="17"/>
        <v>0</v>
      </c>
      <c r="BH14" s="678">
        <f t="shared" si="18"/>
        <v>0</v>
      </c>
      <c r="BK14" s="678">
        <f t="shared" si="19"/>
        <v>0</v>
      </c>
      <c r="BN14" s="678">
        <f t="shared" si="20"/>
        <v>0</v>
      </c>
      <c r="BQ14" s="678">
        <f t="shared" si="21"/>
        <v>0</v>
      </c>
      <c r="BT14" s="678">
        <f t="shared" si="22"/>
        <v>0</v>
      </c>
      <c r="BW14" s="678">
        <f t="shared" si="23"/>
        <v>0</v>
      </c>
    </row>
    <row r="15" spans="1:75" s="41" customFormat="1" x14ac:dyDescent="0.2">
      <c r="A15" s="41" t="s">
        <v>152</v>
      </c>
      <c r="B15" s="48" t="s">
        <v>77</v>
      </c>
      <c r="D15" s="979"/>
      <c r="E15" s="862"/>
      <c r="F15" s="678">
        <f t="shared" si="0"/>
        <v>0</v>
      </c>
      <c r="G15" s="48"/>
      <c r="H15" s="48"/>
      <c r="I15" s="678">
        <f t="shared" si="1"/>
        <v>0</v>
      </c>
      <c r="J15" s="862"/>
      <c r="K15" s="862"/>
      <c r="L15" s="678">
        <f t="shared" si="2"/>
        <v>0</v>
      </c>
      <c r="M15" s="862"/>
      <c r="N15" s="862"/>
      <c r="O15" s="865">
        <f t="shared" si="3"/>
        <v>0</v>
      </c>
      <c r="P15" s="867"/>
      <c r="Q15" s="868"/>
      <c r="R15" s="678">
        <f t="shared" si="4"/>
        <v>0</v>
      </c>
      <c r="S15" s="48"/>
      <c r="T15" s="48"/>
      <c r="U15" s="678">
        <f t="shared" si="5"/>
        <v>0</v>
      </c>
      <c r="V15" s="48"/>
      <c r="W15" s="48"/>
      <c r="X15" s="678">
        <f t="shared" si="6"/>
        <v>0</v>
      </c>
      <c r="Y15" s="48"/>
      <c r="Z15" s="48"/>
      <c r="AA15" s="678">
        <f t="shared" si="7"/>
        <v>0</v>
      </c>
      <c r="AB15" s="48"/>
      <c r="AC15" s="48"/>
      <c r="AD15" s="678">
        <f t="shared" si="8"/>
        <v>0</v>
      </c>
      <c r="AE15" s="48"/>
      <c r="AF15" s="48"/>
      <c r="AG15" s="678">
        <f t="shared" si="9"/>
        <v>0</v>
      </c>
      <c r="AH15" s="48"/>
      <c r="AI15" s="48"/>
      <c r="AJ15" s="678">
        <f t="shared" si="10"/>
        <v>0</v>
      </c>
      <c r="AK15" s="48"/>
      <c r="AL15" s="48"/>
      <c r="AM15" s="678">
        <f t="shared" si="11"/>
        <v>0</v>
      </c>
      <c r="AP15" s="33">
        <f t="shared" si="12"/>
        <v>0</v>
      </c>
      <c r="AS15" s="678">
        <f t="shared" si="13"/>
        <v>0</v>
      </c>
      <c r="AV15" s="678">
        <f t="shared" si="14"/>
        <v>0</v>
      </c>
      <c r="AY15" s="678">
        <f t="shared" si="15"/>
        <v>0</v>
      </c>
      <c r="BB15" s="678">
        <f t="shared" si="16"/>
        <v>0</v>
      </c>
      <c r="BE15" s="678">
        <f t="shared" si="17"/>
        <v>0</v>
      </c>
      <c r="BH15" s="678">
        <f t="shared" si="18"/>
        <v>0</v>
      </c>
      <c r="BK15" s="678">
        <f t="shared" si="19"/>
        <v>0</v>
      </c>
      <c r="BN15" s="678">
        <f t="shared" si="20"/>
        <v>0</v>
      </c>
      <c r="BQ15" s="678">
        <f t="shared" si="21"/>
        <v>0</v>
      </c>
      <c r="BT15" s="678">
        <f t="shared" si="22"/>
        <v>0</v>
      </c>
      <c r="BW15" s="678">
        <f t="shared" si="23"/>
        <v>0</v>
      </c>
    </row>
    <row r="16" spans="1:75" s="117" customFormat="1" x14ac:dyDescent="0.2">
      <c r="A16" s="117" t="s">
        <v>86</v>
      </c>
      <c r="B16" s="112"/>
      <c r="D16" s="980"/>
      <c r="E16" s="864"/>
      <c r="F16" s="727">
        <f>SUM(F11:F15)</f>
        <v>0</v>
      </c>
      <c r="G16" s="112"/>
      <c r="H16" s="112"/>
      <c r="I16" s="727">
        <f>SUM(I11:I15)</f>
        <v>0</v>
      </c>
      <c r="J16" s="864"/>
      <c r="K16" s="864"/>
      <c r="L16" s="727">
        <f>SUM(L11:L15)</f>
        <v>0</v>
      </c>
      <c r="M16" s="864"/>
      <c r="N16" s="864"/>
      <c r="O16" s="866">
        <f>SUM(O11:O15)</f>
        <v>0</v>
      </c>
      <c r="P16" s="869"/>
      <c r="Q16" s="870"/>
      <c r="R16" s="727">
        <f>SUM(R11:R15)</f>
        <v>0</v>
      </c>
      <c r="S16" s="112"/>
      <c r="T16" s="112"/>
      <c r="U16" s="727">
        <f>SUM(U11:U15)</f>
        <v>0</v>
      </c>
      <c r="V16" s="112"/>
      <c r="W16" s="112"/>
      <c r="X16" s="727">
        <f>SUM(X11:X15)</f>
        <v>0</v>
      </c>
      <c r="Y16" s="112"/>
      <c r="Z16" s="112"/>
      <c r="AA16" s="727">
        <f>SUM(AA11:AA15)</f>
        <v>0</v>
      </c>
      <c r="AB16" s="112"/>
      <c r="AC16" s="112"/>
      <c r="AD16" s="727">
        <f>SUM(AD11:AD15)</f>
        <v>0</v>
      </c>
      <c r="AE16" s="112"/>
      <c r="AF16" s="112"/>
      <c r="AG16" s="727">
        <f>SUM(AG11:AG15)</f>
        <v>0</v>
      </c>
      <c r="AH16" s="112"/>
      <c r="AI16" s="112"/>
      <c r="AJ16" s="727">
        <f>SUM(AJ11:AJ15)</f>
        <v>0</v>
      </c>
      <c r="AK16" s="112"/>
      <c r="AL16" s="112"/>
      <c r="AM16" s="727">
        <f>SUM(AM11:AM15)</f>
        <v>0</v>
      </c>
      <c r="AP16" s="33"/>
      <c r="AS16" s="727">
        <f>SUM(AS11:AS15)</f>
        <v>0</v>
      </c>
      <c r="AV16" s="727">
        <f>SUM(AV11:AV15)</f>
        <v>0</v>
      </c>
      <c r="AY16" s="727">
        <f>SUM(AY11:AY15)</f>
        <v>0</v>
      </c>
      <c r="BB16" s="727">
        <f>SUM(BB11:BB15)</f>
        <v>0</v>
      </c>
      <c r="BE16" s="727">
        <f>SUM(BE11:BE15)</f>
        <v>0</v>
      </c>
      <c r="BH16" s="727">
        <f>SUM(BH11:BH15)</f>
        <v>0</v>
      </c>
      <c r="BK16" s="727">
        <f>SUM(BK11:BK15)</f>
        <v>0</v>
      </c>
      <c r="BN16" s="727">
        <f>SUM(BN11:BN15)</f>
        <v>0</v>
      </c>
      <c r="BQ16" s="727">
        <f>SUM(BQ11:BQ15)</f>
        <v>0</v>
      </c>
      <c r="BT16" s="727">
        <f>SUM(BT11:BT15)</f>
        <v>0</v>
      </c>
      <c r="BW16" s="727">
        <f>SUM(BW11:BW15)</f>
        <v>0</v>
      </c>
    </row>
    <row r="17" spans="1:75" s="41" customFormat="1" x14ac:dyDescent="0.2">
      <c r="A17" s="41" t="s">
        <v>217</v>
      </c>
      <c r="B17" s="48" t="s">
        <v>77</v>
      </c>
      <c r="C17" s="41">
        <v>1.4999999999999999E-2</v>
      </c>
      <c r="D17" s="979">
        <v>129800</v>
      </c>
      <c r="E17" s="985">
        <f>0.015-$C17</f>
        <v>0</v>
      </c>
      <c r="F17" s="678">
        <f t="shared" si="0"/>
        <v>0</v>
      </c>
      <c r="G17" s="48">
        <v>53200</v>
      </c>
      <c r="H17" s="985">
        <f>0.015-$C17</f>
        <v>0</v>
      </c>
      <c r="I17" s="678">
        <f t="shared" si="1"/>
        <v>0</v>
      </c>
      <c r="J17" s="862">
        <v>55600</v>
      </c>
      <c r="K17" s="985">
        <f>0.015-$C17</f>
        <v>0</v>
      </c>
      <c r="L17" s="678">
        <f t="shared" si="2"/>
        <v>0</v>
      </c>
      <c r="M17" s="862">
        <v>85000</v>
      </c>
      <c r="N17" s="862">
        <v>0.01</v>
      </c>
      <c r="O17" s="865">
        <f t="shared" si="3"/>
        <v>25500</v>
      </c>
      <c r="P17" s="867">
        <v>116400</v>
      </c>
      <c r="Q17" s="862">
        <v>0.01</v>
      </c>
      <c r="R17" s="678">
        <f t="shared" si="4"/>
        <v>36084</v>
      </c>
      <c r="S17" s="48">
        <v>148000</v>
      </c>
      <c r="T17" s="862">
        <v>0.01</v>
      </c>
      <c r="U17" s="678">
        <f t="shared" si="5"/>
        <v>44400</v>
      </c>
      <c r="V17" s="48">
        <v>114000</v>
      </c>
      <c r="W17" s="862">
        <v>0.01</v>
      </c>
      <c r="X17" s="678">
        <f t="shared" si="6"/>
        <v>35340</v>
      </c>
      <c r="Y17" s="48">
        <v>107800</v>
      </c>
      <c r="Z17" s="862">
        <v>0.01</v>
      </c>
      <c r="AA17" s="678">
        <f t="shared" si="7"/>
        <v>33418</v>
      </c>
      <c r="AB17" s="48">
        <v>86000</v>
      </c>
      <c r="AC17" s="862">
        <v>0.01</v>
      </c>
      <c r="AD17" s="678">
        <f t="shared" si="8"/>
        <v>25800</v>
      </c>
      <c r="AE17" s="48">
        <v>26000</v>
      </c>
      <c r="AF17" s="862">
        <v>0.01</v>
      </c>
      <c r="AG17" s="678">
        <f t="shared" si="9"/>
        <v>8060</v>
      </c>
      <c r="AH17" s="48">
        <v>26000</v>
      </c>
      <c r="AI17" s="985">
        <f>0.015-$C17</f>
        <v>0</v>
      </c>
      <c r="AJ17" s="678">
        <f t="shared" si="10"/>
        <v>0</v>
      </c>
      <c r="AK17" s="48">
        <v>102100</v>
      </c>
      <c r="AL17" s="985">
        <f>0.015-$C17</f>
        <v>0</v>
      </c>
      <c r="AM17" s="678">
        <f t="shared" si="11"/>
        <v>0</v>
      </c>
      <c r="AP17" s="33">
        <f t="shared" si="12"/>
        <v>208602</v>
      </c>
      <c r="AS17" s="678">
        <f t="shared" si="13"/>
        <v>0</v>
      </c>
      <c r="AV17" s="678">
        <f t="shared" si="14"/>
        <v>0</v>
      </c>
      <c r="AY17" s="678">
        <f t="shared" si="15"/>
        <v>0</v>
      </c>
      <c r="BB17" s="678">
        <f t="shared" si="16"/>
        <v>0</v>
      </c>
      <c r="BE17" s="678">
        <f t="shared" si="17"/>
        <v>0</v>
      </c>
      <c r="BH17" s="678">
        <f t="shared" si="18"/>
        <v>0</v>
      </c>
      <c r="BK17" s="678">
        <f t="shared" si="19"/>
        <v>0</v>
      </c>
      <c r="BN17" s="678">
        <f t="shared" si="20"/>
        <v>0</v>
      </c>
      <c r="BQ17" s="678">
        <f t="shared" si="21"/>
        <v>0</v>
      </c>
      <c r="BT17" s="678">
        <f t="shared" si="22"/>
        <v>0</v>
      </c>
      <c r="BW17" s="678">
        <f t="shared" si="23"/>
        <v>0</v>
      </c>
    </row>
    <row r="18" spans="1:75" s="117" customFormat="1" x14ac:dyDescent="0.2">
      <c r="A18" s="117" t="s">
        <v>88</v>
      </c>
      <c r="B18" s="112"/>
      <c r="D18" s="980"/>
      <c r="E18" s="864"/>
      <c r="F18" s="727">
        <f>SUM(F17)</f>
        <v>0</v>
      </c>
      <c r="G18" s="112"/>
      <c r="H18" s="864"/>
      <c r="I18" s="727">
        <f>SUM(I17)</f>
        <v>0</v>
      </c>
      <c r="J18" s="864"/>
      <c r="K18" s="864"/>
      <c r="L18" s="727">
        <f>SUM(L17)</f>
        <v>0</v>
      </c>
      <c r="M18" s="864"/>
      <c r="N18" s="864"/>
      <c r="O18" s="866">
        <f>SUM(O17)</f>
        <v>25500</v>
      </c>
      <c r="P18" s="869"/>
      <c r="Q18" s="864"/>
      <c r="R18" s="727">
        <f>SUM(R17)</f>
        <v>36084</v>
      </c>
      <c r="S18" s="112"/>
      <c r="T18" s="864"/>
      <c r="U18" s="727">
        <f>SUM(U17)</f>
        <v>44400</v>
      </c>
      <c r="V18" s="112"/>
      <c r="W18" s="864"/>
      <c r="X18" s="727">
        <f>SUM(X17)</f>
        <v>35340</v>
      </c>
      <c r="Y18" s="112"/>
      <c r="Z18" s="864"/>
      <c r="AA18" s="727">
        <f>SUM(AA17)</f>
        <v>33418</v>
      </c>
      <c r="AB18" s="112"/>
      <c r="AC18" s="864"/>
      <c r="AD18" s="727">
        <f>SUM(AD17)</f>
        <v>25800</v>
      </c>
      <c r="AE18" s="112"/>
      <c r="AF18" s="864"/>
      <c r="AG18" s="727">
        <f>SUM(AG17)</f>
        <v>8060</v>
      </c>
      <c r="AH18" s="112"/>
      <c r="AI18" s="864"/>
      <c r="AJ18" s="727">
        <f>SUM(AJ17)</f>
        <v>0</v>
      </c>
      <c r="AK18" s="112"/>
      <c r="AL18" s="864"/>
      <c r="AM18" s="727">
        <f>SUM(AM17)</f>
        <v>0</v>
      </c>
      <c r="AP18" s="33"/>
      <c r="AS18" s="727">
        <f>SUM(AS17)</f>
        <v>0</v>
      </c>
      <c r="AV18" s="727">
        <f>SUM(AV17)</f>
        <v>0</v>
      </c>
      <c r="AY18" s="727">
        <f>SUM(AY17)</f>
        <v>0</v>
      </c>
      <c r="BB18" s="727">
        <f>SUM(BB17)</f>
        <v>0</v>
      </c>
      <c r="BE18" s="727">
        <f>SUM(BE17)</f>
        <v>0</v>
      </c>
      <c r="BH18" s="727">
        <f>SUM(BH17)</f>
        <v>0</v>
      </c>
      <c r="BK18" s="727">
        <f>SUM(BK17)</f>
        <v>0</v>
      </c>
      <c r="BN18" s="727">
        <f>SUM(BN17)</f>
        <v>0</v>
      </c>
      <c r="BQ18" s="727">
        <f>SUM(BQ17)</f>
        <v>0</v>
      </c>
      <c r="BT18" s="727">
        <f>SUM(BT17)</f>
        <v>0</v>
      </c>
      <c r="BW18" s="727">
        <f>SUM(BW17)</f>
        <v>0</v>
      </c>
    </row>
    <row r="19" spans="1:75" s="41" customFormat="1" x14ac:dyDescent="0.2">
      <c r="A19" s="41" t="s">
        <v>218</v>
      </c>
      <c r="B19" s="48" t="s">
        <v>77</v>
      </c>
      <c r="C19" s="41">
        <v>1.4999999999999999E-2</v>
      </c>
      <c r="D19" s="979">
        <v>8700</v>
      </c>
      <c r="E19" s="985">
        <f>0.015-$C19</f>
        <v>0</v>
      </c>
      <c r="F19" s="678">
        <f t="shared" si="0"/>
        <v>0</v>
      </c>
      <c r="G19" s="48">
        <v>6700</v>
      </c>
      <c r="H19" s="985">
        <f>0.015-$C19</f>
        <v>0</v>
      </c>
      <c r="I19" s="678">
        <f t="shared" si="1"/>
        <v>0</v>
      </c>
      <c r="J19" s="862">
        <v>14100</v>
      </c>
      <c r="K19" s="985">
        <f>0.015-$C19</f>
        <v>0</v>
      </c>
      <c r="L19" s="678">
        <f t="shared" si="2"/>
        <v>0</v>
      </c>
      <c r="M19" s="862">
        <v>12800</v>
      </c>
      <c r="N19" s="862">
        <f>0.025-$C19</f>
        <v>1.0000000000000002E-2</v>
      </c>
      <c r="O19" s="865">
        <f t="shared" si="3"/>
        <v>3840.0000000000009</v>
      </c>
      <c r="P19" s="867">
        <v>29400</v>
      </c>
      <c r="Q19" s="862">
        <f>0.025-$C19</f>
        <v>1.0000000000000002E-2</v>
      </c>
      <c r="R19" s="678">
        <f t="shared" si="4"/>
        <v>9114.0000000000018</v>
      </c>
      <c r="S19" s="48">
        <v>22700</v>
      </c>
      <c r="T19" s="862">
        <f>0.025-$C19</f>
        <v>1.0000000000000002E-2</v>
      </c>
      <c r="U19" s="678">
        <f t="shared" si="5"/>
        <v>6810.0000000000018</v>
      </c>
      <c r="V19" s="48">
        <v>5000</v>
      </c>
      <c r="W19" s="862">
        <f>0.025-$C19</f>
        <v>1.0000000000000002E-2</v>
      </c>
      <c r="X19" s="678">
        <f t="shared" si="6"/>
        <v>1550.0000000000002</v>
      </c>
      <c r="Y19" s="48">
        <v>7600</v>
      </c>
      <c r="Z19" s="862">
        <f>0.025-$C19</f>
        <v>1.0000000000000002E-2</v>
      </c>
      <c r="AA19" s="678">
        <f t="shared" si="7"/>
        <v>2356.0000000000005</v>
      </c>
      <c r="AB19" s="48">
        <v>7200</v>
      </c>
      <c r="AC19" s="862">
        <f>0.025-$C19</f>
        <v>1.0000000000000002E-2</v>
      </c>
      <c r="AD19" s="678">
        <f t="shared" si="8"/>
        <v>2160.0000000000005</v>
      </c>
      <c r="AE19" s="48">
        <v>43000</v>
      </c>
      <c r="AF19" s="862">
        <f>0.025-$C19</f>
        <v>1.0000000000000002E-2</v>
      </c>
      <c r="AG19" s="678">
        <f t="shared" si="9"/>
        <v>13330.000000000002</v>
      </c>
      <c r="AH19" s="48">
        <v>43000</v>
      </c>
      <c r="AI19" s="985">
        <f>0.015-$C19</f>
        <v>0</v>
      </c>
      <c r="AJ19" s="678">
        <f t="shared" si="10"/>
        <v>0</v>
      </c>
      <c r="AK19" s="48">
        <v>11700</v>
      </c>
      <c r="AL19" s="985">
        <f>0.015-$C19</f>
        <v>0</v>
      </c>
      <c r="AM19" s="678">
        <f t="shared" si="11"/>
        <v>0</v>
      </c>
      <c r="AP19" s="33">
        <f t="shared" si="12"/>
        <v>39160.000000000007</v>
      </c>
      <c r="AS19" s="678">
        <f t="shared" si="13"/>
        <v>0</v>
      </c>
      <c r="AV19" s="678">
        <f t="shared" si="14"/>
        <v>0</v>
      </c>
      <c r="AY19" s="678">
        <f t="shared" si="15"/>
        <v>0</v>
      </c>
      <c r="BB19" s="678">
        <f t="shared" si="16"/>
        <v>0</v>
      </c>
      <c r="BE19" s="678">
        <f t="shared" si="17"/>
        <v>0</v>
      </c>
      <c r="BH19" s="678">
        <f t="shared" si="18"/>
        <v>0</v>
      </c>
      <c r="BK19" s="678">
        <f t="shared" si="19"/>
        <v>0</v>
      </c>
      <c r="BN19" s="678">
        <f t="shared" si="20"/>
        <v>0</v>
      </c>
      <c r="BQ19" s="678">
        <f t="shared" si="21"/>
        <v>0</v>
      </c>
      <c r="BT19" s="678">
        <f t="shared" si="22"/>
        <v>0</v>
      </c>
      <c r="BW19" s="678">
        <f t="shared" si="23"/>
        <v>0</v>
      </c>
    </row>
    <row r="20" spans="1:75" s="117" customFormat="1" x14ac:dyDescent="0.2">
      <c r="A20" s="117" t="s">
        <v>90</v>
      </c>
      <c r="B20" s="112"/>
      <c r="C20" s="117">
        <v>0</v>
      </c>
      <c r="D20" s="980"/>
      <c r="E20" s="864"/>
      <c r="F20" s="727">
        <f>SUM(F19)</f>
        <v>0</v>
      </c>
      <c r="G20" s="112"/>
      <c r="H20" s="112"/>
      <c r="I20" s="727">
        <f>SUM(I19)</f>
        <v>0</v>
      </c>
      <c r="J20" s="864"/>
      <c r="K20" s="864"/>
      <c r="L20" s="727">
        <f>SUM(L19)</f>
        <v>0</v>
      </c>
      <c r="M20" s="864"/>
      <c r="N20" s="864"/>
      <c r="O20" s="866">
        <f>SUM(O19)</f>
        <v>3840.0000000000009</v>
      </c>
      <c r="P20" s="869"/>
      <c r="Q20" s="870"/>
      <c r="R20" s="727">
        <f>SUM(R19)</f>
        <v>9114.0000000000018</v>
      </c>
      <c r="S20" s="112"/>
      <c r="T20" s="112"/>
      <c r="U20" s="727">
        <f>SUM(U19)</f>
        <v>6810.0000000000018</v>
      </c>
      <c r="V20" s="112"/>
      <c r="W20" s="112"/>
      <c r="X20" s="727">
        <f>SUM(X19)</f>
        <v>1550.0000000000002</v>
      </c>
      <c r="Y20" s="112"/>
      <c r="Z20" s="112"/>
      <c r="AA20" s="727">
        <f>SUM(AA19)</f>
        <v>2356.0000000000005</v>
      </c>
      <c r="AB20" s="112"/>
      <c r="AC20" s="112"/>
      <c r="AD20" s="727">
        <f>SUM(AD19)</f>
        <v>2160.0000000000005</v>
      </c>
      <c r="AE20" s="112"/>
      <c r="AF20" s="112"/>
      <c r="AG20" s="727">
        <f>SUM(AG19)</f>
        <v>13330.000000000002</v>
      </c>
      <c r="AH20" s="112"/>
      <c r="AI20" s="112"/>
      <c r="AJ20" s="727">
        <f>SUM(AJ19)</f>
        <v>0</v>
      </c>
      <c r="AK20" s="112"/>
      <c r="AL20" s="112"/>
      <c r="AM20" s="727">
        <f>SUM(AM19)</f>
        <v>0</v>
      </c>
      <c r="AP20" s="33"/>
      <c r="AS20" s="727">
        <f>SUM(AS19)</f>
        <v>0</v>
      </c>
      <c r="AV20" s="727">
        <f>SUM(AV19)</f>
        <v>0</v>
      </c>
      <c r="AY20" s="727">
        <f>SUM(AY19)</f>
        <v>0</v>
      </c>
      <c r="BB20" s="727">
        <f>SUM(BB19)</f>
        <v>0</v>
      </c>
      <c r="BE20" s="727">
        <f>SUM(BE19)</f>
        <v>0</v>
      </c>
      <c r="BH20" s="727">
        <f>SUM(BH19)</f>
        <v>0</v>
      </c>
      <c r="BK20" s="727">
        <f>SUM(BK19)</f>
        <v>0</v>
      </c>
      <c r="BN20" s="727">
        <f>SUM(BN19)</f>
        <v>0</v>
      </c>
      <c r="BQ20" s="727">
        <f>SUM(BQ19)</f>
        <v>0</v>
      </c>
      <c r="BT20" s="727">
        <f>SUM(BT19)</f>
        <v>0</v>
      </c>
      <c r="BW20" s="727">
        <f>SUM(BW19)</f>
        <v>0</v>
      </c>
    </row>
    <row r="21" spans="1:75" s="41" customFormat="1" x14ac:dyDescent="0.2">
      <c r="A21" s="41" t="s">
        <v>153</v>
      </c>
      <c r="B21" s="48" t="s">
        <v>77</v>
      </c>
      <c r="C21" s="48"/>
      <c r="D21" s="979"/>
      <c r="E21" s="862"/>
      <c r="F21" s="678">
        <f t="shared" si="0"/>
        <v>0</v>
      </c>
      <c r="G21" s="112"/>
      <c r="H21" s="112"/>
      <c r="I21" s="678">
        <f t="shared" si="1"/>
        <v>0</v>
      </c>
      <c r="J21" s="862"/>
      <c r="K21" s="862"/>
      <c r="L21" s="678">
        <f t="shared" si="2"/>
        <v>0</v>
      </c>
      <c r="M21" s="862"/>
      <c r="N21" s="862"/>
      <c r="O21" s="865">
        <f t="shared" si="3"/>
        <v>0</v>
      </c>
      <c r="P21" s="867"/>
      <c r="Q21" s="868"/>
      <c r="R21" s="678">
        <f t="shared" si="4"/>
        <v>0</v>
      </c>
      <c r="S21" s="48"/>
      <c r="T21" s="48"/>
      <c r="U21" s="678">
        <f t="shared" si="5"/>
        <v>0</v>
      </c>
      <c r="V21" s="112"/>
      <c r="W21" s="112"/>
      <c r="X21" s="678">
        <f t="shared" si="6"/>
        <v>0</v>
      </c>
      <c r="Y21" s="48"/>
      <c r="Z21" s="48"/>
      <c r="AA21" s="678">
        <f t="shared" si="7"/>
        <v>0</v>
      </c>
      <c r="AB21" s="48"/>
      <c r="AC21" s="48"/>
      <c r="AD21" s="678">
        <f t="shared" si="8"/>
        <v>0</v>
      </c>
      <c r="AE21" s="48"/>
      <c r="AF21" s="48"/>
      <c r="AG21" s="678">
        <f t="shared" si="9"/>
        <v>0</v>
      </c>
      <c r="AH21" s="48"/>
      <c r="AI21" s="48"/>
      <c r="AJ21" s="678">
        <f t="shared" si="10"/>
        <v>0</v>
      </c>
      <c r="AK21" s="48"/>
      <c r="AL21" s="48"/>
      <c r="AM21" s="678">
        <f t="shared" si="11"/>
        <v>0</v>
      </c>
      <c r="AP21" s="33">
        <f t="shared" si="12"/>
        <v>0</v>
      </c>
      <c r="AS21" s="678">
        <f t="shared" si="13"/>
        <v>0</v>
      </c>
      <c r="AV21" s="678">
        <f t="shared" si="14"/>
        <v>0</v>
      </c>
      <c r="AY21" s="678">
        <f t="shared" si="15"/>
        <v>0</v>
      </c>
      <c r="BB21" s="678">
        <f t="shared" si="16"/>
        <v>0</v>
      </c>
      <c r="BE21" s="678">
        <f t="shared" si="17"/>
        <v>0</v>
      </c>
      <c r="BH21" s="678">
        <f t="shared" si="18"/>
        <v>0</v>
      </c>
      <c r="BK21" s="678">
        <f t="shared" si="19"/>
        <v>0</v>
      </c>
      <c r="BN21" s="678">
        <f t="shared" si="20"/>
        <v>0</v>
      </c>
      <c r="BQ21" s="678">
        <f t="shared" si="21"/>
        <v>0</v>
      </c>
      <c r="BT21" s="678">
        <f t="shared" si="22"/>
        <v>0</v>
      </c>
      <c r="BW21" s="678">
        <f t="shared" si="23"/>
        <v>0</v>
      </c>
    </row>
    <row r="22" spans="1:75" s="41" customFormat="1" x14ac:dyDescent="0.2">
      <c r="A22" s="41" t="s">
        <v>154</v>
      </c>
      <c r="B22" s="48" t="s">
        <v>77</v>
      </c>
      <c r="C22" s="48"/>
      <c r="D22" s="979"/>
      <c r="E22" s="862"/>
      <c r="F22" s="678">
        <f t="shared" si="0"/>
        <v>0</v>
      </c>
      <c r="G22" s="48"/>
      <c r="H22" s="48"/>
      <c r="I22" s="678">
        <f t="shared" si="1"/>
        <v>0</v>
      </c>
      <c r="J22" s="862"/>
      <c r="K22" s="862"/>
      <c r="L22" s="678">
        <f t="shared" si="2"/>
        <v>0</v>
      </c>
      <c r="M22" s="862"/>
      <c r="N22" s="862"/>
      <c r="O22" s="865">
        <f t="shared" si="3"/>
        <v>0</v>
      </c>
      <c r="P22" s="867"/>
      <c r="Q22" s="868"/>
      <c r="R22" s="678">
        <f t="shared" si="4"/>
        <v>0</v>
      </c>
      <c r="S22" s="48"/>
      <c r="T22" s="48"/>
      <c r="U22" s="678">
        <f t="shared" si="5"/>
        <v>0</v>
      </c>
      <c r="V22" s="48"/>
      <c r="W22" s="48"/>
      <c r="X22" s="678">
        <f t="shared" si="6"/>
        <v>0</v>
      </c>
      <c r="Y22" s="48"/>
      <c r="Z22" s="48"/>
      <c r="AA22" s="678">
        <f t="shared" si="7"/>
        <v>0</v>
      </c>
      <c r="AB22" s="48"/>
      <c r="AC22" s="48"/>
      <c r="AD22" s="678">
        <f t="shared" si="8"/>
        <v>0</v>
      </c>
      <c r="AE22" s="48"/>
      <c r="AF22" s="48"/>
      <c r="AG22" s="678">
        <f t="shared" si="9"/>
        <v>0</v>
      </c>
      <c r="AH22" s="48"/>
      <c r="AI22" s="48"/>
      <c r="AJ22" s="678">
        <f t="shared" si="10"/>
        <v>0</v>
      </c>
      <c r="AK22" s="48"/>
      <c r="AL22" s="48"/>
      <c r="AM22" s="678">
        <f t="shared" si="11"/>
        <v>0</v>
      </c>
      <c r="AP22" s="33">
        <f t="shared" si="12"/>
        <v>0</v>
      </c>
      <c r="AS22" s="678">
        <f t="shared" si="13"/>
        <v>0</v>
      </c>
      <c r="AV22" s="678">
        <f t="shared" si="14"/>
        <v>0</v>
      </c>
      <c r="AY22" s="678">
        <f t="shared" si="15"/>
        <v>0</v>
      </c>
      <c r="BB22" s="678">
        <f t="shared" si="16"/>
        <v>0</v>
      </c>
      <c r="BE22" s="678">
        <f t="shared" si="17"/>
        <v>0</v>
      </c>
      <c r="BH22" s="678">
        <f t="shared" si="18"/>
        <v>0</v>
      </c>
      <c r="BK22" s="678">
        <f t="shared" si="19"/>
        <v>0</v>
      </c>
      <c r="BN22" s="678">
        <f t="shared" si="20"/>
        <v>0</v>
      </c>
      <c r="BQ22" s="678">
        <f t="shared" si="21"/>
        <v>0</v>
      </c>
      <c r="BT22" s="678">
        <f t="shared" si="22"/>
        <v>0</v>
      </c>
      <c r="BW22" s="678">
        <f t="shared" si="23"/>
        <v>0</v>
      </c>
    </row>
    <row r="23" spans="1:75" s="117" customFormat="1" x14ac:dyDescent="0.2">
      <c r="A23" s="117" t="s">
        <v>129</v>
      </c>
      <c r="B23" s="112"/>
      <c r="C23" s="112"/>
      <c r="D23" s="980"/>
      <c r="E23" s="864"/>
      <c r="F23" s="727">
        <f>SUM(F21:F22)</f>
        <v>0</v>
      </c>
      <c r="G23" s="112"/>
      <c r="H23" s="112"/>
      <c r="I23" s="727">
        <f>SUM(I21:I22)</f>
        <v>0</v>
      </c>
      <c r="J23" s="864"/>
      <c r="K23" s="864"/>
      <c r="L23" s="727">
        <f>SUM(L21:L22)</f>
        <v>0</v>
      </c>
      <c r="M23" s="864"/>
      <c r="N23" s="864"/>
      <c r="O23" s="866">
        <f>SUM(O21:O22)</f>
        <v>0</v>
      </c>
      <c r="P23" s="869"/>
      <c r="Q23" s="870"/>
      <c r="R23" s="727">
        <f>SUM(R21:R22)</f>
        <v>0</v>
      </c>
      <c r="S23" s="112"/>
      <c r="T23" s="112"/>
      <c r="U23" s="727">
        <f>SUM(U21:U22)</f>
        <v>0</v>
      </c>
      <c r="V23" s="112"/>
      <c r="W23" s="112"/>
      <c r="X23" s="727">
        <f>SUM(X21:X22)</f>
        <v>0</v>
      </c>
      <c r="Y23" s="112"/>
      <c r="Z23" s="112"/>
      <c r="AA23" s="727">
        <f>SUM(AA21:AA22)</f>
        <v>0</v>
      </c>
      <c r="AB23" s="112"/>
      <c r="AC23" s="112"/>
      <c r="AD23" s="727">
        <f>SUM(AD21:AD22)</f>
        <v>0</v>
      </c>
      <c r="AE23" s="112"/>
      <c r="AF23" s="112"/>
      <c r="AG23" s="727">
        <f>SUM(AG21:AG22)</f>
        <v>0</v>
      </c>
      <c r="AH23" s="112"/>
      <c r="AI23" s="112"/>
      <c r="AJ23" s="727">
        <f>SUM(AJ21:AJ22)</f>
        <v>0</v>
      </c>
      <c r="AK23" s="112"/>
      <c r="AL23" s="112"/>
      <c r="AM23" s="727">
        <f>SUM(AM21:AM22)</f>
        <v>0</v>
      </c>
      <c r="AP23" s="33"/>
      <c r="AS23" s="727">
        <f>SUM(AS21:AS22)</f>
        <v>0</v>
      </c>
      <c r="AV23" s="727">
        <f>SUM(AV21:AV22)</f>
        <v>0</v>
      </c>
      <c r="AY23" s="727">
        <f>SUM(AY21:AY22)</f>
        <v>0</v>
      </c>
      <c r="BB23" s="727">
        <f>SUM(BB21:BB22)</f>
        <v>0</v>
      </c>
      <c r="BE23" s="727">
        <f>SUM(BE21:BE22)</f>
        <v>0</v>
      </c>
      <c r="BH23" s="727">
        <f>SUM(BH21:BH22)</f>
        <v>0</v>
      </c>
      <c r="BK23" s="727">
        <f>SUM(BK21:BK22)</f>
        <v>0</v>
      </c>
      <c r="BN23" s="727">
        <f>SUM(BN21:BN22)</f>
        <v>0</v>
      </c>
      <c r="BQ23" s="727">
        <f>SUM(BQ21:BQ22)</f>
        <v>0</v>
      </c>
      <c r="BT23" s="727">
        <f>SUM(BT21:BT22)</f>
        <v>0</v>
      </c>
      <c r="BW23" s="727">
        <f>SUM(BW21:BW22)</f>
        <v>0</v>
      </c>
    </row>
    <row r="24" spans="1:75" s="41" customFormat="1" x14ac:dyDescent="0.2">
      <c r="A24" s="41" t="s">
        <v>155</v>
      </c>
      <c r="B24" s="48" t="s">
        <v>77</v>
      </c>
      <c r="C24" s="48"/>
      <c r="D24" s="979"/>
      <c r="E24" s="862"/>
      <c r="F24" s="678">
        <f t="shared" si="0"/>
        <v>0</v>
      </c>
      <c r="G24" s="48"/>
      <c r="H24" s="48"/>
      <c r="I24" s="678">
        <f t="shared" si="1"/>
        <v>0</v>
      </c>
      <c r="J24" s="862"/>
      <c r="K24" s="862"/>
      <c r="L24" s="678">
        <f t="shared" si="2"/>
        <v>0</v>
      </c>
      <c r="M24" s="862"/>
      <c r="N24" s="862"/>
      <c r="O24" s="865">
        <f t="shared" si="3"/>
        <v>0</v>
      </c>
      <c r="P24" s="867"/>
      <c r="Q24" s="868"/>
      <c r="R24" s="678">
        <f t="shared" si="4"/>
        <v>0</v>
      </c>
      <c r="S24" s="48"/>
      <c r="T24" s="48"/>
      <c r="U24" s="678">
        <f t="shared" si="5"/>
        <v>0</v>
      </c>
      <c r="V24" s="48"/>
      <c r="W24" s="48"/>
      <c r="X24" s="678">
        <f t="shared" si="6"/>
        <v>0</v>
      </c>
      <c r="Y24" s="48"/>
      <c r="Z24" s="48"/>
      <c r="AA24" s="678">
        <f t="shared" si="7"/>
        <v>0</v>
      </c>
      <c r="AB24" s="48"/>
      <c r="AC24" s="48"/>
      <c r="AD24" s="678">
        <f t="shared" si="8"/>
        <v>0</v>
      </c>
      <c r="AE24" s="48"/>
      <c r="AF24" s="48"/>
      <c r="AG24" s="678">
        <f t="shared" si="9"/>
        <v>0</v>
      </c>
      <c r="AH24" s="48"/>
      <c r="AI24" s="48"/>
      <c r="AJ24" s="678">
        <f t="shared" si="10"/>
        <v>0</v>
      </c>
      <c r="AK24" s="48"/>
      <c r="AL24" s="48"/>
      <c r="AM24" s="678">
        <f t="shared" si="11"/>
        <v>0</v>
      </c>
      <c r="AP24" s="33">
        <f t="shared" si="12"/>
        <v>0</v>
      </c>
      <c r="AS24" s="678">
        <f t="shared" si="13"/>
        <v>0</v>
      </c>
      <c r="AV24" s="678">
        <f t="shared" si="14"/>
        <v>0</v>
      </c>
      <c r="AY24" s="678">
        <f t="shared" si="15"/>
        <v>0</v>
      </c>
      <c r="BB24" s="678">
        <f t="shared" si="16"/>
        <v>0</v>
      </c>
      <c r="BE24" s="678">
        <f t="shared" si="17"/>
        <v>0</v>
      </c>
      <c r="BH24" s="678">
        <f t="shared" si="18"/>
        <v>0</v>
      </c>
      <c r="BK24" s="678">
        <f t="shared" si="19"/>
        <v>0</v>
      </c>
      <c r="BN24" s="678">
        <f t="shared" si="20"/>
        <v>0</v>
      </c>
      <c r="BQ24" s="678">
        <f t="shared" si="21"/>
        <v>0</v>
      </c>
      <c r="BT24" s="678">
        <f t="shared" si="22"/>
        <v>0</v>
      </c>
      <c r="BW24" s="678">
        <f t="shared" si="23"/>
        <v>0</v>
      </c>
    </row>
    <row r="25" spans="1:75" s="41" customFormat="1" x14ac:dyDescent="0.2">
      <c r="A25" s="41" t="s">
        <v>156</v>
      </c>
      <c r="B25" s="48" t="s">
        <v>77</v>
      </c>
      <c r="C25" s="48"/>
      <c r="D25" s="979"/>
      <c r="E25" s="862"/>
      <c r="F25" s="678">
        <f t="shared" si="0"/>
        <v>0</v>
      </c>
      <c r="G25" s="48"/>
      <c r="H25" s="48"/>
      <c r="I25" s="678">
        <f t="shared" si="1"/>
        <v>0</v>
      </c>
      <c r="J25" s="862"/>
      <c r="K25" s="862"/>
      <c r="L25" s="678">
        <f t="shared" si="2"/>
        <v>0</v>
      </c>
      <c r="M25" s="862"/>
      <c r="N25" s="862"/>
      <c r="O25" s="865">
        <f t="shared" si="3"/>
        <v>0</v>
      </c>
      <c r="P25" s="867"/>
      <c r="Q25" s="868"/>
      <c r="R25" s="678">
        <f t="shared" si="4"/>
        <v>0</v>
      </c>
      <c r="S25" s="48"/>
      <c r="T25" s="48"/>
      <c r="U25" s="678">
        <f t="shared" si="5"/>
        <v>0</v>
      </c>
      <c r="V25" s="48"/>
      <c r="W25" s="48"/>
      <c r="X25" s="678">
        <f t="shared" si="6"/>
        <v>0</v>
      </c>
      <c r="Y25" s="48"/>
      <c r="Z25" s="48"/>
      <c r="AA25" s="678">
        <f t="shared" si="7"/>
        <v>0</v>
      </c>
      <c r="AB25" s="48"/>
      <c r="AC25" s="48"/>
      <c r="AD25" s="678">
        <f t="shared" si="8"/>
        <v>0</v>
      </c>
      <c r="AE25" s="48"/>
      <c r="AF25" s="48"/>
      <c r="AG25" s="678">
        <f t="shared" si="9"/>
        <v>0</v>
      </c>
      <c r="AH25" s="48"/>
      <c r="AI25" s="48"/>
      <c r="AJ25" s="678">
        <f t="shared" si="10"/>
        <v>0</v>
      </c>
      <c r="AK25" s="48"/>
      <c r="AL25" s="48"/>
      <c r="AM25" s="678">
        <f t="shared" si="11"/>
        <v>0</v>
      </c>
      <c r="AP25" s="33">
        <f t="shared" si="12"/>
        <v>0</v>
      </c>
      <c r="AS25" s="678">
        <f t="shared" si="13"/>
        <v>0</v>
      </c>
      <c r="AV25" s="678">
        <f t="shared" si="14"/>
        <v>0</v>
      </c>
      <c r="AY25" s="678">
        <f t="shared" si="15"/>
        <v>0</v>
      </c>
      <c r="BB25" s="678">
        <f t="shared" si="16"/>
        <v>0</v>
      </c>
      <c r="BE25" s="678">
        <f t="shared" si="17"/>
        <v>0</v>
      </c>
      <c r="BH25" s="678">
        <f t="shared" si="18"/>
        <v>0</v>
      </c>
      <c r="BK25" s="678">
        <f t="shared" si="19"/>
        <v>0</v>
      </c>
      <c r="BN25" s="678">
        <f t="shared" si="20"/>
        <v>0</v>
      </c>
      <c r="BQ25" s="678">
        <f t="shared" si="21"/>
        <v>0</v>
      </c>
      <c r="BT25" s="678">
        <f t="shared" si="22"/>
        <v>0</v>
      </c>
      <c r="BW25" s="678">
        <f t="shared" si="23"/>
        <v>0</v>
      </c>
    </row>
    <row r="26" spans="1:75" s="41" customFormat="1" x14ac:dyDescent="0.2">
      <c r="A26" s="41" t="s">
        <v>157</v>
      </c>
      <c r="B26" s="48" t="s">
        <v>77</v>
      </c>
      <c r="C26" s="48"/>
      <c r="D26" s="979"/>
      <c r="E26" s="862"/>
      <c r="F26" s="678">
        <f t="shared" si="0"/>
        <v>0</v>
      </c>
      <c r="G26" s="48"/>
      <c r="H26" s="48"/>
      <c r="I26" s="678">
        <f t="shared" si="1"/>
        <v>0</v>
      </c>
      <c r="J26" s="862"/>
      <c r="K26" s="862"/>
      <c r="L26" s="678">
        <f t="shared" si="2"/>
        <v>0</v>
      </c>
      <c r="M26" s="862"/>
      <c r="N26" s="862"/>
      <c r="O26" s="865">
        <f t="shared" si="3"/>
        <v>0</v>
      </c>
      <c r="P26" s="867"/>
      <c r="Q26" s="868"/>
      <c r="R26" s="678">
        <f t="shared" si="4"/>
        <v>0</v>
      </c>
      <c r="S26" s="48"/>
      <c r="T26" s="48"/>
      <c r="U26" s="678">
        <f t="shared" si="5"/>
        <v>0</v>
      </c>
      <c r="V26" s="48"/>
      <c r="W26" s="48"/>
      <c r="X26" s="678">
        <f t="shared" si="6"/>
        <v>0</v>
      </c>
      <c r="Y26" s="48"/>
      <c r="Z26" s="48"/>
      <c r="AA26" s="678">
        <f t="shared" si="7"/>
        <v>0</v>
      </c>
      <c r="AB26" s="48"/>
      <c r="AC26" s="48"/>
      <c r="AD26" s="678">
        <f t="shared" si="8"/>
        <v>0</v>
      </c>
      <c r="AE26" s="48"/>
      <c r="AF26" s="48"/>
      <c r="AG26" s="678">
        <f t="shared" si="9"/>
        <v>0</v>
      </c>
      <c r="AH26" s="48"/>
      <c r="AI26" s="48"/>
      <c r="AJ26" s="678">
        <f t="shared" si="10"/>
        <v>0</v>
      </c>
      <c r="AK26" s="48"/>
      <c r="AL26" s="48"/>
      <c r="AM26" s="678">
        <f t="shared" si="11"/>
        <v>0</v>
      </c>
      <c r="AP26" s="33">
        <f t="shared" si="12"/>
        <v>0</v>
      </c>
      <c r="AS26" s="678">
        <f t="shared" si="13"/>
        <v>0</v>
      </c>
      <c r="AV26" s="678">
        <f t="shared" si="14"/>
        <v>0</v>
      </c>
      <c r="AY26" s="678">
        <f t="shared" si="15"/>
        <v>0</v>
      </c>
      <c r="BB26" s="678">
        <f t="shared" si="16"/>
        <v>0</v>
      </c>
      <c r="BE26" s="678">
        <f t="shared" si="17"/>
        <v>0</v>
      </c>
      <c r="BH26" s="678">
        <f t="shared" si="18"/>
        <v>0</v>
      </c>
      <c r="BK26" s="678">
        <f t="shared" si="19"/>
        <v>0</v>
      </c>
      <c r="BN26" s="678">
        <f t="shared" si="20"/>
        <v>0</v>
      </c>
      <c r="BQ26" s="678">
        <f t="shared" si="21"/>
        <v>0</v>
      </c>
      <c r="BT26" s="678">
        <f t="shared" si="22"/>
        <v>0</v>
      </c>
      <c r="BW26" s="678">
        <f t="shared" si="23"/>
        <v>0</v>
      </c>
    </row>
    <row r="27" spans="1:75" s="41" customFormat="1" x14ac:dyDescent="0.2">
      <c r="A27" s="41" t="s">
        <v>158</v>
      </c>
      <c r="B27" s="48" t="s">
        <v>77</v>
      </c>
      <c r="C27" s="48"/>
      <c r="D27" s="979"/>
      <c r="E27" s="862"/>
      <c r="F27" s="678">
        <f t="shared" si="0"/>
        <v>0</v>
      </c>
      <c r="G27" s="48"/>
      <c r="H27" s="48"/>
      <c r="I27" s="678">
        <f t="shared" si="1"/>
        <v>0</v>
      </c>
      <c r="J27" s="862"/>
      <c r="K27" s="862"/>
      <c r="L27" s="678">
        <f t="shared" si="2"/>
        <v>0</v>
      </c>
      <c r="M27" s="862"/>
      <c r="N27" s="862"/>
      <c r="O27" s="865">
        <f t="shared" si="3"/>
        <v>0</v>
      </c>
      <c r="P27" s="867"/>
      <c r="Q27" s="868"/>
      <c r="R27" s="678">
        <f t="shared" si="4"/>
        <v>0</v>
      </c>
      <c r="S27" s="48"/>
      <c r="T27" s="48"/>
      <c r="U27" s="678">
        <f t="shared" si="5"/>
        <v>0</v>
      </c>
      <c r="V27" s="48"/>
      <c r="W27" s="48"/>
      <c r="X27" s="678">
        <f t="shared" si="6"/>
        <v>0</v>
      </c>
      <c r="Y27" s="48"/>
      <c r="Z27" s="48"/>
      <c r="AA27" s="678">
        <f t="shared" si="7"/>
        <v>0</v>
      </c>
      <c r="AB27" s="48"/>
      <c r="AC27" s="48"/>
      <c r="AD27" s="678">
        <f t="shared" si="8"/>
        <v>0</v>
      </c>
      <c r="AE27" s="48"/>
      <c r="AF27" s="48"/>
      <c r="AG27" s="678">
        <f t="shared" si="9"/>
        <v>0</v>
      </c>
      <c r="AH27" s="48"/>
      <c r="AI27" s="48"/>
      <c r="AJ27" s="678">
        <f t="shared" si="10"/>
        <v>0</v>
      </c>
      <c r="AK27" s="48"/>
      <c r="AL27" s="48"/>
      <c r="AM27" s="678">
        <f t="shared" si="11"/>
        <v>0</v>
      </c>
      <c r="AP27" s="33">
        <f t="shared" si="12"/>
        <v>0</v>
      </c>
      <c r="AS27" s="678">
        <f t="shared" si="13"/>
        <v>0</v>
      </c>
      <c r="AV27" s="678">
        <f t="shared" si="14"/>
        <v>0</v>
      </c>
      <c r="AY27" s="678">
        <f t="shared" si="15"/>
        <v>0</v>
      </c>
      <c r="BB27" s="678">
        <f t="shared" si="16"/>
        <v>0</v>
      </c>
      <c r="BE27" s="678">
        <f t="shared" si="17"/>
        <v>0</v>
      </c>
      <c r="BH27" s="678">
        <f t="shared" si="18"/>
        <v>0</v>
      </c>
      <c r="BK27" s="678">
        <f t="shared" si="19"/>
        <v>0</v>
      </c>
      <c r="BN27" s="678">
        <f t="shared" si="20"/>
        <v>0</v>
      </c>
      <c r="BQ27" s="678">
        <f t="shared" si="21"/>
        <v>0</v>
      </c>
      <c r="BT27" s="678">
        <f t="shared" si="22"/>
        <v>0</v>
      </c>
      <c r="BW27" s="678">
        <f t="shared" si="23"/>
        <v>0</v>
      </c>
    </row>
    <row r="28" spans="1:75" s="41" customFormat="1" x14ac:dyDescent="0.2">
      <c r="A28" s="41" t="s">
        <v>159</v>
      </c>
      <c r="B28" s="48" t="s">
        <v>77</v>
      </c>
      <c r="C28" s="48"/>
      <c r="D28" s="979"/>
      <c r="E28" s="862"/>
      <c r="F28" s="678">
        <f t="shared" si="0"/>
        <v>0</v>
      </c>
      <c r="G28" s="48"/>
      <c r="H28" s="48"/>
      <c r="I28" s="678">
        <f t="shared" si="1"/>
        <v>0</v>
      </c>
      <c r="J28" s="862"/>
      <c r="K28" s="862"/>
      <c r="L28" s="678">
        <f t="shared" si="2"/>
        <v>0</v>
      </c>
      <c r="M28" s="862"/>
      <c r="N28" s="862"/>
      <c r="O28" s="865">
        <f t="shared" si="3"/>
        <v>0</v>
      </c>
      <c r="P28" s="867"/>
      <c r="Q28" s="868"/>
      <c r="R28" s="678">
        <f t="shared" si="4"/>
        <v>0</v>
      </c>
      <c r="S28" s="48"/>
      <c r="T28" s="48"/>
      <c r="U28" s="678">
        <f t="shared" si="5"/>
        <v>0</v>
      </c>
      <c r="V28" s="48"/>
      <c r="W28" s="861"/>
      <c r="X28" s="678">
        <f t="shared" si="6"/>
        <v>0</v>
      </c>
      <c r="Y28" s="48"/>
      <c r="Z28" s="48"/>
      <c r="AA28" s="678">
        <f t="shared" si="7"/>
        <v>0</v>
      </c>
      <c r="AB28" s="48"/>
      <c r="AC28" s="48"/>
      <c r="AD28" s="678">
        <f t="shared" si="8"/>
        <v>0</v>
      </c>
      <c r="AE28" s="48"/>
      <c r="AF28" s="48"/>
      <c r="AG28" s="678">
        <f t="shared" si="9"/>
        <v>0</v>
      </c>
      <c r="AH28" s="48"/>
      <c r="AI28" s="48"/>
      <c r="AJ28" s="678">
        <f t="shared" si="10"/>
        <v>0</v>
      </c>
      <c r="AK28" s="48"/>
      <c r="AL28" s="48"/>
      <c r="AM28" s="678">
        <f t="shared" si="11"/>
        <v>0</v>
      </c>
      <c r="AP28" s="33">
        <f t="shared" si="12"/>
        <v>0</v>
      </c>
      <c r="AS28" s="678">
        <f t="shared" si="13"/>
        <v>0</v>
      </c>
      <c r="AV28" s="678">
        <f t="shared" si="14"/>
        <v>0</v>
      </c>
      <c r="AY28" s="678">
        <f t="shared" si="15"/>
        <v>0</v>
      </c>
      <c r="BB28" s="678">
        <f t="shared" si="16"/>
        <v>0</v>
      </c>
      <c r="BE28" s="678">
        <f t="shared" si="17"/>
        <v>0</v>
      </c>
      <c r="BH28" s="678">
        <f t="shared" si="18"/>
        <v>0</v>
      </c>
      <c r="BK28" s="678">
        <f t="shared" si="19"/>
        <v>0</v>
      </c>
      <c r="BN28" s="678">
        <f t="shared" si="20"/>
        <v>0</v>
      </c>
      <c r="BQ28" s="678">
        <f t="shared" si="21"/>
        <v>0</v>
      </c>
      <c r="BT28" s="678">
        <f t="shared" si="22"/>
        <v>0</v>
      </c>
      <c r="BW28" s="678">
        <f t="shared" si="23"/>
        <v>0</v>
      </c>
    </row>
    <row r="29" spans="1:75" s="117" customFormat="1" x14ac:dyDescent="0.2">
      <c r="A29" s="117" t="s">
        <v>92</v>
      </c>
      <c r="D29" s="980"/>
      <c r="E29" s="864"/>
      <c r="F29" s="727">
        <f>SUM(F24:F28)</f>
        <v>0</v>
      </c>
      <c r="G29" s="112"/>
      <c r="H29" s="112"/>
      <c r="I29" s="727">
        <f>SUM(I24:I28)</f>
        <v>0</v>
      </c>
      <c r="J29" s="864"/>
      <c r="K29" s="864"/>
      <c r="L29" s="727">
        <f>SUM(L24:L28)</f>
        <v>0</v>
      </c>
      <c r="M29" s="864"/>
      <c r="N29" s="864"/>
      <c r="O29" s="866">
        <f>SUM(O24:O28)</f>
        <v>0</v>
      </c>
      <c r="P29" s="869"/>
      <c r="Q29" s="870"/>
      <c r="R29" s="727">
        <f>SUM(R24:R28)</f>
        <v>0</v>
      </c>
      <c r="S29" s="112"/>
      <c r="T29" s="112"/>
      <c r="U29" s="727">
        <f>SUM(U24:U28)</f>
        <v>0</v>
      </c>
      <c r="V29" s="112"/>
      <c r="W29" s="112"/>
      <c r="X29" s="727">
        <f>SUM(X24:X28)</f>
        <v>0</v>
      </c>
      <c r="Y29" s="112"/>
      <c r="Z29" s="112"/>
      <c r="AA29" s="727">
        <f>SUM(AA24:AA28)</f>
        <v>0</v>
      </c>
      <c r="AB29" s="112"/>
      <c r="AC29" s="112"/>
      <c r="AD29" s="727">
        <f>SUM(AD24:AD28)</f>
        <v>0</v>
      </c>
      <c r="AE29" s="112"/>
      <c r="AF29" s="112"/>
      <c r="AG29" s="727">
        <f>SUM(AG24:AG28)</f>
        <v>0</v>
      </c>
      <c r="AH29" s="112"/>
      <c r="AI29" s="112"/>
      <c r="AJ29" s="727">
        <f>SUM(AJ24:AJ28)</f>
        <v>0</v>
      </c>
      <c r="AK29" s="112"/>
      <c r="AL29" s="112"/>
      <c r="AM29" s="727">
        <f>SUM(AM24:AM28)</f>
        <v>0</v>
      </c>
      <c r="AP29" s="727">
        <f>SUM(AP24:AP28)</f>
        <v>0</v>
      </c>
      <c r="AS29" s="727">
        <f>SUM(AS24:AS28)</f>
        <v>0</v>
      </c>
      <c r="AV29" s="727">
        <f>SUM(AV24:AV28)</f>
        <v>0</v>
      </c>
      <c r="AY29" s="727">
        <f>SUM(AY24:AY28)</f>
        <v>0</v>
      </c>
      <c r="BB29" s="727">
        <f>SUM(BB24:BB28)</f>
        <v>0</v>
      </c>
      <c r="BE29" s="727">
        <f>SUM(BE24:BE28)</f>
        <v>0</v>
      </c>
      <c r="BH29" s="727">
        <f>SUM(BH24:BH28)</f>
        <v>0</v>
      </c>
      <c r="BK29" s="727">
        <f>SUM(BK24:BK28)</f>
        <v>0</v>
      </c>
      <c r="BN29" s="727">
        <f>SUM(BN24:BN28)</f>
        <v>0</v>
      </c>
      <c r="BQ29" s="727">
        <f>SUM(BQ24:BQ28)</f>
        <v>0</v>
      </c>
      <c r="BT29" s="727">
        <f>SUM(BT24:BT28)</f>
        <v>0</v>
      </c>
      <c r="BW29" s="727">
        <f>SUM(BW24:BW28)</f>
        <v>0</v>
      </c>
    </row>
    <row r="30" spans="1:75" x14ac:dyDescent="0.2">
      <c r="D30" s="993"/>
      <c r="E30" s="48"/>
      <c r="F30" s="674"/>
      <c r="I30" s="390"/>
      <c r="L30" s="390"/>
      <c r="P30" s="692"/>
      <c r="R30" s="390"/>
      <c r="U30" s="390"/>
      <c r="X30" s="390"/>
      <c r="AA30" s="390"/>
      <c r="AB30" s="48"/>
      <c r="AC30" s="48"/>
      <c r="AD30" s="390"/>
      <c r="AE30" s="48"/>
      <c r="AF30" s="48"/>
      <c r="AG30" s="390"/>
      <c r="AJ30" s="390"/>
      <c r="AK30" s="48"/>
      <c r="AL30" s="48"/>
      <c r="AM30" s="390"/>
      <c r="AP30" s="1074">
        <f>SUM(AP11:AP28)</f>
        <v>247762</v>
      </c>
      <c r="AS30" s="390"/>
      <c r="AV30" s="390"/>
      <c r="AY30" s="390"/>
      <c r="BB30" s="390"/>
      <c r="BE30" s="390"/>
      <c r="BH30" s="390"/>
      <c r="BK30" s="390"/>
      <c r="BN30" s="390"/>
      <c r="BQ30" s="390"/>
      <c r="BT30" s="390"/>
      <c r="BW30" s="390"/>
    </row>
    <row r="31" spans="1:75" x14ac:dyDescent="0.2">
      <c r="D31" s="440"/>
      <c r="F31" s="674"/>
      <c r="I31" s="390"/>
      <c r="L31" s="390"/>
      <c r="P31" s="692"/>
      <c r="R31" s="390"/>
      <c r="U31" s="390"/>
      <c r="X31" s="390"/>
      <c r="AA31" s="390"/>
      <c r="AD31" s="390"/>
      <c r="AG31" s="390"/>
      <c r="AJ31" s="390"/>
      <c r="AM31" s="390"/>
      <c r="AP31" s="390"/>
      <c r="AS31" s="390"/>
      <c r="AV31" s="390"/>
      <c r="AY31" s="390"/>
      <c r="BB31" s="390"/>
      <c r="BE31" s="390"/>
      <c r="BH31" s="390"/>
      <c r="BK31" s="390"/>
      <c r="BN31" s="390"/>
      <c r="BQ31" s="390"/>
      <c r="BT31" s="390"/>
      <c r="BW31" s="390"/>
    </row>
    <row r="32" spans="1:75" x14ac:dyDescent="0.2">
      <c r="D32" s="440"/>
      <c r="F32" s="674"/>
      <c r="I32" s="390"/>
      <c r="L32" s="390"/>
      <c r="P32" s="692"/>
      <c r="R32" s="390"/>
      <c r="U32" s="390"/>
      <c r="X32" s="390"/>
      <c r="AA32" s="390"/>
      <c r="AD32" s="390"/>
      <c r="AG32" s="390"/>
      <c r="AJ32" s="390"/>
      <c r="AM32" s="390"/>
      <c r="AP32" s="390"/>
      <c r="AS32" s="390"/>
      <c r="AV32" s="390"/>
      <c r="AY32" s="390"/>
      <c r="BB32" s="390"/>
      <c r="BE32" s="390"/>
      <c r="BH32" s="390"/>
      <c r="BK32" s="390"/>
      <c r="BN32" s="390"/>
      <c r="BQ32" s="390"/>
      <c r="BT32" s="390"/>
      <c r="BW32" s="390"/>
    </row>
    <row r="33" spans="4:75" s="61" customFormat="1" x14ac:dyDescent="0.2">
      <c r="D33" s="668"/>
      <c r="E33" s="375"/>
      <c r="F33" s="679"/>
      <c r="G33" s="375"/>
      <c r="H33" s="375"/>
      <c r="I33" s="376"/>
      <c r="J33" s="375"/>
      <c r="K33" s="375"/>
      <c r="L33" s="376"/>
      <c r="M33" s="375"/>
      <c r="N33" s="375"/>
      <c r="O33" s="374"/>
      <c r="P33" s="448"/>
      <c r="Q33" s="398"/>
      <c r="R33" s="379"/>
      <c r="S33" s="378"/>
      <c r="T33" s="378"/>
      <c r="U33" s="379"/>
      <c r="V33" s="378"/>
      <c r="W33" s="378"/>
      <c r="X33" s="379"/>
      <c r="Y33" s="378"/>
      <c r="Z33" s="378"/>
      <c r="AA33" s="379"/>
      <c r="AB33" s="378"/>
      <c r="AC33" s="395"/>
      <c r="AD33" s="404"/>
      <c r="AG33" s="404"/>
      <c r="AJ33" s="404"/>
      <c r="AM33" s="404"/>
      <c r="AP33" s="404"/>
      <c r="AS33" s="404"/>
      <c r="AV33" s="404"/>
      <c r="AY33" s="404"/>
      <c r="BB33" s="404"/>
      <c r="BE33" s="404"/>
      <c r="BH33" s="404"/>
      <c r="BK33" s="404"/>
      <c r="BN33" s="404"/>
      <c r="BQ33" s="404"/>
      <c r="BT33" s="404"/>
      <c r="BW33" s="404"/>
    </row>
  </sheetData>
  <mergeCells count="24">
    <mergeCell ref="P2:R2"/>
    <mergeCell ref="S2:U2"/>
    <mergeCell ref="V2:X2"/>
    <mergeCell ref="Y2:AA2"/>
    <mergeCell ref="D2:F2"/>
    <mergeCell ref="G2:I2"/>
    <mergeCell ref="J2:L2"/>
    <mergeCell ref="M2:O2"/>
    <mergeCell ref="AN2:AP2"/>
    <mergeCell ref="AQ2:AS2"/>
    <mergeCell ref="AT2:AV2"/>
    <mergeCell ref="AW2:AY2"/>
    <mergeCell ref="AB2:AD2"/>
    <mergeCell ref="AE2:AG2"/>
    <mergeCell ref="AH2:AJ2"/>
    <mergeCell ref="AK2:AM2"/>
    <mergeCell ref="BL2:BN2"/>
    <mergeCell ref="BO2:BQ2"/>
    <mergeCell ref="BR2:BT2"/>
    <mergeCell ref="BU2:BW2"/>
    <mergeCell ref="AZ2:BB2"/>
    <mergeCell ref="BC2:BE2"/>
    <mergeCell ref="BF2:BH2"/>
    <mergeCell ref="BI2:BK2"/>
  </mergeCells>
  <phoneticPr fontId="10" type="noConversion"/>
  <pageMargins left="0" right="0" top="0.25" bottom="0.25" header="0" footer="0"/>
  <pageSetup paperSize="5" scale="98" fitToWidth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1"/>
  <sheetViews>
    <sheetView topLeftCell="AL68" workbookViewId="0">
      <selection activeCell="AU94" sqref="AU94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1" width="12" customWidth="1"/>
    <col min="12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</cols>
  <sheetData>
    <row r="1" spans="1:47" x14ac:dyDescent="0.2">
      <c r="A1" s="741" t="s">
        <v>0</v>
      </c>
    </row>
    <row r="2" spans="1:47" x14ac:dyDescent="0.2">
      <c r="A2" s="741" t="s">
        <v>595</v>
      </c>
      <c r="E2" s="1107">
        <f ca="1">NOW()</f>
        <v>41885.92788761574</v>
      </c>
      <c r="F2" s="1107"/>
    </row>
    <row r="3" spans="1:47" x14ac:dyDescent="0.2">
      <c r="A3" s="741" t="s">
        <v>753</v>
      </c>
    </row>
    <row r="4" spans="1:47" ht="13.5" thickBot="1" x14ac:dyDescent="0.25"/>
    <row r="5" spans="1:47" ht="13.5" thickBot="1" x14ac:dyDescent="0.25">
      <c r="A5" s="741" t="s">
        <v>596</v>
      </c>
      <c r="C5" s="744" t="s">
        <v>597</v>
      </c>
      <c r="E5" s="37" t="s">
        <v>761</v>
      </c>
    </row>
    <row r="7" spans="1:47" x14ac:dyDescent="0.2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1106" t="s">
        <v>57</v>
      </c>
      <c r="J8" s="1106"/>
      <c r="K8" s="1106"/>
      <c r="L8" s="1106" t="s">
        <v>58</v>
      </c>
      <c r="M8" s="1106"/>
      <c r="N8" s="1106"/>
      <c r="O8" s="1106" t="s">
        <v>59</v>
      </c>
      <c r="P8" s="1106"/>
      <c r="Q8" s="1106"/>
      <c r="R8" s="1106" t="s">
        <v>60</v>
      </c>
      <c r="S8" s="1106"/>
      <c r="T8" s="1106"/>
      <c r="U8" s="1106" t="s">
        <v>1</v>
      </c>
      <c r="V8" s="1106"/>
      <c r="W8" s="1106"/>
      <c r="X8" s="1106" t="s">
        <v>61</v>
      </c>
      <c r="Y8" s="1106"/>
      <c r="Z8" s="1106"/>
      <c r="AA8" s="1106" t="s">
        <v>62</v>
      </c>
      <c r="AB8" s="1106"/>
      <c r="AC8" s="1106"/>
      <c r="AD8" s="1106" t="s">
        <v>63</v>
      </c>
      <c r="AE8" s="1106"/>
      <c r="AF8" s="1106"/>
      <c r="AG8" s="1106" t="s">
        <v>64</v>
      </c>
      <c r="AH8" s="1106"/>
      <c r="AI8" s="1106"/>
      <c r="AJ8" s="1106" t="s">
        <v>65</v>
      </c>
      <c r="AK8" s="1106"/>
      <c r="AL8" s="1106"/>
      <c r="AM8" s="1106" t="s">
        <v>66</v>
      </c>
      <c r="AN8" s="1106"/>
      <c r="AO8" s="1106"/>
      <c r="AP8" s="1106" t="s">
        <v>67</v>
      </c>
      <c r="AQ8" s="1106"/>
      <c r="AR8" s="1106"/>
    </row>
    <row r="9" spans="1:47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">
      <c r="A11" s="812" t="s">
        <v>755</v>
      </c>
      <c r="B11" s="809"/>
      <c r="C11" s="809"/>
      <c r="D11" s="809"/>
      <c r="E11" s="990"/>
      <c r="F11" s="991"/>
      <c r="G11" s="810"/>
      <c r="H11" s="810"/>
      <c r="I11" s="813"/>
      <c r="J11" s="810"/>
      <c r="K11" s="814"/>
      <c r="L11" s="815"/>
      <c r="M11" s="814"/>
      <c r="N11" s="814"/>
      <c r="O11" s="815"/>
      <c r="P11" s="814"/>
      <c r="Q11" s="814"/>
      <c r="R11" s="815"/>
      <c r="S11" s="814"/>
      <c r="T11" s="814"/>
      <c r="U11" s="815"/>
      <c r="V11" s="814"/>
      <c r="W11" s="814"/>
      <c r="X11" s="815"/>
      <c r="Y11" s="814"/>
      <c r="Z11" s="814"/>
      <c r="AA11" s="815"/>
      <c r="AB11" s="814"/>
      <c r="AC11" s="814"/>
      <c r="AD11" s="815"/>
      <c r="AE11" s="814"/>
      <c r="AF11" s="814"/>
      <c r="AG11" s="815"/>
      <c r="AH11" s="814"/>
      <c r="AI11" s="814"/>
      <c r="AJ11" s="815"/>
      <c r="AK11" s="814"/>
      <c r="AL11" s="814"/>
      <c r="AM11" s="815"/>
      <c r="AN11" s="814"/>
      <c r="AO11" s="814"/>
      <c r="AP11" s="815"/>
      <c r="AQ11" s="814"/>
      <c r="AR11" s="814"/>
      <c r="AS11" s="389"/>
      <c r="AT11" s="877"/>
      <c r="AU11" s="877"/>
    </row>
    <row r="12" spans="1:47" x14ac:dyDescent="0.2">
      <c r="A12" s="743" t="s">
        <v>626</v>
      </c>
      <c r="F12" s="973"/>
      <c r="I12" s="455"/>
      <c r="K12" s="32"/>
      <c r="L12" s="455"/>
      <c r="M12" s="748"/>
      <c r="N12" s="32"/>
      <c r="O12" s="455"/>
      <c r="P12" s="748"/>
      <c r="Q12" s="32"/>
      <c r="R12" s="455"/>
      <c r="S12" s="748"/>
      <c r="T12" s="32"/>
      <c r="U12" s="455"/>
      <c r="V12" s="748"/>
      <c r="W12" s="32"/>
      <c r="X12" s="455"/>
      <c r="Y12" s="748"/>
      <c r="Z12" s="32"/>
      <c r="AA12" s="455"/>
      <c r="AB12" s="748"/>
      <c r="AC12" s="32"/>
      <c r="AD12" s="455"/>
      <c r="AE12" s="748"/>
      <c r="AF12" s="32"/>
      <c r="AG12" s="455"/>
      <c r="AH12" s="748"/>
      <c r="AI12" s="32"/>
      <c r="AJ12" s="455"/>
      <c r="AK12" s="748"/>
      <c r="AL12" s="32"/>
      <c r="AM12" s="455"/>
      <c r="AN12" s="748"/>
      <c r="AO12" s="32"/>
      <c r="AP12" s="455"/>
      <c r="AQ12" s="748"/>
      <c r="AR12" s="32"/>
      <c r="AS12" s="32"/>
    </row>
    <row r="13" spans="1:47" x14ac:dyDescent="0.2">
      <c r="A13" s="986">
        <v>24198</v>
      </c>
      <c r="B13" s="29" t="s">
        <v>629</v>
      </c>
      <c r="C13" s="745">
        <v>37408</v>
      </c>
      <c r="D13" s="745">
        <v>37621</v>
      </c>
      <c r="E13" s="37">
        <v>35714</v>
      </c>
      <c r="F13" s="973">
        <v>0</v>
      </c>
      <c r="I13" s="455">
        <v>0</v>
      </c>
      <c r="J13" s="748">
        <f t="shared" ref="J13:J18" si="0">IF(I13&gt;0,K13/I13/K$7,0)</f>
        <v>0</v>
      </c>
      <c r="K13" s="32">
        <v>0</v>
      </c>
      <c r="L13" s="455">
        <v>0</v>
      </c>
      <c r="M13" s="748">
        <f t="shared" ref="M13:M18" si="1">IF(L13&gt;0,N13/L13/N$7,0)</f>
        <v>0</v>
      </c>
      <c r="N13" s="32">
        <v>0</v>
      </c>
      <c r="O13" s="455">
        <v>0</v>
      </c>
      <c r="P13" s="748">
        <f t="shared" ref="P13:P18" si="2">IF(O13&gt;0,Q13/O13/Q$7,0)</f>
        <v>0</v>
      </c>
      <c r="Q13" s="32">
        <v>0</v>
      </c>
      <c r="R13" s="455">
        <v>0</v>
      </c>
      <c r="S13" s="748">
        <f t="shared" ref="S13:S18" si="3">IF(R13&gt;0,T13/R13/T$7,0)</f>
        <v>0</v>
      </c>
      <c r="T13" s="32">
        <v>0</v>
      </c>
      <c r="U13" s="455">
        <v>0</v>
      </c>
      <c r="V13" s="748">
        <f t="shared" ref="V13:V18" si="4">IF(U13&gt;0,W13/U13/W$7,0)</f>
        <v>0</v>
      </c>
      <c r="W13" s="32">
        <v>0</v>
      </c>
      <c r="X13" s="455">
        <v>0</v>
      </c>
      <c r="Y13" s="748">
        <f t="shared" ref="Y13:Y18" si="5">IF(X13&gt;0,Z13/X13/Z$7,0)</f>
        <v>0</v>
      </c>
      <c r="Z13" s="32">
        <f>ROUND($E13*$F13*Z$7,0)</f>
        <v>0</v>
      </c>
      <c r="AA13" s="455">
        <v>0</v>
      </c>
      <c r="AB13" s="748">
        <f t="shared" ref="AB13:AB18" si="6">IF(AA13&gt;0,AC13/AA13/AC$7,0)</f>
        <v>0</v>
      </c>
      <c r="AC13" s="32">
        <f>ROUND($E13*$F13*AC$7,0)</f>
        <v>0</v>
      </c>
      <c r="AD13" s="455">
        <v>0</v>
      </c>
      <c r="AE13" s="748">
        <f t="shared" ref="AE13:AE18" si="7">IF(AD13&gt;0,AF13/AD13/AF$7,0)</f>
        <v>0</v>
      </c>
      <c r="AF13" s="32">
        <f>ROUND($E13*$F13*AF$7,0)</f>
        <v>0</v>
      </c>
      <c r="AG13" s="455">
        <v>0</v>
      </c>
      <c r="AH13" s="748">
        <f t="shared" ref="AH13:AH18" si="8">IF(AG13&gt;0,AI13/AG13/AI$7,0)</f>
        <v>0</v>
      </c>
      <c r="AI13" s="32">
        <f>ROUND($E13*$F13*AI$7,0)</f>
        <v>0</v>
      </c>
      <c r="AJ13" s="455">
        <v>0</v>
      </c>
      <c r="AK13" s="748">
        <f t="shared" ref="AK13:AK18" si="9">IF(AJ13&gt;0,AL13/AJ13/AL$7,0)</f>
        <v>0</v>
      </c>
      <c r="AL13" s="32">
        <v>0</v>
      </c>
      <c r="AM13" s="455">
        <v>0</v>
      </c>
      <c r="AN13" s="748">
        <f t="shared" ref="AN13:AN18" si="10">IF(AM13&gt;0,AO13/AM13/AO$7,0)</f>
        <v>0</v>
      </c>
      <c r="AO13" s="32">
        <v>0</v>
      </c>
      <c r="AP13" s="455">
        <v>0</v>
      </c>
      <c r="AQ13" s="748">
        <f t="shared" ref="AQ13:AQ18" si="11">IF(AP13&gt;0,AR13/AP13/AR$7,0)</f>
        <v>0</v>
      </c>
      <c r="AR13" s="32">
        <v>0</v>
      </c>
      <c r="AS13" s="32"/>
      <c r="AU13" s="33">
        <f>AR13+AO13+AL13+AI13+AF13+AC13+Z13+W13+T13+Q13+N13+K13</f>
        <v>0</v>
      </c>
    </row>
    <row r="14" spans="1:47" x14ac:dyDescent="0.2">
      <c r="A14" s="986">
        <v>27377</v>
      </c>
      <c r="B14" s="29" t="s">
        <v>284</v>
      </c>
      <c r="C14" s="745">
        <v>37316</v>
      </c>
      <c r="D14" s="745">
        <v>37621</v>
      </c>
      <c r="E14" s="37">
        <v>10000</v>
      </c>
      <c r="F14" s="973">
        <v>0</v>
      </c>
      <c r="I14" s="455"/>
      <c r="K14" s="32"/>
      <c r="L14" s="455"/>
      <c r="M14" s="748"/>
      <c r="N14" s="32"/>
      <c r="O14" s="455">
        <v>0</v>
      </c>
      <c r="P14" s="748">
        <f>$F$14</f>
        <v>0</v>
      </c>
      <c r="Q14" s="32">
        <f>$E14*$F14*Q7</f>
        <v>0</v>
      </c>
      <c r="R14" s="455">
        <v>0</v>
      </c>
      <c r="S14" s="748">
        <f>$F$14</f>
        <v>0</v>
      </c>
      <c r="T14" s="32">
        <f>$E14*$F14*T7</f>
        <v>0</v>
      </c>
      <c r="U14" s="455">
        <v>0</v>
      </c>
      <c r="V14" s="748">
        <f>$F$14</f>
        <v>0</v>
      </c>
      <c r="W14" s="32">
        <f>$E14*$F14*W7</f>
        <v>0</v>
      </c>
      <c r="X14" s="455">
        <v>0</v>
      </c>
      <c r="Y14" s="748">
        <f>$F$14</f>
        <v>0</v>
      </c>
      <c r="Z14" s="32">
        <f>$E14*$F14*Z7</f>
        <v>0</v>
      </c>
      <c r="AA14" s="455">
        <v>0</v>
      </c>
      <c r="AB14" s="748">
        <f>$F$14</f>
        <v>0</v>
      </c>
      <c r="AC14" s="32">
        <f>$E14*$F14*AC7</f>
        <v>0</v>
      </c>
      <c r="AD14" s="455">
        <v>0</v>
      </c>
      <c r="AE14" s="748">
        <f>$F$14</f>
        <v>0</v>
      </c>
      <c r="AF14" s="32">
        <f>$E14*$F14*AF7</f>
        <v>0</v>
      </c>
      <c r="AG14" s="455">
        <v>0</v>
      </c>
      <c r="AH14" s="748">
        <f>$F$14</f>
        <v>0</v>
      </c>
      <c r="AI14" s="32">
        <f>$E14*$F14*AI7</f>
        <v>0</v>
      </c>
      <c r="AJ14" s="455">
        <v>0</v>
      </c>
      <c r="AK14" s="748">
        <f>$F$14</f>
        <v>0</v>
      </c>
      <c r="AL14" s="32">
        <f>$E14*$F14*AL7</f>
        <v>0</v>
      </c>
      <c r="AM14" s="455">
        <v>0</v>
      </c>
      <c r="AN14" s="748">
        <f>$F$14</f>
        <v>0</v>
      </c>
      <c r="AO14" s="32">
        <f>$E14*$F14*AO7</f>
        <v>0</v>
      </c>
      <c r="AP14" s="455">
        <v>0</v>
      </c>
      <c r="AQ14" s="748">
        <f>$F$14</f>
        <v>0</v>
      </c>
      <c r="AR14" s="32">
        <f>$E14*$F14*AR7</f>
        <v>0</v>
      </c>
      <c r="AS14" s="32"/>
      <c r="AU14" s="33">
        <f>AR14+AO14+AL14+AI14+AF14+AC14+Z14+W14+T14+Q14+N14+K14</f>
        <v>0</v>
      </c>
    </row>
    <row r="15" spans="1:47" x14ac:dyDescent="0.2">
      <c r="A15" s="629">
        <v>27291</v>
      </c>
      <c r="B15" s="29" t="s">
        <v>630</v>
      </c>
      <c r="C15" s="745">
        <v>37469</v>
      </c>
      <c r="D15" s="745">
        <v>37621</v>
      </c>
      <c r="E15" s="37">
        <v>20000</v>
      </c>
      <c r="F15" s="973">
        <v>0</v>
      </c>
      <c r="I15" s="455">
        <v>0</v>
      </c>
      <c r="J15" s="748">
        <f t="shared" si="0"/>
        <v>0</v>
      </c>
      <c r="K15" s="32">
        <v>0</v>
      </c>
      <c r="L15" s="455">
        <v>0</v>
      </c>
      <c r="M15" s="748">
        <f t="shared" si="1"/>
        <v>0</v>
      </c>
      <c r="N15" s="32">
        <v>0</v>
      </c>
      <c r="O15" s="455">
        <v>0</v>
      </c>
      <c r="P15" s="748">
        <f t="shared" si="2"/>
        <v>0</v>
      </c>
      <c r="Q15" s="32">
        <v>0</v>
      </c>
      <c r="R15" s="455">
        <v>0</v>
      </c>
      <c r="S15" s="748">
        <f t="shared" si="3"/>
        <v>0</v>
      </c>
      <c r="T15" s="32">
        <v>0</v>
      </c>
      <c r="U15" s="455">
        <v>0</v>
      </c>
      <c r="V15" s="748">
        <f t="shared" si="4"/>
        <v>0</v>
      </c>
      <c r="W15" s="32">
        <v>0</v>
      </c>
      <c r="X15" s="455">
        <v>0</v>
      </c>
      <c r="Y15" s="748">
        <f t="shared" si="5"/>
        <v>0</v>
      </c>
      <c r="Z15" s="32">
        <v>0</v>
      </c>
      <c r="AA15" s="455">
        <v>0</v>
      </c>
      <c r="AB15" s="748">
        <f t="shared" si="6"/>
        <v>0</v>
      </c>
      <c r="AC15" s="32">
        <v>0</v>
      </c>
      <c r="AD15" s="455">
        <v>0</v>
      </c>
      <c r="AE15" s="748">
        <f t="shared" si="7"/>
        <v>0</v>
      </c>
      <c r="AF15" s="32">
        <f>ROUND($E15*$F15*AF$7,0)</f>
        <v>0</v>
      </c>
      <c r="AG15" s="455">
        <v>0</v>
      </c>
      <c r="AH15" s="748">
        <f t="shared" si="8"/>
        <v>0</v>
      </c>
      <c r="AI15" s="32">
        <f>ROUND($E15*$F15*AI$7,0)</f>
        <v>0</v>
      </c>
      <c r="AJ15" s="455">
        <v>0</v>
      </c>
      <c r="AK15" s="748">
        <f t="shared" si="9"/>
        <v>0</v>
      </c>
      <c r="AL15" s="32">
        <f>ROUND($E15*$F15*AL$7,0)</f>
        <v>0</v>
      </c>
      <c r="AM15" s="455">
        <v>0</v>
      </c>
      <c r="AN15" s="748">
        <f t="shared" si="10"/>
        <v>0</v>
      </c>
      <c r="AO15" s="32">
        <f>ROUND($E15*$F15*AO$7,0)</f>
        <v>0</v>
      </c>
      <c r="AP15" s="455">
        <v>0</v>
      </c>
      <c r="AQ15" s="748">
        <f t="shared" si="11"/>
        <v>0</v>
      </c>
      <c r="AR15" s="32">
        <f>ROUND($E15*$F15*AR$7,0)</f>
        <v>0</v>
      </c>
      <c r="AS15" s="32"/>
      <c r="AU15" s="33">
        <f>AR15+AO15+AL15+AI15+AF15+AC15+Z15+W15+T15+Q15+N15+K15</f>
        <v>0</v>
      </c>
    </row>
    <row r="16" spans="1:47" x14ac:dyDescent="0.2">
      <c r="A16" s="629">
        <v>27579</v>
      </c>
      <c r="B16" s="29" t="s">
        <v>630</v>
      </c>
      <c r="C16" s="745">
        <v>37408</v>
      </c>
      <c r="D16" s="745">
        <v>37621</v>
      </c>
      <c r="E16" s="37">
        <v>20000</v>
      </c>
      <c r="F16" s="973">
        <v>0</v>
      </c>
      <c r="I16" s="455">
        <v>0</v>
      </c>
      <c r="J16" s="748">
        <f t="shared" si="0"/>
        <v>0</v>
      </c>
      <c r="K16" s="32">
        <v>0</v>
      </c>
      <c r="L16" s="455">
        <v>0</v>
      </c>
      <c r="M16" s="748">
        <f t="shared" si="1"/>
        <v>0</v>
      </c>
      <c r="N16" s="32">
        <v>0</v>
      </c>
      <c r="O16" s="455">
        <v>0</v>
      </c>
      <c r="P16" s="748">
        <f t="shared" si="2"/>
        <v>0</v>
      </c>
      <c r="Q16" s="32">
        <v>0</v>
      </c>
      <c r="R16" s="455">
        <v>0</v>
      </c>
      <c r="S16" s="748">
        <f t="shared" si="3"/>
        <v>0</v>
      </c>
      <c r="T16" s="32">
        <v>0</v>
      </c>
      <c r="U16" s="455">
        <v>0</v>
      </c>
      <c r="V16" s="748">
        <f t="shared" si="4"/>
        <v>0</v>
      </c>
      <c r="W16" s="32">
        <v>0</v>
      </c>
      <c r="X16" s="455">
        <v>0</v>
      </c>
      <c r="Y16" s="748">
        <f t="shared" si="5"/>
        <v>0</v>
      </c>
      <c r="Z16" s="32">
        <f>ROUND($E16*$F16*Z$7,0)</f>
        <v>0</v>
      </c>
      <c r="AA16" s="455">
        <v>0</v>
      </c>
      <c r="AB16" s="748">
        <f t="shared" si="6"/>
        <v>0</v>
      </c>
      <c r="AC16" s="32">
        <f>ROUND($E16*$F16*AC$7,0)</f>
        <v>0</v>
      </c>
      <c r="AD16" s="455">
        <v>0</v>
      </c>
      <c r="AE16" s="748">
        <f t="shared" si="7"/>
        <v>0</v>
      </c>
      <c r="AF16" s="32">
        <f>ROUND($E16*$F16*AF$7,0)</f>
        <v>0</v>
      </c>
      <c r="AG16" s="455">
        <v>0</v>
      </c>
      <c r="AH16" s="748">
        <f t="shared" si="8"/>
        <v>0</v>
      </c>
      <c r="AI16" s="32">
        <f>ROUND($E16*$F16*AI$7,0)</f>
        <v>0</v>
      </c>
      <c r="AJ16" s="455">
        <v>0</v>
      </c>
      <c r="AK16" s="748">
        <f t="shared" si="9"/>
        <v>0</v>
      </c>
      <c r="AL16" s="32">
        <f>ROUND($E16*$F16*AL$7,0)</f>
        <v>0</v>
      </c>
      <c r="AM16" s="455">
        <v>0</v>
      </c>
      <c r="AN16" s="748">
        <f t="shared" si="10"/>
        <v>0</v>
      </c>
      <c r="AO16" s="32">
        <f>ROUND($E16*$F16*AO$7,0)</f>
        <v>0</v>
      </c>
      <c r="AP16" s="455">
        <v>0</v>
      </c>
      <c r="AQ16" s="748">
        <f t="shared" si="11"/>
        <v>0</v>
      </c>
      <c r="AR16" s="32">
        <f>ROUND($E16*$F16*AR$7,0)</f>
        <v>0</v>
      </c>
      <c r="AS16" s="32"/>
      <c r="AU16" s="33">
        <f>AR16+AO16+AL16+AI16+AF16+AC16+Z16+W16+T16+Q16+N16+K16</f>
        <v>0</v>
      </c>
    </row>
    <row r="17" spans="1:48" x14ac:dyDescent="0.2">
      <c r="D17" s="745"/>
      <c r="E17" s="753"/>
      <c r="F17" s="973"/>
      <c r="I17" s="777">
        <v>0</v>
      </c>
      <c r="J17" s="748">
        <f t="shared" si="0"/>
        <v>0</v>
      </c>
      <c r="K17" s="39">
        <v>0</v>
      </c>
      <c r="L17" s="777">
        <v>0</v>
      </c>
      <c r="M17" s="748">
        <f t="shared" si="1"/>
        <v>0</v>
      </c>
      <c r="N17" s="39">
        <v>0</v>
      </c>
      <c r="O17" s="777">
        <v>0</v>
      </c>
      <c r="P17" s="748">
        <f t="shared" si="2"/>
        <v>0</v>
      </c>
      <c r="Q17" s="39">
        <v>0</v>
      </c>
      <c r="R17" s="777">
        <v>0</v>
      </c>
      <c r="S17" s="748">
        <f t="shared" si="3"/>
        <v>0</v>
      </c>
      <c r="T17" s="39">
        <v>0</v>
      </c>
      <c r="U17" s="777">
        <v>0</v>
      </c>
      <c r="V17" s="748">
        <f t="shared" si="4"/>
        <v>0</v>
      </c>
      <c r="W17" s="39">
        <v>0</v>
      </c>
      <c r="X17" s="777">
        <v>0</v>
      </c>
      <c r="Y17" s="748">
        <f t="shared" si="5"/>
        <v>0</v>
      </c>
      <c r="Z17" s="39">
        <v>0</v>
      </c>
      <c r="AA17" s="777">
        <v>0</v>
      </c>
      <c r="AB17" s="748">
        <f t="shared" si="6"/>
        <v>0</v>
      </c>
      <c r="AC17" s="39">
        <f>ROUND($E17*$F17*AC$7,0)</f>
        <v>0</v>
      </c>
      <c r="AD17" s="777">
        <v>0</v>
      </c>
      <c r="AE17" s="748">
        <f t="shared" si="7"/>
        <v>0</v>
      </c>
      <c r="AF17" s="39">
        <f>ROUND($E17*$F17*AF$7,0)</f>
        <v>0</v>
      </c>
      <c r="AG17" s="777">
        <v>0</v>
      </c>
      <c r="AH17" s="748">
        <f t="shared" si="8"/>
        <v>0</v>
      </c>
      <c r="AI17" s="39">
        <f>ROUND($E17*$F17*AI$7,0)</f>
        <v>0</v>
      </c>
      <c r="AJ17" s="777">
        <v>0</v>
      </c>
      <c r="AK17" s="748">
        <f t="shared" si="9"/>
        <v>0</v>
      </c>
      <c r="AL17" s="39">
        <f>ROUND($E17*$F17*AL$7,0)</f>
        <v>0</v>
      </c>
      <c r="AM17" s="777">
        <v>0</v>
      </c>
      <c r="AN17" s="748">
        <f t="shared" si="10"/>
        <v>0</v>
      </c>
      <c r="AO17" s="39">
        <f>ROUND($E17*$F17*AO$7,0)</f>
        <v>0</v>
      </c>
      <c r="AP17" s="777">
        <v>0</v>
      </c>
      <c r="AQ17" s="748">
        <f t="shared" si="11"/>
        <v>0</v>
      </c>
      <c r="AR17" s="39">
        <f>ROUND($E17*$F17*AR$7,0)</f>
        <v>0</v>
      </c>
      <c r="AS17" s="32"/>
      <c r="AU17" s="33">
        <f>AR17+AO17+AL17+AI17+AF17+AC17+Z17+W17+T17+Q17+N17+K17</f>
        <v>0</v>
      </c>
    </row>
    <row r="18" spans="1:48" s="42" customFormat="1" x14ac:dyDescent="0.2">
      <c r="A18" s="741" t="s">
        <v>627</v>
      </c>
      <c r="C18" s="3"/>
      <c r="D18" s="3"/>
      <c r="E18" s="431">
        <f>SUM(E6:E17)</f>
        <v>85714</v>
      </c>
      <c r="F18" s="988"/>
      <c r="G18" s="754"/>
      <c r="H18" s="754"/>
      <c r="I18" s="774">
        <f>SUM(I7:I17)</f>
        <v>0</v>
      </c>
      <c r="J18" s="754">
        <f t="shared" si="0"/>
        <v>0</v>
      </c>
      <c r="K18" s="31">
        <f>SUM(K13:K17)</f>
        <v>0</v>
      </c>
      <c r="L18" s="774">
        <f>SUM(L7:L17)</f>
        <v>0</v>
      </c>
      <c r="M18" s="754">
        <f t="shared" si="1"/>
        <v>0</v>
      </c>
      <c r="N18" s="31">
        <f>SUM(N13:N17)</f>
        <v>0</v>
      </c>
      <c r="O18" s="774">
        <f>SUM(O7:O17)</f>
        <v>0</v>
      </c>
      <c r="P18" s="754">
        <f t="shared" si="2"/>
        <v>0</v>
      </c>
      <c r="Q18" s="31">
        <f>SUM(Q13:Q17)</f>
        <v>0</v>
      </c>
      <c r="R18" s="774">
        <f>SUM(R7:R17)</f>
        <v>0</v>
      </c>
      <c r="S18" s="754">
        <f t="shared" si="3"/>
        <v>0</v>
      </c>
      <c r="T18" s="31">
        <f>SUM(T13:T17)</f>
        <v>0</v>
      </c>
      <c r="U18" s="774">
        <f>SUM(U7:U17)</f>
        <v>0</v>
      </c>
      <c r="V18" s="754">
        <f t="shared" si="4"/>
        <v>0</v>
      </c>
      <c r="W18" s="31">
        <f>SUM(W13:W17)</f>
        <v>0</v>
      </c>
      <c r="X18" s="774">
        <f>SUM(X7:X17)</f>
        <v>0</v>
      </c>
      <c r="Y18" s="754">
        <f t="shared" si="5"/>
        <v>0</v>
      </c>
      <c r="Z18" s="31">
        <f>SUM(Z13:Z17)</f>
        <v>0</v>
      </c>
      <c r="AA18" s="774">
        <f>SUM(AA7:AA17)</f>
        <v>0</v>
      </c>
      <c r="AB18" s="754">
        <f t="shared" si="6"/>
        <v>0</v>
      </c>
      <c r="AC18" s="31">
        <f>SUM(AC13:AC17)</f>
        <v>0</v>
      </c>
      <c r="AD18" s="774">
        <f>SUM(AD7:AD17)</f>
        <v>0</v>
      </c>
      <c r="AE18" s="754">
        <f t="shared" si="7"/>
        <v>0</v>
      </c>
      <c r="AF18" s="31">
        <f>SUM(AF6:AF17)</f>
        <v>31</v>
      </c>
      <c r="AG18" s="774">
        <f>SUM(AG7:AG17)</f>
        <v>0</v>
      </c>
      <c r="AH18" s="754">
        <f t="shared" si="8"/>
        <v>0</v>
      </c>
      <c r="AI18" s="31">
        <f>SUM(AI6:AI17)</f>
        <v>30</v>
      </c>
      <c r="AJ18" s="774">
        <f>SUM(AJ7:AJ17)</f>
        <v>0</v>
      </c>
      <c r="AK18" s="754">
        <f t="shared" si="9"/>
        <v>0</v>
      </c>
      <c r="AL18" s="31">
        <f>SUM(AL6:AL17)</f>
        <v>31</v>
      </c>
      <c r="AM18" s="774">
        <f>SUM(AM7:AM17)</f>
        <v>0</v>
      </c>
      <c r="AN18" s="754">
        <f t="shared" si="10"/>
        <v>0</v>
      </c>
      <c r="AO18" s="31">
        <f>SUM(AO6:AO17)</f>
        <v>30</v>
      </c>
      <c r="AP18" s="774">
        <f>SUM(AP7:AP17)</f>
        <v>0</v>
      </c>
      <c r="AQ18" s="754">
        <f t="shared" si="11"/>
        <v>0</v>
      </c>
      <c r="AR18" s="31">
        <f>SUM(AR6:AR17)</f>
        <v>31</v>
      </c>
      <c r="AS18" s="31"/>
      <c r="AU18" s="31"/>
    </row>
    <row r="19" spans="1:48" x14ac:dyDescent="0.2">
      <c r="A19" s="646"/>
      <c r="B19" s="478"/>
      <c r="C19" s="478"/>
      <c r="D19" s="478"/>
      <c r="E19" s="756"/>
      <c r="F19" s="987"/>
      <c r="G19" s="757"/>
      <c r="H19" s="757"/>
      <c r="I19" s="768"/>
      <c r="J19" s="757"/>
      <c r="K19" s="482"/>
      <c r="L19" s="771"/>
      <c r="M19" s="482"/>
      <c r="N19" s="482"/>
      <c r="O19" s="771"/>
      <c r="P19" s="482"/>
      <c r="Q19" s="482"/>
      <c r="R19" s="771"/>
      <c r="S19" s="482"/>
      <c r="T19" s="482"/>
      <c r="U19" s="771"/>
      <c r="V19" s="482"/>
      <c r="W19" s="482"/>
      <c r="X19" s="771"/>
      <c r="Y19" s="482"/>
      <c r="Z19" s="482"/>
      <c r="AA19" s="771"/>
      <c r="AB19" s="482"/>
      <c r="AC19" s="482"/>
      <c r="AD19" s="771"/>
      <c r="AE19" s="482"/>
      <c r="AF19" s="482"/>
      <c r="AG19" s="771"/>
      <c r="AH19" s="482"/>
      <c r="AI19" s="482"/>
      <c r="AJ19" s="771"/>
      <c r="AK19" s="482"/>
      <c r="AL19" s="482"/>
      <c r="AM19" s="771"/>
      <c r="AN19" s="482"/>
      <c r="AO19" s="482"/>
      <c r="AP19" s="771"/>
      <c r="AQ19" s="482"/>
      <c r="AR19" s="482"/>
    </row>
    <row r="20" spans="1:48" x14ac:dyDescent="0.2">
      <c r="A20" s="646"/>
      <c r="B20" s="478"/>
      <c r="C20" s="478"/>
      <c r="D20" s="478"/>
      <c r="E20" s="756"/>
      <c r="F20" s="987"/>
      <c r="G20" s="757"/>
      <c r="H20" s="757"/>
      <c r="I20" s="768"/>
      <c r="J20" s="757"/>
      <c r="K20" s="482"/>
      <c r="L20" s="771"/>
      <c r="M20" s="482"/>
      <c r="N20" s="482"/>
      <c r="O20" s="771"/>
      <c r="P20" s="482"/>
      <c r="Q20" s="482"/>
      <c r="R20" s="771"/>
      <c r="S20" s="482"/>
      <c r="T20" s="482"/>
      <c r="U20" s="771"/>
      <c r="V20" s="482"/>
      <c r="W20" s="482"/>
      <c r="X20" s="771"/>
      <c r="Y20" s="482"/>
      <c r="Z20" s="482"/>
      <c r="AA20" s="771"/>
      <c r="AB20" s="482"/>
      <c r="AC20" s="482"/>
      <c r="AD20" s="771"/>
      <c r="AE20" s="482"/>
      <c r="AF20" s="482"/>
      <c r="AG20" s="771"/>
      <c r="AH20" s="482"/>
      <c r="AI20" s="482"/>
      <c r="AJ20" s="771"/>
      <c r="AK20" s="482"/>
      <c r="AL20" s="482"/>
      <c r="AM20" s="771"/>
      <c r="AN20" s="482"/>
      <c r="AO20" s="482"/>
      <c r="AP20" s="771"/>
      <c r="AQ20" s="482"/>
      <c r="AR20" s="482"/>
    </row>
    <row r="21" spans="1:48" x14ac:dyDescent="0.2">
      <c r="A21" s="758" t="s">
        <v>619</v>
      </c>
      <c r="B21" s="478"/>
      <c r="C21" s="478"/>
      <c r="D21" s="478"/>
      <c r="E21" s="756"/>
      <c r="F21" s="987"/>
      <c r="G21" s="757"/>
      <c r="H21" s="757"/>
      <c r="I21" s="768"/>
      <c r="J21" s="757"/>
      <c r="K21" s="482"/>
      <c r="L21" s="771"/>
      <c r="M21" s="482"/>
      <c r="N21" s="482"/>
      <c r="O21" s="771"/>
      <c r="P21" s="482"/>
      <c r="Q21" s="482"/>
      <c r="R21" s="771"/>
      <c r="S21" s="482"/>
      <c r="T21" s="482"/>
      <c r="U21" s="771"/>
      <c r="V21" s="482"/>
      <c r="W21" s="482"/>
      <c r="X21" s="771"/>
      <c r="Y21" s="482"/>
      <c r="Z21" s="482"/>
      <c r="AA21" s="771"/>
      <c r="AB21" s="482"/>
      <c r="AC21" s="482"/>
      <c r="AD21" s="771"/>
      <c r="AE21" s="482"/>
      <c r="AF21" s="482"/>
      <c r="AG21" s="771"/>
      <c r="AH21" s="482"/>
      <c r="AI21" s="482"/>
      <c r="AJ21" s="771"/>
      <c r="AK21" s="482"/>
      <c r="AL21" s="482"/>
      <c r="AM21" s="771"/>
      <c r="AN21" s="482"/>
      <c r="AO21" s="482"/>
      <c r="AP21" s="771"/>
      <c r="AQ21" s="482"/>
      <c r="AR21" s="482"/>
    </row>
    <row r="22" spans="1:48" s="29" customFormat="1" x14ac:dyDescent="0.2">
      <c r="A22" s="605" t="s">
        <v>712</v>
      </c>
      <c r="B22" s="605"/>
      <c r="C22" s="602">
        <v>37438</v>
      </c>
      <c r="D22" s="602">
        <v>37529</v>
      </c>
      <c r="E22" s="763">
        <v>29000</v>
      </c>
      <c r="F22" s="989">
        <v>0.04</v>
      </c>
      <c r="G22" s="764"/>
      <c r="H22" s="764"/>
      <c r="I22" s="775"/>
      <c r="J22" s="764"/>
      <c r="K22" s="39">
        <v>0</v>
      </c>
      <c r="L22" s="775"/>
      <c r="M22" s="764"/>
      <c r="N22" s="39">
        <v>0</v>
      </c>
      <c r="O22" s="775"/>
      <c r="P22" s="764"/>
      <c r="Q22" s="39">
        <v>0</v>
      </c>
      <c r="R22" s="775"/>
      <c r="S22" s="764"/>
      <c r="T22" s="39">
        <v>0</v>
      </c>
      <c r="U22" s="775"/>
      <c r="V22" s="764"/>
      <c r="W22" s="39">
        <v>0</v>
      </c>
      <c r="X22" s="775"/>
      <c r="Y22" s="764"/>
      <c r="Z22" s="39">
        <v>0</v>
      </c>
      <c r="AA22" s="775">
        <v>0</v>
      </c>
      <c r="AB22" s="764">
        <f>$F$22</f>
        <v>0.04</v>
      </c>
      <c r="AC22" s="39">
        <f>ROUND($E22*$F22*AC$7,0)</f>
        <v>35960</v>
      </c>
      <c r="AD22" s="775">
        <v>0</v>
      </c>
      <c r="AE22" s="764">
        <f>$F$22</f>
        <v>0.04</v>
      </c>
      <c r="AF22" s="39">
        <f>ROUND($E22*$F22*AF$7,0)</f>
        <v>35960</v>
      </c>
      <c r="AG22" s="775">
        <v>0</v>
      </c>
      <c r="AH22" s="764">
        <f>$F$22</f>
        <v>0.04</v>
      </c>
      <c r="AI22" s="39">
        <f>ROUND($E22*$F22*AI$7,0)</f>
        <v>34800</v>
      </c>
      <c r="AJ22" s="775"/>
      <c r="AK22" s="764"/>
      <c r="AL22" s="39">
        <v>0</v>
      </c>
      <c r="AM22" s="775"/>
      <c r="AN22" s="764"/>
      <c r="AO22" s="39">
        <v>0</v>
      </c>
      <c r="AP22" s="775"/>
      <c r="AQ22" s="764"/>
      <c r="AR22" s="39">
        <v>0</v>
      </c>
      <c r="AU22" s="33">
        <f>AR22+AO22+AL22+AI22+AF22+AC22+Z22+W22+T22+Q22+N22+K22</f>
        <v>106720</v>
      </c>
    </row>
    <row r="23" spans="1:48" s="29" customFormat="1" x14ac:dyDescent="0.2">
      <c r="A23" s="605"/>
      <c r="B23" s="605"/>
      <c r="C23" s="762"/>
      <c r="D23" s="762"/>
      <c r="E23" s="763"/>
      <c r="F23" s="989"/>
      <c r="G23" s="764"/>
      <c r="H23" s="764"/>
      <c r="I23" s="772"/>
      <c r="J23" s="764"/>
      <c r="K23" s="822"/>
      <c r="L23" s="772"/>
      <c r="M23" s="764"/>
      <c r="N23" s="822"/>
      <c r="O23" s="772"/>
      <c r="P23" s="764"/>
      <c r="Q23" s="822"/>
      <c r="R23" s="772"/>
      <c r="S23" s="764"/>
      <c r="T23" s="822"/>
      <c r="U23" s="772"/>
      <c r="V23" s="764"/>
      <c r="W23" s="822"/>
      <c r="X23" s="772"/>
      <c r="Y23" s="764"/>
      <c r="Z23" s="822"/>
      <c r="AA23" s="772"/>
      <c r="AB23" s="764"/>
      <c r="AC23" s="822"/>
      <c r="AD23" s="772"/>
      <c r="AE23" s="764"/>
      <c r="AF23" s="822"/>
      <c r="AG23" s="772"/>
      <c r="AH23" s="764"/>
      <c r="AI23" s="822"/>
      <c r="AJ23" s="772"/>
      <c r="AK23" s="764"/>
      <c r="AL23" s="822"/>
      <c r="AM23" s="772"/>
      <c r="AN23" s="764"/>
      <c r="AO23" s="822"/>
      <c r="AP23" s="772"/>
      <c r="AQ23" s="764"/>
      <c r="AR23" s="822"/>
      <c r="AU23" s="33"/>
    </row>
    <row r="24" spans="1:48" s="42" customFormat="1" x14ac:dyDescent="0.2">
      <c r="A24" s="741" t="s">
        <v>620</v>
      </c>
      <c r="B24" s="759"/>
      <c r="C24" s="52"/>
      <c r="D24" s="52"/>
      <c r="E24" s="760"/>
      <c r="F24" s="987"/>
      <c r="G24" s="761"/>
      <c r="H24" s="761"/>
      <c r="I24" s="776">
        <f>SUM(I22:I22)</f>
        <v>0</v>
      </c>
      <c r="J24" s="761">
        <f>IF(I24&gt;0,K24/I24/K$7,0)</f>
        <v>0</v>
      </c>
      <c r="K24" s="31">
        <f>SUM(K22:K22)</f>
        <v>0</v>
      </c>
      <c r="L24" s="776">
        <f>SUM(L22:L22)</f>
        <v>0</v>
      </c>
      <c r="M24" s="761">
        <f>IF(L24&gt;0,N24/L24/N$7,0)</f>
        <v>0</v>
      </c>
      <c r="N24" s="31">
        <f>SUM(N22:N22)</f>
        <v>0</v>
      </c>
      <c r="O24" s="776">
        <f>SUM(O22:O22)</f>
        <v>0</v>
      </c>
      <c r="P24" s="761">
        <f>IF(O24&gt;0,Q24/O24/Q$7,0)</f>
        <v>0</v>
      </c>
      <c r="Q24" s="31">
        <f>SUM(Q22:Q22)</f>
        <v>0</v>
      </c>
      <c r="R24" s="776">
        <f>SUM(R22:R22)</f>
        <v>0</v>
      </c>
      <c r="S24" s="761">
        <f>IF(R24&gt;0,T24/R24/T$7,0)</f>
        <v>0</v>
      </c>
      <c r="T24" s="31">
        <f>SUM(T22:T22)</f>
        <v>0</v>
      </c>
      <c r="U24" s="776">
        <f>SUM(U22:U22)</f>
        <v>0</v>
      </c>
      <c r="V24" s="761">
        <f>IF(U24&gt;0,W24/U24/W$7,0)</f>
        <v>0</v>
      </c>
      <c r="W24" s="31">
        <f>SUM(W22:W22)</f>
        <v>0</v>
      </c>
      <c r="X24" s="776">
        <f>SUM(X22:X22)</f>
        <v>0</v>
      </c>
      <c r="Y24" s="761">
        <f>IF(X24&gt;0,Z24/X24/Z$7,0)</f>
        <v>0</v>
      </c>
      <c r="Z24" s="31">
        <f>SUM(Z22:Z22)</f>
        <v>0</v>
      </c>
      <c r="AA24" s="776">
        <f>SUM(AA22:AA22)</f>
        <v>0</v>
      </c>
      <c r="AB24" s="761">
        <f>IF(AA24&gt;0,AC24/AA24/AC$7,0)</f>
        <v>0</v>
      </c>
      <c r="AC24" s="31">
        <f>SUM(AC22:AC22)</f>
        <v>35960</v>
      </c>
      <c r="AD24" s="776">
        <f>SUM(AD22:AD22)</f>
        <v>0</v>
      </c>
      <c r="AE24" s="761">
        <f>IF(AD24&gt;0,AF24/AD24/AF$7,0)</f>
        <v>0</v>
      </c>
      <c r="AF24" s="31">
        <f>SUM(AF22:AF22)</f>
        <v>35960</v>
      </c>
      <c r="AG24" s="776">
        <f>SUM(AG22:AG22)</f>
        <v>0</v>
      </c>
      <c r="AH24" s="761">
        <f>IF(AG24&gt;0,AI24/AG24/AI$7,0)</f>
        <v>0</v>
      </c>
      <c r="AI24" s="31">
        <f>SUM(AI22:AI22)</f>
        <v>34800</v>
      </c>
      <c r="AJ24" s="776">
        <f>SUM(AJ22:AJ22)</f>
        <v>0</v>
      </c>
      <c r="AK24" s="761">
        <f>IF(AJ24&gt;0,AL24/AJ24/AL$7,0)</f>
        <v>0</v>
      </c>
      <c r="AL24" s="31">
        <f>SUM(AL22:AL22)</f>
        <v>0</v>
      </c>
      <c r="AM24" s="776">
        <f>SUM(AM22:AM22)</f>
        <v>0</v>
      </c>
      <c r="AN24" s="761">
        <f>IF(AM24&gt;0,AO24/AM24/AO$7,0)</f>
        <v>0</v>
      </c>
      <c r="AO24" s="31">
        <f>SUM(AO22:AO22)</f>
        <v>0</v>
      </c>
      <c r="AP24" s="776">
        <f>SUM(AP22:AP22)</f>
        <v>0</v>
      </c>
      <c r="AQ24" s="761">
        <f>IF(AP24&gt;0,AR24/AP24/AR$7,0)</f>
        <v>0</v>
      </c>
      <c r="AR24" s="31">
        <f>SUM(AR22:AR22)</f>
        <v>0</v>
      </c>
    </row>
    <row r="25" spans="1:48" s="29" customFormat="1" x14ac:dyDescent="0.2">
      <c r="A25" s="605"/>
      <c r="B25" s="605"/>
      <c r="C25" s="762"/>
      <c r="D25" s="762"/>
      <c r="E25" s="763"/>
      <c r="F25" s="989"/>
      <c r="G25" s="764"/>
      <c r="H25" s="764"/>
      <c r="I25" s="772"/>
      <c r="J25" s="764"/>
      <c r="K25" s="533"/>
      <c r="L25" s="772"/>
      <c r="M25" s="764"/>
      <c r="N25" s="533"/>
      <c r="O25" s="772"/>
      <c r="P25" s="764"/>
      <c r="Q25" s="533"/>
      <c r="R25" s="772"/>
      <c r="S25" s="764"/>
      <c r="T25" s="533"/>
      <c r="U25" s="772"/>
      <c r="V25" s="764"/>
      <c r="W25" s="533"/>
      <c r="X25" s="772"/>
      <c r="Y25" s="764"/>
      <c r="Z25" s="533"/>
      <c r="AA25" s="772"/>
      <c r="AB25" s="764"/>
      <c r="AC25" s="533"/>
      <c r="AD25" s="772"/>
      <c r="AE25" s="764"/>
      <c r="AF25" s="533"/>
      <c r="AG25" s="772"/>
      <c r="AH25" s="764"/>
      <c r="AI25" s="533"/>
      <c r="AJ25" s="772"/>
      <c r="AK25" s="764"/>
      <c r="AL25" s="533"/>
      <c r="AM25" s="772"/>
      <c r="AN25" s="764"/>
      <c r="AO25" s="533"/>
      <c r="AP25" s="772"/>
      <c r="AQ25" s="764"/>
      <c r="AR25" s="533"/>
    </row>
    <row r="26" spans="1:48" s="29" customFormat="1" x14ac:dyDescent="0.2">
      <c r="A26" s="605"/>
      <c r="B26" s="605"/>
      <c r="C26" s="762"/>
      <c r="D26" s="762"/>
      <c r="E26" s="763"/>
      <c r="F26" s="989"/>
      <c r="G26" s="764"/>
      <c r="H26" s="764"/>
      <c r="I26" s="772"/>
      <c r="J26" s="764"/>
      <c r="K26" s="533"/>
      <c r="L26" s="772"/>
      <c r="M26" s="764"/>
      <c r="N26" s="533"/>
      <c r="O26" s="772"/>
      <c r="P26" s="764"/>
      <c r="Q26" s="533"/>
      <c r="R26" s="772"/>
      <c r="S26" s="764"/>
      <c r="T26" s="533"/>
      <c r="U26" s="772"/>
      <c r="V26" s="764"/>
      <c r="W26" s="533"/>
      <c r="X26" s="772"/>
      <c r="Y26" s="764"/>
      <c r="Z26" s="533"/>
      <c r="AA26" s="772"/>
      <c r="AB26" s="764"/>
      <c r="AC26" s="533"/>
      <c r="AD26" s="772"/>
      <c r="AE26" s="764"/>
      <c r="AF26" s="533"/>
      <c r="AG26" s="772"/>
      <c r="AH26" s="764"/>
      <c r="AI26" s="533"/>
      <c r="AJ26" s="772"/>
      <c r="AK26" s="764"/>
      <c r="AL26" s="533"/>
      <c r="AM26" s="772"/>
      <c r="AN26" s="764"/>
      <c r="AO26" s="533"/>
      <c r="AP26" s="772"/>
      <c r="AQ26" s="764"/>
      <c r="AR26" s="533"/>
    </row>
    <row r="27" spans="1:48" x14ac:dyDescent="0.2">
      <c r="A27" s="758" t="s">
        <v>772</v>
      </c>
      <c r="B27" s="478"/>
      <c r="C27" s="478"/>
      <c r="D27" s="478"/>
      <c r="E27" s="756"/>
      <c r="F27" s="987"/>
      <c r="G27" s="757"/>
      <c r="H27" s="757"/>
      <c r="I27" s="768"/>
      <c r="J27" s="757"/>
      <c r="K27" s="482"/>
      <c r="L27" s="771"/>
      <c r="M27" s="482"/>
      <c r="N27" s="482"/>
      <c r="O27" s="771"/>
      <c r="P27" s="482"/>
      <c r="Q27" s="482"/>
      <c r="R27" s="771"/>
      <c r="S27" s="482"/>
      <c r="T27" s="482"/>
      <c r="U27" s="771"/>
      <c r="V27" s="482"/>
      <c r="W27" s="482"/>
      <c r="X27" s="771"/>
      <c r="Y27" s="482"/>
      <c r="Z27" s="482"/>
      <c r="AA27" s="771"/>
      <c r="AB27" s="482"/>
      <c r="AC27" s="482"/>
      <c r="AD27" s="771"/>
      <c r="AE27" s="482"/>
      <c r="AF27" s="482"/>
      <c r="AG27" s="771"/>
      <c r="AH27" s="482"/>
      <c r="AI27" s="482"/>
      <c r="AJ27" s="771"/>
      <c r="AK27" s="482"/>
      <c r="AL27" s="482"/>
      <c r="AM27" s="771"/>
      <c r="AN27" s="482"/>
      <c r="AO27" s="482"/>
      <c r="AP27" s="771"/>
      <c r="AQ27" s="482"/>
      <c r="AR27" s="482"/>
    </row>
    <row r="28" spans="1:48" s="29" customFormat="1" x14ac:dyDescent="0.2">
      <c r="A28" s="180">
        <v>27342</v>
      </c>
      <c r="B28" s="175" t="s">
        <v>525</v>
      </c>
      <c r="C28" s="181">
        <v>36892</v>
      </c>
      <c r="D28" s="181">
        <v>37256</v>
      </c>
      <c r="E28" s="763">
        <v>30000</v>
      </c>
      <c r="F28" s="989">
        <f>0.04+0.042</f>
        <v>8.2000000000000003E-2</v>
      </c>
      <c r="G28" s="764">
        <v>0</v>
      </c>
      <c r="H28" s="764">
        <f>SUM(F28:G28)</f>
        <v>8.2000000000000003E-2</v>
      </c>
      <c r="I28" s="772">
        <v>0</v>
      </c>
      <c r="J28" s="764">
        <f>$F$28</f>
        <v>8.2000000000000003E-2</v>
      </c>
      <c r="K28" s="32">
        <f>ROUND($E28*$F28*K$7,0)</f>
        <v>76260</v>
      </c>
      <c r="L28" s="772">
        <v>0</v>
      </c>
      <c r="M28" s="764">
        <f>$F$28</f>
        <v>8.2000000000000003E-2</v>
      </c>
      <c r="N28" s="32">
        <f>ROUND($E28*$F28*N$7,0)</f>
        <v>68880</v>
      </c>
      <c r="O28" s="772">
        <v>0</v>
      </c>
      <c r="P28" s="764">
        <f>$F$28</f>
        <v>8.2000000000000003E-2</v>
      </c>
      <c r="Q28" s="32">
        <f>ROUND($E28*$F28*Q$7,0)</f>
        <v>76260</v>
      </c>
      <c r="R28" s="772">
        <v>0</v>
      </c>
      <c r="S28" s="764">
        <f>$F$28</f>
        <v>8.2000000000000003E-2</v>
      </c>
      <c r="T28" s="32">
        <f>ROUND($E28*$F28*T$7,0)</f>
        <v>73800</v>
      </c>
      <c r="U28" s="772">
        <v>0</v>
      </c>
      <c r="V28" s="764">
        <f>$F$28</f>
        <v>8.2000000000000003E-2</v>
      </c>
      <c r="W28" s="32">
        <f>ROUND($E28*$F28*W$7,0)</f>
        <v>76260</v>
      </c>
      <c r="X28" s="772">
        <v>0</v>
      </c>
      <c r="Y28" s="764">
        <f>$F$28</f>
        <v>8.2000000000000003E-2</v>
      </c>
      <c r="Z28" s="32">
        <f>ROUND($E28*$F28*Z$7,0)</f>
        <v>73800</v>
      </c>
      <c r="AA28" s="772">
        <v>0</v>
      </c>
      <c r="AB28" s="764">
        <f>$F$28</f>
        <v>8.2000000000000003E-2</v>
      </c>
      <c r="AC28" s="32">
        <f>ROUND($E28*$F28*AC$7,0)</f>
        <v>76260</v>
      </c>
      <c r="AD28" s="772">
        <v>0</v>
      </c>
      <c r="AE28" s="764">
        <f>$F$28</f>
        <v>8.2000000000000003E-2</v>
      </c>
      <c r="AF28" s="32">
        <f>ROUND($E28*$F28*AF$7,0)</f>
        <v>76260</v>
      </c>
      <c r="AG28" s="772">
        <v>0</v>
      </c>
      <c r="AH28" s="764">
        <f>$F$28</f>
        <v>8.2000000000000003E-2</v>
      </c>
      <c r="AI28" s="32">
        <f>ROUND($E28*$F28*AI$7,0)</f>
        <v>73800</v>
      </c>
      <c r="AJ28" s="772">
        <v>0</v>
      </c>
      <c r="AK28" s="764">
        <f>$F$28</f>
        <v>8.2000000000000003E-2</v>
      </c>
      <c r="AL28" s="32">
        <f>ROUND($E28*$F28*AL$7,0)</f>
        <v>76260</v>
      </c>
      <c r="AM28" s="772">
        <v>0</v>
      </c>
      <c r="AN28" s="764">
        <f>$F$28</f>
        <v>8.2000000000000003E-2</v>
      </c>
      <c r="AO28" s="32">
        <f>ROUND($E28*$F28*AO$7,0)</f>
        <v>73800</v>
      </c>
      <c r="AP28" s="772">
        <v>0</v>
      </c>
      <c r="AQ28" s="764">
        <f>$F$28</f>
        <v>8.2000000000000003E-2</v>
      </c>
      <c r="AR28" s="32">
        <f>ROUND($E28*$F28*AR$7,0)</f>
        <v>76260</v>
      </c>
      <c r="AU28" s="33">
        <f>AR28+AO28+AL28+AI28+AF28+AC28+Z28+W28+T28+Q28+N28+K28</f>
        <v>897900</v>
      </c>
    </row>
    <row r="29" spans="1:48" s="29" customFormat="1" x14ac:dyDescent="0.2">
      <c r="A29" s="762"/>
      <c r="B29" s="605" t="s">
        <v>779</v>
      </c>
      <c r="C29" s="762"/>
      <c r="D29" s="762"/>
      <c r="E29" s="763"/>
      <c r="F29" s="989"/>
      <c r="G29" s="764"/>
      <c r="H29" s="764"/>
      <c r="I29" s="775"/>
      <c r="J29" s="764">
        <f>0.102-0.035-0.042</f>
        <v>2.4999999999999988E-2</v>
      </c>
      <c r="K29" s="1054">
        <f>J29*30000*K7</f>
        <v>23249.999999999989</v>
      </c>
      <c r="L29" s="775"/>
      <c r="M29" s="764">
        <f>0.102-0.035-0.042</f>
        <v>2.4999999999999988E-2</v>
      </c>
      <c r="N29" s="1054">
        <f>M29*30000*N7</f>
        <v>20999.999999999989</v>
      </c>
      <c r="O29" s="775"/>
      <c r="P29" s="764">
        <f>0.102-0.035-0.042</f>
        <v>2.4999999999999988E-2</v>
      </c>
      <c r="Q29" s="1054">
        <f>P29*30000*Q7</f>
        <v>23249.999999999989</v>
      </c>
      <c r="R29" s="775"/>
      <c r="S29" s="764">
        <f>0.102-0.04-0.042</f>
        <v>1.999999999999999E-2</v>
      </c>
      <c r="T29" s="1054">
        <f>S29*30000*T7</f>
        <v>17999.999999999989</v>
      </c>
      <c r="U29" s="775"/>
      <c r="V29" s="764">
        <f>0.102-0.04-0.042</f>
        <v>1.999999999999999E-2</v>
      </c>
      <c r="W29" s="1054">
        <f>V29*30000*W7</f>
        <v>18599.999999999989</v>
      </c>
      <c r="X29" s="775"/>
      <c r="Y29" s="764">
        <f>0.102-0.04-0.042</f>
        <v>1.999999999999999E-2</v>
      </c>
      <c r="Z29" s="1054">
        <f>Y29*30000*Z7</f>
        <v>17999.999999999989</v>
      </c>
      <c r="AA29" s="775"/>
      <c r="AB29" s="764">
        <f>0.102-0.04-0.042</f>
        <v>1.999999999999999E-2</v>
      </c>
      <c r="AC29" s="1054">
        <f>AB29*30000*AC7</f>
        <v>18599.999999999989</v>
      </c>
      <c r="AD29" s="775"/>
      <c r="AE29" s="764">
        <f>0.102-0.04-0.042</f>
        <v>1.999999999999999E-2</v>
      </c>
      <c r="AF29" s="1054">
        <f>AE29*30000*AF7</f>
        <v>18599.999999999989</v>
      </c>
      <c r="AG29" s="775"/>
      <c r="AH29" s="764">
        <f>0.102-0.04-0.042</f>
        <v>1.999999999999999E-2</v>
      </c>
      <c r="AI29" s="1054">
        <f>AH29*30000*AI7</f>
        <v>17999.999999999989</v>
      </c>
      <c r="AJ29" s="775"/>
      <c r="AK29" s="764">
        <f>0.102-0.04-0.042</f>
        <v>1.999999999999999E-2</v>
      </c>
      <c r="AL29" s="1054">
        <f>AK29*30000*AL7</f>
        <v>18599.999999999989</v>
      </c>
      <c r="AM29" s="775"/>
      <c r="AN29" s="764">
        <f>0.102-0.035-0.042</f>
        <v>2.4999999999999988E-2</v>
      </c>
      <c r="AO29" s="1054">
        <f>AN29*30000*AO7</f>
        <v>22499.999999999989</v>
      </c>
      <c r="AP29" s="775"/>
      <c r="AQ29" s="764">
        <f>0.102-0.035-0.042</f>
        <v>2.4999999999999988E-2</v>
      </c>
      <c r="AR29" s="1054">
        <f>AQ29*30000*AR7</f>
        <v>23249.999999999989</v>
      </c>
      <c r="AU29" s="33">
        <f>AR29+AO29+AL29+AI29+AF29+AC29+Z29+W29+T29+Q29+N29+K29</f>
        <v>241649.99999999991</v>
      </c>
      <c r="AV29" s="29">
        <f>AU29/((32000*304)+(11000*61))</f>
        <v>2.3237811328012302E-2</v>
      </c>
    </row>
    <row r="30" spans="1:48" s="42" customFormat="1" x14ac:dyDescent="0.2">
      <c r="A30" s="741" t="s">
        <v>750</v>
      </c>
      <c r="B30" s="759"/>
      <c r="C30" s="52"/>
      <c r="D30" s="52"/>
      <c r="E30" s="760"/>
      <c r="F30" s="987"/>
      <c r="G30" s="761"/>
      <c r="H30" s="761"/>
      <c r="I30" s="776">
        <f>SUM(I28:I29)</f>
        <v>0</v>
      </c>
      <c r="J30" s="760">
        <f t="shared" ref="J30:AR30" si="12">SUM(J28:J29)</f>
        <v>0.10699999999999998</v>
      </c>
      <c r="K30" s="760">
        <f t="shared" si="12"/>
        <v>99509.999999999985</v>
      </c>
      <c r="L30" s="776">
        <f t="shared" si="12"/>
        <v>0</v>
      </c>
      <c r="M30" s="760">
        <f t="shared" si="12"/>
        <v>0.10699999999999998</v>
      </c>
      <c r="N30" s="760">
        <f t="shared" si="12"/>
        <v>89879.999999999985</v>
      </c>
      <c r="O30" s="776">
        <f t="shared" si="12"/>
        <v>0</v>
      </c>
      <c r="P30" s="760">
        <f t="shared" si="12"/>
        <v>0.10699999999999998</v>
      </c>
      <c r="Q30" s="760">
        <f t="shared" si="12"/>
        <v>99509.999999999985</v>
      </c>
      <c r="R30" s="776">
        <f t="shared" si="12"/>
        <v>0</v>
      </c>
      <c r="S30" s="760">
        <f t="shared" si="12"/>
        <v>0.10199999999999999</v>
      </c>
      <c r="T30" s="760">
        <f t="shared" si="12"/>
        <v>91799.999999999985</v>
      </c>
      <c r="U30" s="776">
        <f t="shared" si="12"/>
        <v>0</v>
      </c>
      <c r="V30" s="760">
        <f t="shared" si="12"/>
        <v>0.10199999999999999</v>
      </c>
      <c r="W30" s="760">
        <f t="shared" si="12"/>
        <v>94859.999999999985</v>
      </c>
      <c r="X30" s="776">
        <f t="shared" si="12"/>
        <v>0</v>
      </c>
      <c r="Y30" s="760">
        <f t="shared" si="12"/>
        <v>0.10199999999999999</v>
      </c>
      <c r="Z30" s="760">
        <f t="shared" si="12"/>
        <v>91799.999999999985</v>
      </c>
      <c r="AA30" s="776">
        <f t="shared" si="12"/>
        <v>0</v>
      </c>
      <c r="AB30" s="760">
        <f t="shared" si="12"/>
        <v>0.10199999999999999</v>
      </c>
      <c r="AC30" s="760">
        <f t="shared" si="12"/>
        <v>94859.999999999985</v>
      </c>
      <c r="AD30" s="776">
        <f t="shared" si="12"/>
        <v>0</v>
      </c>
      <c r="AE30" s="760">
        <f t="shared" si="12"/>
        <v>0.10199999999999999</v>
      </c>
      <c r="AF30" s="760">
        <f t="shared" si="12"/>
        <v>94859.999999999985</v>
      </c>
      <c r="AG30" s="776">
        <f t="shared" si="12"/>
        <v>0</v>
      </c>
      <c r="AH30" s="760">
        <f t="shared" si="12"/>
        <v>0.10199999999999999</v>
      </c>
      <c r="AI30" s="760">
        <f t="shared" si="12"/>
        <v>91799.999999999985</v>
      </c>
      <c r="AJ30" s="776">
        <f t="shared" si="12"/>
        <v>0</v>
      </c>
      <c r="AK30" s="760">
        <f t="shared" si="12"/>
        <v>0.10199999999999999</v>
      </c>
      <c r="AL30" s="760">
        <f t="shared" si="12"/>
        <v>94859.999999999985</v>
      </c>
      <c r="AM30" s="776">
        <f t="shared" si="12"/>
        <v>0</v>
      </c>
      <c r="AN30" s="760">
        <f t="shared" si="12"/>
        <v>0.10699999999999998</v>
      </c>
      <c r="AO30" s="760">
        <f t="shared" si="12"/>
        <v>96299.999999999985</v>
      </c>
      <c r="AP30" s="776">
        <f t="shared" si="12"/>
        <v>0</v>
      </c>
      <c r="AQ30" s="760">
        <f t="shared" si="12"/>
        <v>0.10699999999999998</v>
      </c>
      <c r="AR30" s="760">
        <f t="shared" si="12"/>
        <v>99509.999999999985</v>
      </c>
    </row>
    <row r="31" spans="1:48" s="29" customFormat="1" x14ac:dyDescent="0.2">
      <c r="A31" s="605"/>
      <c r="B31" s="605"/>
      <c r="C31" s="762"/>
      <c r="D31" s="762"/>
      <c r="E31" s="763"/>
      <c r="F31" s="989"/>
      <c r="G31" s="764"/>
      <c r="H31" s="764"/>
      <c r="I31" s="772"/>
      <c r="J31" s="764"/>
      <c r="K31" s="533"/>
      <c r="L31" s="772"/>
      <c r="M31" s="764"/>
      <c r="N31" s="533"/>
      <c r="O31" s="772"/>
      <c r="P31" s="764"/>
      <c r="Q31" s="533"/>
      <c r="R31" s="772"/>
      <c r="S31" s="764"/>
      <c r="T31" s="533"/>
      <c r="U31" s="772"/>
      <c r="V31" s="764"/>
      <c r="W31" s="533"/>
      <c r="X31" s="772"/>
      <c r="Y31" s="764"/>
      <c r="Z31" s="533"/>
      <c r="AA31" s="772"/>
      <c r="AB31" s="764"/>
      <c r="AC31" s="533"/>
      <c r="AD31" s="772"/>
      <c r="AE31" s="764"/>
      <c r="AF31" s="533"/>
      <c r="AG31" s="772"/>
      <c r="AH31" s="764"/>
      <c r="AI31" s="533"/>
      <c r="AJ31" s="772"/>
      <c r="AK31" s="764"/>
      <c r="AL31" s="533"/>
      <c r="AM31" s="772"/>
      <c r="AN31" s="764"/>
      <c r="AO31" s="533"/>
      <c r="AP31" s="772"/>
      <c r="AQ31" s="764"/>
      <c r="AR31" s="533"/>
    </row>
    <row r="32" spans="1:48" s="29" customFormat="1" x14ac:dyDescent="0.2">
      <c r="A32" s="605"/>
      <c r="B32" s="605"/>
      <c r="C32" s="762"/>
      <c r="D32" s="762"/>
      <c r="E32" s="763"/>
      <c r="F32" s="989"/>
      <c r="G32" s="764"/>
      <c r="H32" s="764"/>
      <c r="I32" s="772"/>
      <c r="J32" s="764"/>
      <c r="K32" s="533"/>
      <c r="L32" s="772"/>
      <c r="M32" s="764"/>
      <c r="N32" s="533"/>
      <c r="O32" s="772"/>
      <c r="P32" s="764"/>
      <c r="Q32" s="533"/>
      <c r="R32" s="772"/>
      <c r="S32" s="764"/>
      <c r="T32" s="533"/>
      <c r="U32" s="772"/>
      <c r="V32" s="764"/>
      <c r="W32" s="533"/>
      <c r="X32" s="772"/>
      <c r="Y32" s="764"/>
      <c r="Z32" s="533"/>
      <c r="AA32" s="772"/>
      <c r="AB32" s="764"/>
      <c r="AC32" s="533"/>
      <c r="AD32" s="772"/>
      <c r="AE32" s="764"/>
      <c r="AF32" s="533"/>
      <c r="AG32" s="772"/>
      <c r="AH32" s="764"/>
      <c r="AI32" s="533"/>
      <c r="AJ32" s="772"/>
      <c r="AK32" s="764"/>
      <c r="AL32" s="533"/>
      <c r="AM32" s="772"/>
      <c r="AN32" s="764"/>
      <c r="AO32" s="533"/>
      <c r="AP32" s="772"/>
      <c r="AQ32" s="764"/>
      <c r="AR32" s="533"/>
    </row>
    <row r="33" spans="1:47" x14ac:dyDescent="0.2">
      <c r="A33" s="743" t="s">
        <v>654</v>
      </c>
      <c r="F33" s="973"/>
      <c r="I33" s="455"/>
      <c r="K33" s="32"/>
      <c r="L33" s="455"/>
      <c r="M33" s="748"/>
      <c r="N33" s="32"/>
      <c r="O33" s="455"/>
      <c r="P33" s="748"/>
      <c r="Q33" s="32"/>
      <c r="R33" s="455"/>
      <c r="S33" s="748"/>
      <c r="T33" s="32"/>
      <c r="U33" s="455"/>
      <c r="V33" s="748"/>
      <c r="W33" s="32"/>
      <c r="X33" s="455"/>
      <c r="Y33" s="748"/>
      <c r="Z33" s="32"/>
      <c r="AA33" s="455"/>
      <c r="AB33" s="748"/>
      <c r="AC33" s="32"/>
      <c r="AD33" s="455"/>
      <c r="AE33" s="748"/>
      <c r="AF33" s="32"/>
      <c r="AG33" s="455"/>
      <c r="AH33" s="748"/>
      <c r="AI33" s="32"/>
      <c r="AJ33" s="455"/>
      <c r="AK33" s="748"/>
      <c r="AL33" s="32"/>
      <c r="AM33" s="455"/>
      <c r="AN33" s="748"/>
      <c r="AO33" s="32"/>
      <c r="AP33" s="455"/>
      <c r="AQ33" s="748"/>
      <c r="AR33" s="32"/>
      <c r="AS33" s="32"/>
    </row>
    <row r="34" spans="1:47" x14ac:dyDescent="0.2">
      <c r="A34" s="629">
        <v>27581</v>
      </c>
      <c r="B34" s="29" t="s">
        <v>760</v>
      </c>
      <c r="C34" s="745"/>
      <c r="D34" s="745"/>
      <c r="E34" s="37">
        <v>32500</v>
      </c>
      <c r="F34" s="973">
        <v>0</v>
      </c>
      <c r="G34" s="748" t="s">
        <v>617</v>
      </c>
      <c r="H34" s="748" t="s">
        <v>617</v>
      </c>
      <c r="I34" s="455"/>
      <c r="K34" s="32">
        <v>0</v>
      </c>
      <c r="L34" s="455"/>
      <c r="M34" s="748"/>
      <c r="N34" s="32">
        <v>0</v>
      </c>
      <c r="O34" s="455"/>
      <c r="P34" s="748"/>
      <c r="Q34" s="32">
        <v>0</v>
      </c>
      <c r="R34" s="455"/>
      <c r="S34" s="748"/>
      <c r="T34" s="32">
        <v>0</v>
      </c>
      <c r="U34" s="455"/>
      <c r="V34" s="748"/>
      <c r="W34" s="32">
        <v>0</v>
      </c>
      <c r="X34" s="455"/>
      <c r="Y34" s="748"/>
      <c r="Z34" s="32">
        <v>0</v>
      </c>
      <c r="AA34" s="455"/>
      <c r="AB34" s="748"/>
      <c r="AC34" s="32">
        <v>0</v>
      </c>
      <c r="AD34" s="455"/>
      <c r="AE34" s="748"/>
      <c r="AF34" s="32">
        <v>0</v>
      </c>
      <c r="AG34" s="455"/>
      <c r="AH34" s="748"/>
      <c r="AI34" s="32">
        <v>0</v>
      </c>
      <c r="AJ34" s="455"/>
      <c r="AK34" s="748"/>
      <c r="AL34" s="32">
        <v>0</v>
      </c>
      <c r="AM34" s="455"/>
      <c r="AN34" s="748"/>
      <c r="AO34" s="32">
        <v>0</v>
      </c>
      <c r="AP34" s="455"/>
      <c r="AQ34" s="748">
        <f>AR34/11000/AR7</f>
        <v>0</v>
      </c>
      <c r="AR34" s="32">
        <v>0</v>
      </c>
      <c r="AS34" s="32"/>
      <c r="AU34" s="33">
        <f>AR34+AO34+AL34+AI34+AF34+AC34+Z34+W34+T34+Q34+N34+K34</f>
        <v>0</v>
      </c>
    </row>
    <row r="35" spans="1:47" x14ac:dyDescent="0.2">
      <c r="D35" s="745"/>
      <c r="E35" s="753"/>
      <c r="F35" s="973"/>
      <c r="I35" s="777">
        <v>0</v>
      </c>
      <c r="J35" s="748">
        <f>IF(I35&gt;0,K35/I35/K$7,0)</f>
        <v>0</v>
      </c>
      <c r="K35" s="39">
        <v>0</v>
      </c>
      <c r="L35" s="777">
        <v>0</v>
      </c>
      <c r="M35" s="748">
        <f>IF(L35&gt;0,N35/L35/N$7,0)</f>
        <v>0</v>
      </c>
      <c r="N35" s="39">
        <v>0</v>
      </c>
      <c r="O35" s="777">
        <v>0</v>
      </c>
      <c r="P35" s="748">
        <f>IF(O35&gt;0,Q35/O35/Q$7,0)</f>
        <v>0</v>
      </c>
      <c r="Q35" s="39">
        <v>0</v>
      </c>
      <c r="R35" s="777">
        <v>0</v>
      </c>
      <c r="S35" s="748">
        <f>IF(R35&gt;0,T35/R35/T$7,0)</f>
        <v>0</v>
      </c>
      <c r="T35" s="39">
        <v>0</v>
      </c>
      <c r="U35" s="777">
        <v>0</v>
      </c>
      <c r="V35" s="748">
        <f>IF(U35&gt;0,W35/U35/W$7,0)</f>
        <v>0</v>
      </c>
      <c r="W35" s="39">
        <v>0</v>
      </c>
      <c r="X35" s="777">
        <v>0</v>
      </c>
      <c r="Y35" s="748">
        <f>IF(X35&gt;0,Z35/X35/Z$7,0)</f>
        <v>0</v>
      </c>
      <c r="Z35" s="39">
        <v>0</v>
      </c>
      <c r="AA35" s="777">
        <v>0</v>
      </c>
      <c r="AB35" s="748">
        <f>IF(AA35&gt;0,AC35/AA35/AC$7,0)</f>
        <v>0</v>
      </c>
      <c r="AC35" s="39">
        <v>0</v>
      </c>
      <c r="AD35" s="777">
        <v>0</v>
      </c>
      <c r="AE35" s="748">
        <f>IF(AD35&gt;0,AF35/AD35/AF$7,0)</f>
        <v>0</v>
      </c>
      <c r="AF35" s="39">
        <v>0</v>
      </c>
      <c r="AG35" s="777">
        <v>0</v>
      </c>
      <c r="AH35" s="748">
        <f>IF(AG35&gt;0,AI35/AG35/AI$7,0)</f>
        <v>0</v>
      </c>
      <c r="AI35" s="39">
        <v>0</v>
      </c>
      <c r="AJ35" s="777">
        <v>0</v>
      </c>
      <c r="AK35" s="748">
        <f>IF(AJ35&gt;0,AL35/AJ35/AL$7,0)</f>
        <v>0</v>
      </c>
      <c r="AL35" s="39">
        <v>0</v>
      </c>
      <c r="AM35" s="777">
        <v>0</v>
      </c>
      <c r="AN35" s="748">
        <f>IF(AM35&gt;0,AO35/AM35/AO$7,0)</f>
        <v>0</v>
      </c>
      <c r="AO35" s="39">
        <v>0</v>
      </c>
      <c r="AP35" s="777">
        <v>0</v>
      </c>
      <c r="AQ35" s="748">
        <f>IF(AP35&gt;0,AR35/AP35/AR$7,0)</f>
        <v>0</v>
      </c>
      <c r="AR35" s="39">
        <v>0</v>
      </c>
      <c r="AS35" s="32"/>
      <c r="AU35" s="804">
        <f>AR35+AO35+AL35+AI35+AF35+AC35+Z35+W35+T35+Q35+N35+K35</f>
        <v>0</v>
      </c>
    </row>
    <row r="36" spans="1:47" s="42" customFormat="1" x14ac:dyDescent="0.2">
      <c r="A36" s="741" t="s">
        <v>762</v>
      </c>
      <c r="C36" s="3"/>
      <c r="D36" s="3"/>
      <c r="E36" s="431">
        <f>SUM(E34:E35)</f>
        <v>32500</v>
      </c>
      <c r="F36" s="988"/>
      <c r="G36" s="754"/>
      <c r="H36" s="754"/>
      <c r="I36" s="774">
        <f>SUM(I34:I35)</f>
        <v>0</v>
      </c>
      <c r="J36" s="754">
        <f>IF(I36&gt;0,K36/I36/K$7,0)</f>
        <v>0</v>
      </c>
      <c r="K36" s="31">
        <f>SUM(K34:K35)</f>
        <v>0</v>
      </c>
      <c r="L36" s="774">
        <f>SUM(L34:L35)</f>
        <v>0</v>
      </c>
      <c r="M36" s="754">
        <f>IF(L36&gt;0,N36/L36/N$7,0)</f>
        <v>0</v>
      </c>
      <c r="N36" s="31">
        <f>SUM(N34:N35)</f>
        <v>0</v>
      </c>
      <c r="O36" s="774">
        <f>SUM(O34:O35)</f>
        <v>0</v>
      </c>
      <c r="P36" s="754">
        <f>IF(O36&gt;0,Q36/O36/Q$7,0)</f>
        <v>0</v>
      </c>
      <c r="Q36" s="31">
        <f>SUM(Q34:Q35)</f>
        <v>0</v>
      </c>
      <c r="R36" s="774">
        <f>SUM(R34:R35)</f>
        <v>0</v>
      </c>
      <c r="S36" s="754">
        <f>IF(R36&gt;0,T36/R36/T$7,0)</f>
        <v>0</v>
      </c>
      <c r="T36" s="31">
        <f>SUM(T34:T35)</f>
        <v>0</v>
      </c>
      <c r="U36" s="774">
        <f>SUM(U34:U35)</f>
        <v>0</v>
      </c>
      <c r="V36" s="754">
        <f>IF(U36&gt;0,W36/U36/W$7,0)</f>
        <v>0</v>
      </c>
      <c r="W36" s="31">
        <f>SUM(W34:W35)</f>
        <v>0</v>
      </c>
      <c r="X36" s="774">
        <f>SUM(X34:X35)</f>
        <v>0</v>
      </c>
      <c r="Y36" s="754">
        <f>IF(X36&gt;0,Z36/X36/Z$7,0)</f>
        <v>0</v>
      </c>
      <c r="Z36" s="31">
        <f>SUM(Z34:Z35)</f>
        <v>0</v>
      </c>
      <c r="AA36" s="774">
        <f>SUM(AA34:AA35)</f>
        <v>0</v>
      </c>
      <c r="AB36" s="754">
        <f>IF(AA36&gt;0,AC36/AA36/AC$7,0)</f>
        <v>0</v>
      </c>
      <c r="AC36" s="31">
        <f>SUM(AC34:AC35)</f>
        <v>0</v>
      </c>
      <c r="AD36" s="774">
        <f>SUM(AD34:AD35)</f>
        <v>0</v>
      </c>
      <c r="AE36" s="754">
        <f>IF(AD36&gt;0,AF36/AD36/AF$7,0)</f>
        <v>0</v>
      </c>
      <c r="AF36" s="31">
        <f>SUM(AF34:AF35)</f>
        <v>0</v>
      </c>
      <c r="AG36" s="774">
        <f>SUM(AG34:AG35)</f>
        <v>0</v>
      </c>
      <c r="AH36" s="754">
        <f>IF(AG36&gt;0,AI36/AG36/AI$7,0)</f>
        <v>0</v>
      </c>
      <c r="AI36" s="31">
        <f>SUM(AI34:AI35)</f>
        <v>0</v>
      </c>
      <c r="AJ36" s="774">
        <f>SUM(AJ34:AJ35)</f>
        <v>0</v>
      </c>
      <c r="AK36" s="754">
        <f>IF(AJ36&gt;0,AL36/AJ36/AL$7,0)</f>
        <v>0</v>
      </c>
      <c r="AL36" s="31">
        <f>SUM(AL34:AL35)</f>
        <v>0</v>
      </c>
      <c r="AM36" s="774">
        <f>SUM(AM34:AM35)</f>
        <v>0</v>
      </c>
      <c r="AN36" s="754">
        <f>IF(AM36&gt;0,AO36/AM36/AO$7,0)</f>
        <v>0</v>
      </c>
      <c r="AO36" s="31">
        <f>SUM(AO34:AO35)</f>
        <v>0</v>
      </c>
      <c r="AP36" s="774">
        <f>SUM(AP34:AP35)</f>
        <v>0</v>
      </c>
      <c r="AQ36" s="754">
        <f>IF(AP36&gt;0,AR36/AP36/AR$7,0)</f>
        <v>0</v>
      </c>
      <c r="AR36" s="31">
        <f>SUM(AR34:AR35)</f>
        <v>0</v>
      </c>
      <c r="AS36" s="31"/>
      <c r="AT36" s="31">
        <f>SUM(I36:AS36)</f>
        <v>0</v>
      </c>
      <c r="AU36" s="802"/>
    </row>
    <row r="37" spans="1:47" s="29" customFormat="1" x14ac:dyDescent="0.2">
      <c r="A37" s="605"/>
      <c r="B37" s="605"/>
      <c r="C37" s="762"/>
      <c r="D37" s="762"/>
      <c r="E37" s="763"/>
      <c r="F37" s="989"/>
      <c r="G37" s="764"/>
      <c r="H37" s="764"/>
      <c r="I37" s="772"/>
      <c r="J37" s="764"/>
      <c r="K37" s="533"/>
      <c r="L37" s="772"/>
      <c r="M37" s="764"/>
      <c r="N37" s="533"/>
      <c r="O37" s="772"/>
      <c r="P37" s="764"/>
      <c r="Q37" s="533"/>
      <c r="R37" s="772"/>
      <c r="S37" s="764"/>
      <c r="T37" s="533"/>
      <c r="U37" s="772"/>
      <c r="V37" s="764"/>
      <c r="W37" s="533"/>
      <c r="X37" s="772"/>
      <c r="Y37" s="764"/>
      <c r="Z37" s="533"/>
      <c r="AA37" s="772"/>
      <c r="AB37" s="764"/>
      <c r="AC37" s="533"/>
      <c r="AD37" s="772"/>
      <c r="AE37" s="764"/>
      <c r="AF37" s="533"/>
      <c r="AG37" s="772"/>
      <c r="AH37" s="764"/>
      <c r="AI37" s="533"/>
      <c r="AJ37" s="772"/>
      <c r="AK37" s="764"/>
      <c r="AL37" s="533"/>
      <c r="AM37" s="772"/>
      <c r="AN37" s="764"/>
      <c r="AO37" s="533"/>
      <c r="AP37" s="772"/>
      <c r="AQ37" s="764"/>
      <c r="AR37" s="533"/>
    </row>
    <row r="38" spans="1:47" x14ac:dyDescent="0.2">
      <c r="A38" s="646"/>
      <c r="B38" s="646"/>
      <c r="C38" s="478"/>
      <c r="D38" s="478"/>
      <c r="E38" s="756"/>
      <c r="F38" s="987"/>
      <c r="G38" s="757"/>
      <c r="H38" s="757"/>
      <c r="I38" s="773"/>
      <c r="J38" s="757"/>
      <c r="K38" s="482"/>
      <c r="L38" s="773"/>
      <c r="M38" s="757"/>
      <c r="N38" s="482"/>
      <c r="O38" s="773"/>
      <c r="P38" s="757"/>
      <c r="Q38" s="482"/>
      <c r="R38" s="773"/>
      <c r="S38" s="757"/>
      <c r="T38" s="482"/>
      <c r="U38" s="773"/>
      <c r="V38" s="757"/>
      <c r="W38" s="482"/>
      <c r="X38" s="773"/>
      <c r="Y38" s="757"/>
      <c r="Z38" s="482"/>
      <c r="AA38" s="773"/>
      <c r="AB38" s="757"/>
      <c r="AC38" s="482"/>
      <c r="AD38" s="773"/>
      <c r="AE38" s="757"/>
      <c r="AF38" s="482"/>
      <c r="AG38" s="773"/>
      <c r="AH38" s="757"/>
      <c r="AI38" s="482"/>
      <c r="AJ38" s="773"/>
      <c r="AK38" s="757"/>
      <c r="AL38" s="482"/>
      <c r="AM38" s="773"/>
      <c r="AN38" s="757"/>
      <c r="AO38" s="482"/>
      <c r="AP38" s="773"/>
      <c r="AQ38" s="757"/>
      <c r="AR38" s="482"/>
    </row>
    <row r="39" spans="1:47" x14ac:dyDescent="0.2">
      <c r="A39" s="743" t="s">
        <v>283</v>
      </c>
      <c r="F39" s="973"/>
      <c r="I39" s="455"/>
      <c r="K39" s="32"/>
      <c r="L39" s="455"/>
      <c r="M39" s="748"/>
      <c r="N39" s="32"/>
      <c r="O39" s="455"/>
      <c r="P39" s="748"/>
      <c r="Q39" s="32"/>
      <c r="R39" s="455"/>
      <c r="S39" s="748"/>
      <c r="T39" s="32"/>
      <c r="U39" s="455"/>
      <c r="V39" s="748"/>
      <c r="W39" s="32"/>
      <c r="X39" s="455"/>
      <c r="Y39" s="748"/>
      <c r="Z39" s="32"/>
      <c r="AA39" s="455"/>
      <c r="AB39" s="748"/>
      <c r="AC39" s="32"/>
      <c r="AD39" s="455"/>
      <c r="AE39" s="748"/>
      <c r="AF39" s="32"/>
      <c r="AG39" s="455"/>
      <c r="AH39" s="748"/>
      <c r="AI39" s="32"/>
      <c r="AJ39" s="455"/>
      <c r="AK39" s="748"/>
      <c r="AL39" s="32"/>
      <c r="AM39" s="455"/>
      <c r="AN39" s="748"/>
      <c r="AO39" s="32"/>
      <c r="AP39" s="455"/>
      <c r="AQ39" s="748"/>
      <c r="AR39" s="32"/>
      <c r="AS39" s="32"/>
    </row>
    <row r="40" spans="1:47" x14ac:dyDescent="0.2">
      <c r="D40" s="745"/>
      <c r="F40" s="973"/>
      <c r="I40" s="455"/>
      <c r="K40" s="32"/>
      <c r="L40" s="455"/>
      <c r="M40" s="748"/>
      <c r="N40" s="32"/>
      <c r="O40" s="455"/>
      <c r="P40" s="748"/>
      <c r="Q40" s="32"/>
      <c r="R40" s="455"/>
      <c r="S40" s="748"/>
      <c r="T40" s="32"/>
      <c r="U40" s="455"/>
      <c r="V40" s="748"/>
      <c r="W40" s="32"/>
      <c r="X40" s="455"/>
      <c r="Y40" s="748"/>
      <c r="Z40" s="32"/>
      <c r="AA40" s="455"/>
      <c r="AB40" s="748"/>
      <c r="AC40" s="32"/>
      <c r="AD40" s="455"/>
      <c r="AE40" s="748"/>
      <c r="AF40" s="32"/>
      <c r="AG40" s="455"/>
      <c r="AH40" s="748"/>
      <c r="AI40" s="32"/>
      <c r="AJ40" s="455"/>
      <c r="AK40" s="748"/>
      <c r="AL40" s="32"/>
      <c r="AM40" s="455"/>
      <c r="AN40" s="748"/>
      <c r="AO40" s="32"/>
      <c r="AP40" s="455"/>
      <c r="AQ40" s="748"/>
      <c r="AR40" s="32"/>
      <c r="AS40" s="32"/>
      <c r="AU40" s="33"/>
    </row>
    <row r="41" spans="1:47" x14ac:dyDescent="0.2">
      <c r="A41" s="925" t="s">
        <v>712</v>
      </c>
      <c r="B41" t="s">
        <v>26</v>
      </c>
      <c r="C41" s="35" t="s">
        <v>616</v>
      </c>
      <c r="D41" s="745">
        <v>37621</v>
      </c>
      <c r="E41" s="37">
        <v>13300</v>
      </c>
      <c r="F41" s="973">
        <v>0.02</v>
      </c>
      <c r="G41" s="748" t="s">
        <v>617</v>
      </c>
      <c r="H41" s="748" t="s">
        <v>617</v>
      </c>
      <c r="I41" s="455">
        <v>0</v>
      </c>
      <c r="J41" s="748">
        <f>IF(I41&gt;0,K41/I41/K$7,0)</f>
        <v>0</v>
      </c>
      <c r="K41" s="32">
        <v>0</v>
      </c>
      <c r="L41" s="455">
        <v>0</v>
      </c>
      <c r="M41" s="748">
        <f>IF(L41&gt;0,N41/L41/N$7,0)</f>
        <v>0</v>
      </c>
      <c r="N41" s="32">
        <v>0</v>
      </c>
      <c r="O41" s="455">
        <v>0</v>
      </c>
      <c r="P41" s="748">
        <f>IF(O41&gt;0,Q41/O41/Q$7,0)</f>
        <v>0</v>
      </c>
      <c r="Q41" s="32">
        <v>0</v>
      </c>
      <c r="R41" s="455">
        <v>0</v>
      </c>
      <c r="S41" s="748">
        <f>IF(R41&gt;0,T41/R41/T$7,0)</f>
        <v>0</v>
      </c>
      <c r="T41" s="32">
        <v>0</v>
      </c>
      <c r="U41" s="455">
        <v>0</v>
      </c>
      <c r="V41" s="748">
        <f>IF(U41&gt;0,W41/U41/W$7,0)</f>
        <v>0</v>
      </c>
      <c r="W41" s="32">
        <v>0</v>
      </c>
      <c r="X41" s="455">
        <v>0</v>
      </c>
      <c r="Y41" s="748">
        <f>$F$41</f>
        <v>0.02</v>
      </c>
      <c r="Z41" s="32">
        <f>ROUND($E41*$F41*Z$7,0)</f>
        <v>7980</v>
      </c>
      <c r="AA41" s="455">
        <v>0</v>
      </c>
      <c r="AB41" s="748">
        <f>$F$41</f>
        <v>0.02</v>
      </c>
      <c r="AC41" s="32">
        <f>ROUND($E41*$F41*AC$7,0)</f>
        <v>8246</v>
      </c>
      <c r="AD41" s="455">
        <v>0</v>
      </c>
      <c r="AE41" s="748">
        <f>$F$41</f>
        <v>0.02</v>
      </c>
      <c r="AF41" s="32">
        <f>ROUND($E41*$F41*AF$7,0)</f>
        <v>8246</v>
      </c>
      <c r="AG41" s="455">
        <v>0</v>
      </c>
      <c r="AH41" s="748">
        <f>$F$41</f>
        <v>0.02</v>
      </c>
      <c r="AI41" s="32">
        <f>ROUND($E41*$F41*AI$7,0)</f>
        <v>7980</v>
      </c>
      <c r="AJ41" s="455">
        <v>0</v>
      </c>
      <c r="AK41" s="748">
        <f>$F$41</f>
        <v>0.02</v>
      </c>
      <c r="AL41" s="32">
        <f>ROUND($E41*$F41*AL$7,0)</f>
        <v>8246</v>
      </c>
      <c r="AM41" s="455">
        <v>0</v>
      </c>
      <c r="AN41" s="748">
        <f>$F$41</f>
        <v>0.02</v>
      </c>
      <c r="AO41" s="32">
        <f>ROUND($E41*$F41*AO$7,0)</f>
        <v>7980</v>
      </c>
      <c r="AP41" s="455">
        <v>0</v>
      </c>
      <c r="AQ41" s="748">
        <f>$F$41</f>
        <v>0.02</v>
      </c>
      <c r="AR41" s="32">
        <f>ROUND($E41*$F41*AR$7,0)</f>
        <v>8246</v>
      </c>
      <c r="AS41" s="32"/>
      <c r="AU41" s="33">
        <f>AR41+AO41+AL41+AI41+AF41+AC41+Z41+W41+T41+Q41+N41+K41</f>
        <v>56924</v>
      </c>
    </row>
    <row r="42" spans="1:47" x14ac:dyDescent="0.2">
      <c r="D42" s="745"/>
      <c r="E42" s="753"/>
      <c r="F42" s="973"/>
      <c r="I42" s="777"/>
      <c r="K42" s="39"/>
      <c r="L42" s="777"/>
      <c r="M42" s="748"/>
      <c r="N42" s="39"/>
      <c r="O42" s="777"/>
      <c r="P42" s="748"/>
      <c r="Q42" s="39"/>
      <c r="R42" s="777"/>
      <c r="S42" s="748"/>
      <c r="T42" s="39"/>
      <c r="U42" s="777"/>
      <c r="V42" s="748"/>
      <c r="W42" s="39"/>
      <c r="X42" s="777"/>
      <c r="Y42" s="748"/>
      <c r="Z42" s="39"/>
      <c r="AA42" s="777"/>
      <c r="AB42" s="748"/>
      <c r="AC42" s="39"/>
      <c r="AD42" s="777"/>
      <c r="AE42" s="748"/>
      <c r="AF42" s="39"/>
      <c r="AG42" s="777"/>
      <c r="AH42" s="748"/>
      <c r="AI42" s="39"/>
      <c r="AJ42" s="777"/>
      <c r="AK42" s="748"/>
      <c r="AL42" s="39"/>
      <c r="AM42" s="777"/>
      <c r="AN42" s="748"/>
      <c r="AO42" s="39"/>
      <c r="AP42" s="777"/>
      <c r="AQ42" s="748"/>
      <c r="AR42" s="39"/>
      <c r="AS42" s="32"/>
      <c r="AU42" s="804"/>
    </row>
    <row r="43" spans="1:47" x14ac:dyDescent="0.2">
      <c r="A43" s="629" t="s">
        <v>614</v>
      </c>
      <c r="E43" s="37">
        <f>SUM(E39:E42)</f>
        <v>13300</v>
      </c>
      <c r="F43" s="973"/>
      <c r="I43" s="455">
        <f>SUM(I40:I42)</f>
        <v>0</v>
      </c>
      <c r="K43" s="32">
        <f>SUM(K39:K42)</f>
        <v>0</v>
      </c>
      <c r="L43" s="455">
        <f>SUM(L40:L42)</f>
        <v>0</v>
      </c>
      <c r="M43" s="748"/>
      <c r="N43" s="32">
        <f>SUM(N39:N42)</f>
        <v>0</v>
      </c>
      <c r="O43" s="455">
        <f>SUM(O40:O42)</f>
        <v>0</v>
      </c>
      <c r="P43" s="748"/>
      <c r="Q43" s="32">
        <f>SUM(Q39:Q42)</f>
        <v>0</v>
      </c>
      <c r="R43" s="455">
        <f>SUM(R40:R42)</f>
        <v>0</v>
      </c>
      <c r="S43" s="748"/>
      <c r="T43" s="32">
        <f>SUM(T39:T42)</f>
        <v>0</v>
      </c>
      <c r="U43" s="455">
        <f>SUM(U40:U42)</f>
        <v>0</v>
      </c>
      <c r="V43" s="748"/>
      <c r="W43" s="32">
        <f>SUM(W39:W42)</f>
        <v>0</v>
      </c>
      <c r="X43" s="455">
        <f>SUM(X40:X42)</f>
        <v>0</v>
      </c>
      <c r="Y43" s="748"/>
      <c r="Z43" s="32">
        <f>SUM(Z39:Z42)</f>
        <v>7980</v>
      </c>
      <c r="AA43" s="455">
        <f>SUM(AA40:AA42)</f>
        <v>0</v>
      </c>
      <c r="AB43" s="748"/>
      <c r="AC43" s="32">
        <f>SUM(AC39:AC42)</f>
        <v>8246</v>
      </c>
      <c r="AD43" s="455">
        <f>SUM(AD40:AD42)</f>
        <v>0</v>
      </c>
      <c r="AE43" s="748"/>
      <c r="AF43" s="32">
        <f>SUM(AF39:AF42)</f>
        <v>8246</v>
      </c>
      <c r="AG43" s="455">
        <f>SUM(AG40:AG42)</f>
        <v>0</v>
      </c>
      <c r="AH43" s="748"/>
      <c r="AI43" s="32">
        <f>SUM(AI39:AI42)</f>
        <v>7980</v>
      </c>
      <c r="AJ43" s="455">
        <f>SUM(AJ40:AJ42)</f>
        <v>0</v>
      </c>
      <c r="AK43" s="748"/>
      <c r="AL43" s="32">
        <f>SUM(AL39:AL42)</f>
        <v>8246</v>
      </c>
      <c r="AM43" s="455">
        <f>SUM(AM40:AM42)</f>
        <v>0</v>
      </c>
      <c r="AN43" s="748"/>
      <c r="AO43" s="32">
        <f>SUM(AO39:AO42)</f>
        <v>7980</v>
      </c>
      <c r="AP43" s="455">
        <f>SUM(AP40:AP42)</f>
        <v>0</v>
      </c>
      <c r="AQ43" s="748"/>
      <c r="AR43" s="32">
        <f>SUM(AR39:AR42)</f>
        <v>8246</v>
      </c>
      <c r="AS43" s="32"/>
      <c r="AU43" s="802"/>
    </row>
    <row r="44" spans="1:47" x14ac:dyDescent="0.2">
      <c r="F44" s="973"/>
      <c r="I44" s="455"/>
      <c r="K44" s="32"/>
      <c r="L44" s="455"/>
      <c r="M44" s="748"/>
      <c r="N44" s="32"/>
      <c r="O44" s="455"/>
      <c r="P44" s="748"/>
      <c r="Q44" s="32"/>
      <c r="R44" s="455"/>
      <c r="S44" s="748"/>
      <c r="T44" s="32"/>
      <c r="U44" s="455"/>
      <c r="V44" s="748"/>
      <c r="W44" s="32"/>
      <c r="X44" s="455"/>
      <c r="Y44" s="748"/>
      <c r="Z44" s="32"/>
      <c r="AA44" s="455"/>
      <c r="AB44" s="748"/>
      <c r="AC44" s="32"/>
      <c r="AD44" s="455"/>
      <c r="AE44" s="748"/>
      <c r="AF44" s="32"/>
      <c r="AG44" s="455"/>
      <c r="AH44" s="748"/>
      <c r="AI44" s="32"/>
      <c r="AJ44" s="455"/>
      <c r="AK44" s="748"/>
      <c r="AL44" s="32"/>
      <c r="AM44" s="455"/>
      <c r="AN44" s="748"/>
      <c r="AO44" s="32"/>
      <c r="AP44" s="455"/>
      <c r="AQ44" s="748"/>
      <c r="AR44" s="32"/>
      <c r="AS44" s="32"/>
    </row>
    <row r="45" spans="1:47" x14ac:dyDescent="0.2">
      <c r="B45" s="29"/>
      <c r="C45" s="745"/>
      <c r="D45" s="745"/>
      <c r="F45" s="973"/>
      <c r="I45" s="455"/>
      <c r="K45" s="32"/>
      <c r="L45" s="455"/>
      <c r="M45" s="748"/>
      <c r="N45" s="32"/>
      <c r="O45" s="455"/>
      <c r="P45" s="748"/>
      <c r="Q45" s="32"/>
      <c r="R45" s="455"/>
      <c r="S45" s="748"/>
      <c r="T45" s="32"/>
      <c r="U45" s="455"/>
      <c r="V45" s="748"/>
      <c r="W45" s="32"/>
      <c r="X45" s="455"/>
      <c r="Y45" s="748"/>
      <c r="Z45" s="32"/>
      <c r="AA45" s="455"/>
      <c r="AB45" s="748"/>
      <c r="AC45" s="32"/>
      <c r="AD45" s="455"/>
      <c r="AE45" s="748"/>
      <c r="AF45" s="32"/>
      <c r="AG45" s="455"/>
      <c r="AH45" s="748"/>
      <c r="AI45" s="32"/>
      <c r="AJ45" s="455"/>
      <c r="AK45" s="748"/>
      <c r="AL45" s="32"/>
      <c r="AM45" s="455"/>
      <c r="AN45" s="748"/>
      <c r="AO45" s="32"/>
      <c r="AP45" s="455"/>
      <c r="AQ45" s="748"/>
      <c r="AR45" s="32"/>
      <c r="AS45" s="32"/>
      <c r="AU45" s="33"/>
    </row>
    <row r="46" spans="1:47" x14ac:dyDescent="0.2">
      <c r="A46" s="629">
        <v>27340</v>
      </c>
      <c r="B46" s="29" t="s">
        <v>645</v>
      </c>
      <c r="C46" s="745"/>
      <c r="D46" s="745">
        <v>37287</v>
      </c>
      <c r="E46" s="37">
        <v>10000</v>
      </c>
      <c r="F46" s="973">
        <v>0.04</v>
      </c>
      <c r="G46" s="748" t="s">
        <v>617</v>
      </c>
      <c r="H46" s="748" t="s">
        <v>617</v>
      </c>
      <c r="I46" s="455">
        <v>0</v>
      </c>
      <c r="J46" s="748">
        <f>IF(I46&gt;0,K46/I46/K$7,0)</f>
        <v>0</v>
      </c>
      <c r="K46" s="32">
        <v>0</v>
      </c>
      <c r="L46" s="455">
        <v>0</v>
      </c>
      <c r="M46" s="748">
        <f>IF(L46&gt;0,N46/L46/N$7,0)</f>
        <v>0</v>
      </c>
      <c r="N46" s="32">
        <f>ROUND($E46*$F46*N$7,0)</f>
        <v>11200</v>
      </c>
      <c r="O46" s="455">
        <v>0</v>
      </c>
      <c r="P46" s="748">
        <f>IF(O46&gt;0,Q46/O46/Q$7,0)</f>
        <v>0</v>
      </c>
      <c r="Q46" s="32">
        <f>ROUND($E46*$F46*Q$7,0)</f>
        <v>12400</v>
      </c>
      <c r="R46" s="455">
        <v>0</v>
      </c>
      <c r="S46" s="748">
        <f>IF(R46&gt;0,T46/R46/T$7,0)</f>
        <v>0</v>
      </c>
      <c r="T46" s="32">
        <f>ROUND($E46*$F46*T$7,0)</f>
        <v>12000</v>
      </c>
      <c r="U46" s="455">
        <v>0</v>
      </c>
      <c r="V46" s="748">
        <f>IF(U46&gt;0,W46/U46/W$7,0)</f>
        <v>0</v>
      </c>
      <c r="W46" s="32">
        <f>ROUND($E46*$F46*W$7,0)</f>
        <v>12400</v>
      </c>
      <c r="X46" s="455">
        <v>0</v>
      </c>
      <c r="Y46" s="748">
        <f>IF(X46&gt;0,Z46/X46/Z$7,0)</f>
        <v>0</v>
      </c>
      <c r="Z46" s="32">
        <f>ROUND($E46*$F46*Z$7,0)</f>
        <v>12000</v>
      </c>
      <c r="AA46" s="455">
        <v>0</v>
      </c>
      <c r="AB46" s="748">
        <f>IF(AA46&gt;0,AC46/AA46/AC$7,0)</f>
        <v>0</v>
      </c>
      <c r="AC46" s="32">
        <f>ROUND($E46*$F46*AC$7,0)</f>
        <v>12400</v>
      </c>
      <c r="AD46" s="455">
        <v>0</v>
      </c>
      <c r="AE46" s="748">
        <f>IF(AD46&gt;0,AF46/AD46/AF$7,0)</f>
        <v>0</v>
      </c>
      <c r="AF46" s="32">
        <f>ROUND($E46*$F46*AF$7,0)</f>
        <v>12400</v>
      </c>
      <c r="AG46" s="455">
        <v>0</v>
      </c>
      <c r="AH46" s="748">
        <f>IF(AG46&gt;0,AI46/AG46/AI$7,0)</f>
        <v>0</v>
      </c>
      <c r="AI46" s="32">
        <f>ROUND($E46*$F46*AI$7,0)</f>
        <v>12000</v>
      </c>
      <c r="AJ46" s="455">
        <v>0</v>
      </c>
      <c r="AK46" s="748">
        <f>IF(AJ46&gt;0,AL46/AJ46/AL$7,0)</f>
        <v>0</v>
      </c>
      <c r="AL46" s="32">
        <f>ROUND($E46*$F46*AL$7,0)</f>
        <v>12400</v>
      </c>
      <c r="AM46" s="455">
        <v>0</v>
      </c>
      <c r="AN46" s="748">
        <f>IF(AM46&gt;0,AO46/AM46/AO$7,0)</f>
        <v>0</v>
      </c>
      <c r="AO46" s="32">
        <f>ROUND($E46*$F46*AO$7,0)</f>
        <v>12000</v>
      </c>
      <c r="AP46" s="455">
        <v>0</v>
      </c>
      <c r="AQ46" s="748">
        <f>IF(AP46&gt;0,AR46/AP46/AR$7,0)</f>
        <v>0</v>
      </c>
      <c r="AR46" s="32">
        <f>ROUND($E46*$F46*AR$7,0)</f>
        <v>12400</v>
      </c>
      <c r="AS46" s="32"/>
      <c r="AU46" s="33">
        <f>AR46+AO46+AL46+AI46+AF46+AC46+Z46+W46+T46+Q46+N46+K46</f>
        <v>133600</v>
      </c>
    </row>
    <row r="47" spans="1:47" x14ac:dyDescent="0.2">
      <c r="A47" s="629">
        <v>27340</v>
      </c>
      <c r="B47" s="29" t="s">
        <v>645</v>
      </c>
      <c r="C47" s="745"/>
      <c r="D47" s="745">
        <v>37287</v>
      </c>
      <c r="E47" s="37">
        <v>10000</v>
      </c>
      <c r="F47" s="973">
        <v>0.02</v>
      </c>
      <c r="G47" s="748" t="s">
        <v>617</v>
      </c>
      <c r="H47" s="748" t="s">
        <v>617</v>
      </c>
      <c r="I47" s="455">
        <v>0</v>
      </c>
      <c r="J47" s="748">
        <f>IF(I47&gt;0,K47/I47/K$7,0)</f>
        <v>0</v>
      </c>
      <c r="K47" s="32">
        <v>0</v>
      </c>
      <c r="L47" s="455">
        <v>0</v>
      </c>
      <c r="M47" s="748">
        <f>IF(L47&gt;0,N47/L47/N$7,0)</f>
        <v>0</v>
      </c>
      <c r="N47" s="32">
        <f>ROUND($E47*$F47*N$7,0)</f>
        <v>5600</v>
      </c>
      <c r="O47" s="455">
        <v>0</v>
      </c>
      <c r="P47" s="748">
        <f>IF(O47&gt;0,Q47/O47/Q$7,0)</f>
        <v>0</v>
      </c>
      <c r="Q47" s="32">
        <f>ROUND($E47*$F47*Q$7,0)</f>
        <v>6200</v>
      </c>
      <c r="R47" s="455">
        <v>0</v>
      </c>
      <c r="S47" s="748">
        <f>IF(R47&gt;0,T47/R47/T$7,0)</f>
        <v>0</v>
      </c>
      <c r="T47" s="32">
        <f>ROUND($E47*$F47*T$7,0)</f>
        <v>6000</v>
      </c>
      <c r="U47" s="455">
        <v>0</v>
      </c>
      <c r="V47" s="748">
        <f>IF(U47&gt;0,W47/U47/W$7,0)</f>
        <v>0</v>
      </c>
      <c r="W47" s="32">
        <f>ROUND($E47*$F47*W$7,0)</f>
        <v>6200</v>
      </c>
      <c r="X47" s="455">
        <v>0</v>
      </c>
      <c r="Y47" s="748">
        <f>IF(X47&gt;0,Z47/X47/Z$7,0)</f>
        <v>0</v>
      </c>
      <c r="Z47" s="32">
        <f>ROUND($E47*$F47*Z$7,0)</f>
        <v>6000</v>
      </c>
      <c r="AA47" s="455">
        <v>0</v>
      </c>
      <c r="AB47" s="748">
        <f>IF(AA47&gt;0,AC47/AA47/AC$7,0)</f>
        <v>0</v>
      </c>
      <c r="AC47" s="32">
        <f>ROUND($E47*$F47*AC$7,0)</f>
        <v>6200</v>
      </c>
      <c r="AD47" s="455">
        <v>0</v>
      </c>
      <c r="AE47" s="748">
        <f>IF(AD47&gt;0,AF47/AD47/AF$7,0)</f>
        <v>0</v>
      </c>
      <c r="AF47" s="32">
        <f>ROUND($E47*$F47*AF$7,0)</f>
        <v>6200</v>
      </c>
      <c r="AG47" s="455">
        <v>0</v>
      </c>
      <c r="AH47" s="748">
        <f>IF(AG47&gt;0,AI47/AG47/AI$7,0)</f>
        <v>0</v>
      </c>
      <c r="AI47" s="32">
        <f>ROUND($E47*$F47*AI$7,0)</f>
        <v>6000</v>
      </c>
      <c r="AJ47" s="455">
        <v>0</v>
      </c>
      <c r="AK47" s="748">
        <f>IF(AJ47&gt;0,AL47/AJ47/AL$7,0)</f>
        <v>0</v>
      </c>
      <c r="AL47" s="32">
        <f>ROUND($E47*$F47*AL$7,0)</f>
        <v>6200</v>
      </c>
      <c r="AM47" s="455">
        <v>0</v>
      </c>
      <c r="AN47" s="748">
        <f>IF(AM47&gt;0,AO47/AM47/AO$7,0)</f>
        <v>0</v>
      </c>
      <c r="AO47" s="32">
        <f>ROUND($E47*$F47*AO$7,0)</f>
        <v>6000</v>
      </c>
      <c r="AP47" s="455">
        <v>0</v>
      </c>
      <c r="AQ47" s="748">
        <f>IF(AP47&gt;0,AR47/AP47/AR$7,0)</f>
        <v>0</v>
      </c>
      <c r="AR47" s="32">
        <f>ROUND($E47*$F47*AR$7,0)</f>
        <v>6200</v>
      </c>
      <c r="AS47" s="32"/>
      <c r="AU47" s="33">
        <f>AR47+AO47+AL47+AI47+AF47+AC47+Z47+W47+T47+Q47+N47+K47</f>
        <v>66800</v>
      </c>
    </row>
    <row r="48" spans="1:47" x14ac:dyDescent="0.2">
      <c r="A48" s="629">
        <v>27581</v>
      </c>
      <c r="B48" s="29" t="s">
        <v>760</v>
      </c>
      <c r="C48" s="745"/>
      <c r="D48" s="745"/>
      <c r="E48" s="37">
        <v>14000</v>
      </c>
      <c r="F48" s="973">
        <v>0</v>
      </c>
      <c r="G48" s="748" t="s">
        <v>617</v>
      </c>
      <c r="H48" s="748" t="s">
        <v>617</v>
      </c>
      <c r="I48" s="455"/>
      <c r="K48" s="32"/>
      <c r="L48" s="455"/>
      <c r="M48" s="748"/>
      <c r="N48" s="32">
        <v>0</v>
      </c>
      <c r="O48" s="455"/>
      <c r="P48" s="748"/>
      <c r="Q48" s="32">
        <v>0</v>
      </c>
      <c r="R48" s="455"/>
      <c r="S48" s="748"/>
      <c r="T48" s="32">
        <f>ROUND($E48*$F48*T$7,0)</f>
        <v>0</v>
      </c>
      <c r="U48" s="455"/>
      <c r="V48" s="748"/>
      <c r="W48" s="32">
        <f>ROUND($E48*$F48*W$7,0)</f>
        <v>0</v>
      </c>
      <c r="X48" s="455"/>
      <c r="Y48" s="748"/>
      <c r="Z48" s="32">
        <f>ROUND($E48*$F48*Z$7,0)</f>
        <v>0</v>
      </c>
      <c r="AA48" s="455"/>
      <c r="AB48" s="748"/>
      <c r="AC48" s="32">
        <f>ROUND($E48*$F48*AC$7,0)</f>
        <v>0</v>
      </c>
      <c r="AD48" s="455"/>
      <c r="AE48" s="748"/>
      <c r="AF48" s="32">
        <f>ROUND($E48*$F48*AF$7,0)</f>
        <v>0</v>
      </c>
      <c r="AG48" s="455"/>
      <c r="AH48" s="748"/>
      <c r="AI48" s="32">
        <f>ROUND($E48*$F48*AI$7,0)</f>
        <v>0</v>
      </c>
      <c r="AJ48" s="455"/>
      <c r="AK48" s="748"/>
      <c r="AL48" s="32">
        <f>ROUND($E48*$F48*AL$7,0)</f>
        <v>0</v>
      </c>
      <c r="AM48" s="455"/>
      <c r="AN48" s="748"/>
      <c r="AO48" s="32">
        <v>0</v>
      </c>
      <c r="AP48" s="455"/>
      <c r="AQ48" s="748"/>
      <c r="AR48" s="32">
        <v>0</v>
      </c>
      <c r="AS48" s="32"/>
      <c r="AU48" s="33">
        <f>AR48+AO48+AL48+AI48+AF48+AC48+Z48+W48+T48+Q48+N48+K48</f>
        <v>0</v>
      </c>
    </row>
    <row r="49" spans="1:47" x14ac:dyDescent="0.2">
      <c r="A49" s="629">
        <v>26511</v>
      </c>
      <c r="B49" s="29" t="s">
        <v>628</v>
      </c>
      <c r="C49" s="745">
        <v>37561</v>
      </c>
      <c r="D49" s="745">
        <v>37621</v>
      </c>
      <c r="E49" s="37">
        <v>21000</v>
      </c>
      <c r="F49" s="973">
        <v>0.08</v>
      </c>
      <c r="G49" s="748" t="s">
        <v>617</v>
      </c>
      <c r="H49" s="748" t="s">
        <v>617</v>
      </c>
      <c r="I49" s="455"/>
      <c r="K49" s="32"/>
      <c r="L49" s="455"/>
      <c r="M49" s="748"/>
      <c r="N49" s="32">
        <v>0</v>
      </c>
      <c r="O49" s="455"/>
      <c r="P49" s="748"/>
      <c r="Q49" s="32">
        <v>0</v>
      </c>
      <c r="R49" s="455"/>
      <c r="S49" s="748"/>
      <c r="T49" s="32">
        <v>0</v>
      </c>
      <c r="U49" s="455"/>
      <c r="V49" s="748"/>
      <c r="W49" s="32">
        <v>0</v>
      </c>
      <c r="X49" s="455"/>
      <c r="Y49" s="748"/>
      <c r="Z49" s="32">
        <v>0</v>
      </c>
      <c r="AA49" s="455"/>
      <c r="AB49" s="748"/>
      <c r="AC49" s="32">
        <v>0</v>
      </c>
      <c r="AD49" s="455"/>
      <c r="AE49" s="748"/>
      <c r="AF49" s="32">
        <v>0</v>
      </c>
      <c r="AG49" s="455"/>
      <c r="AH49" s="748"/>
      <c r="AI49" s="32">
        <v>0</v>
      </c>
      <c r="AJ49" s="455"/>
      <c r="AK49" s="748"/>
      <c r="AL49" s="32">
        <v>0</v>
      </c>
      <c r="AM49" s="455"/>
      <c r="AN49" s="748"/>
      <c r="AO49" s="32">
        <f>ROUND($E49*$F49*AO$7,0)</f>
        <v>50400</v>
      </c>
      <c r="AP49" s="455"/>
      <c r="AQ49" s="748"/>
      <c r="AR49" s="32">
        <f>ROUND($E49*$F49*AR$7,0)</f>
        <v>52080</v>
      </c>
      <c r="AS49" s="32"/>
      <c r="AU49" s="33">
        <f>AR49+AO49+AL49+AI49+AF49+AC49+Z49+W49+T49+Q49+N49+K49</f>
        <v>102480</v>
      </c>
    </row>
    <row r="50" spans="1:47" x14ac:dyDescent="0.2">
      <c r="A50" s="629">
        <v>25841</v>
      </c>
      <c r="B50" s="29" t="s">
        <v>628</v>
      </c>
      <c r="C50" s="745">
        <v>37561</v>
      </c>
      <c r="D50" s="745">
        <v>37621</v>
      </c>
      <c r="E50" s="753">
        <v>40000</v>
      </c>
      <c r="F50" s="973">
        <v>0.02</v>
      </c>
      <c r="G50" s="748" t="s">
        <v>617</v>
      </c>
      <c r="H50" s="748" t="s">
        <v>617</v>
      </c>
      <c r="I50" s="777">
        <v>0</v>
      </c>
      <c r="J50" s="748">
        <f>IF(I50&gt;0,K50/I50/K$7,0)</f>
        <v>0</v>
      </c>
      <c r="K50" s="39">
        <v>0</v>
      </c>
      <c r="L50" s="777">
        <v>0</v>
      </c>
      <c r="M50" s="748">
        <f>IF(L50&gt;0,N50/L50/N$7,0)</f>
        <v>0</v>
      </c>
      <c r="N50" s="791">
        <v>0</v>
      </c>
      <c r="O50" s="777">
        <v>0</v>
      </c>
      <c r="P50" s="748">
        <f>IF(O50&gt;0,Q50/O50/Q$7,0)</f>
        <v>0</v>
      </c>
      <c r="Q50" s="791">
        <v>0</v>
      </c>
      <c r="R50" s="777">
        <v>0</v>
      </c>
      <c r="S50" s="748">
        <f>IF(R50&gt;0,T50/R50/T$7,0)</f>
        <v>0</v>
      </c>
      <c r="T50" s="791">
        <v>0</v>
      </c>
      <c r="U50" s="777">
        <v>0</v>
      </c>
      <c r="V50" s="748">
        <f>IF(U50&gt;0,W50/U50/W$7,0)</f>
        <v>0</v>
      </c>
      <c r="W50" s="791">
        <v>0</v>
      </c>
      <c r="X50" s="777">
        <v>0</v>
      </c>
      <c r="Y50" s="748">
        <f>IF(X50&gt;0,Z50/X50/Z$7,0)</f>
        <v>0</v>
      </c>
      <c r="Z50" s="791">
        <v>0</v>
      </c>
      <c r="AA50" s="777">
        <v>0</v>
      </c>
      <c r="AB50" s="748">
        <f>IF(AA50&gt;0,AC50/AA50/AC$7,0)</f>
        <v>0</v>
      </c>
      <c r="AC50" s="791">
        <v>0</v>
      </c>
      <c r="AD50" s="777">
        <v>0</v>
      </c>
      <c r="AE50" s="748">
        <f>IF(AD50&gt;0,AF50/AD50/AF$7,0)</f>
        <v>0</v>
      </c>
      <c r="AF50" s="791">
        <v>0</v>
      </c>
      <c r="AG50" s="777">
        <v>0</v>
      </c>
      <c r="AH50" s="748">
        <f>IF(AG50&gt;0,AI50/AG50/AI$7,0)</f>
        <v>0</v>
      </c>
      <c r="AI50" s="791">
        <v>0</v>
      </c>
      <c r="AJ50" s="777">
        <v>0</v>
      </c>
      <c r="AK50" s="748">
        <f>IF(AJ50&gt;0,AL50/AJ50/AL$7,0)</f>
        <v>0</v>
      </c>
      <c r="AL50" s="791">
        <v>0</v>
      </c>
      <c r="AM50" s="777">
        <v>0</v>
      </c>
      <c r="AN50" s="748">
        <f>IF(AM50&gt;0,AO50/AM50/AO$7,0)</f>
        <v>0</v>
      </c>
      <c r="AO50" s="791">
        <f>ROUND($E50*$F50*AO$7,0)</f>
        <v>24000</v>
      </c>
      <c r="AP50" s="777">
        <v>0</v>
      </c>
      <c r="AQ50" s="748">
        <f>IF(AP50&gt;0,AR50/AP50/AR$7,0)</f>
        <v>0</v>
      </c>
      <c r="AR50" s="791">
        <f>ROUND($E50*$F50*AR$7,0)</f>
        <v>24800</v>
      </c>
      <c r="AS50" s="32"/>
      <c r="AU50" s="804">
        <f>AR50+AO50+AL50+AI50+AF50+AC50+Z50+W50+T50+Q50+N50+K50</f>
        <v>48800</v>
      </c>
    </row>
    <row r="51" spans="1:47" x14ac:dyDescent="0.2">
      <c r="A51" s="629" t="s">
        <v>613</v>
      </c>
      <c r="B51" s="29"/>
      <c r="E51" s="37">
        <f>SUM(E45:E50)</f>
        <v>95000</v>
      </c>
      <c r="F51" s="973"/>
      <c r="I51" s="455">
        <f>SUM(I45:I50)</f>
        <v>0</v>
      </c>
      <c r="K51" s="32">
        <f>SUM(K45:K50)</f>
        <v>0</v>
      </c>
      <c r="L51" s="455">
        <f>SUM(L45:L50)</f>
        <v>0</v>
      </c>
      <c r="M51" s="748"/>
      <c r="N51" s="32">
        <f>SUM(N45:N50)</f>
        <v>16800</v>
      </c>
      <c r="O51" s="455">
        <f>SUM(O45:O50)</f>
        <v>0</v>
      </c>
      <c r="P51" s="748"/>
      <c r="Q51" s="32">
        <f>SUM(Q45:Q50)</f>
        <v>18600</v>
      </c>
      <c r="R51" s="455">
        <f>SUM(R45:R50)</f>
        <v>0</v>
      </c>
      <c r="S51" s="748"/>
      <c r="T51" s="32">
        <f>SUM(T45:T50)</f>
        <v>18000</v>
      </c>
      <c r="U51" s="455">
        <f>SUM(U45:U50)</f>
        <v>0</v>
      </c>
      <c r="V51" s="748"/>
      <c r="W51" s="32">
        <f>SUM(W45:W50)</f>
        <v>18600</v>
      </c>
      <c r="X51" s="455">
        <f>SUM(X45:X50)</f>
        <v>0</v>
      </c>
      <c r="Y51" s="748"/>
      <c r="Z51" s="32">
        <f>SUM(Z45:Z50)</f>
        <v>18000</v>
      </c>
      <c r="AA51" s="455">
        <f>SUM(AA45:AA50)</f>
        <v>0</v>
      </c>
      <c r="AB51" s="748"/>
      <c r="AC51" s="32">
        <f>SUM(AC45:AC50)</f>
        <v>18600</v>
      </c>
      <c r="AD51" s="455">
        <f>SUM(AD45:AD50)</f>
        <v>0</v>
      </c>
      <c r="AE51" s="748"/>
      <c r="AF51" s="32">
        <f>SUM(AF45:AF50)</f>
        <v>18600</v>
      </c>
      <c r="AG51" s="455">
        <f>SUM(AG45:AG50)</f>
        <v>0</v>
      </c>
      <c r="AH51" s="748"/>
      <c r="AI51" s="32">
        <f>SUM(AI45:AI50)</f>
        <v>18000</v>
      </c>
      <c r="AJ51" s="455">
        <f>SUM(AJ45:AJ50)</f>
        <v>0</v>
      </c>
      <c r="AK51" s="748"/>
      <c r="AL51" s="32">
        <f>SUM(AL45:AL50)</f>
        <v>18600</v>
      </c>
      <c r="AM51" s="455">
        <f>SUM(AM45:AM50)</f>
        <v>0</v>
      </c>
      <c r="AN51" s="748"/>
      <c r="AO51" s="32">
        <f>SUM(AO45:AO50)</f>
        <v>92400</v>
      </c>
      <c r="AP51" s="455">
        <f>SUM(AP45:AP50)</f>
        <v>0</v>
      </c>
      <c r="AQ51" s="748"/>
      <c r="AR51" s="32">
        <f>SUM(AR45:AR50)</f>
        <v>95480</v>
      </c>
      <c r="AS51" s="32"/>
      <c r="AU51" s="802"/>
    </row>
    <row r="52" spans="1:47" x14ac:dyDescent="0.2">
      <c r="B52" s="29"/>
      <c r="F52" s="973"/>
      <c r="I52" s="455"/>
      <c r="K52" s="32"/>
      <c r="L52" s="455"/>
      <c r="M52" s="748"/>
      <c r="N52" s="32"/>
      <c r="O52" s="455"/>
      <c r="P52" s="748"/>
      <c r="Q52" s="32"/>
      <c r="R52" s="455"/>
      <c r="S52" s="748"/>
      <c r="T52" s="32"/>
      <c r="U52" s="455"/>
      <c r="V52" s="748"/>
      <c r="W52" s="32"/>
      <c r="X52" s="455"/>
      <c r="Y52" s="748"/>
      <c r="Z52" s="32"/>
      <c r="AA52" s="455"/>
      <c r="AB52" s="748"/>
      <c r="AC52" s="32"/>
      <c r="AD52" s="455"/>
      <c r="AE52" s="748"/>
      <c r="AF52" s="32"/>
      <c r="AG52" s="455"/>
      <c r="AH52" s="748"/>
      <c r="AI52" s="32"/>
      <c r="AJ52" s="455"/>
      <c r="AK52" s="748"/>
      <c r="AL52" s="32"/>
      <c r="AM52" s="455"/>
      <c r="AN52" s="748"/>
      <c r="AO52" s="32"/>
      <c r="AP52" s="455"/>
      <c r="AQ52" s="748"/>
      <c r="AR52" s="32"/>
      <c r="AS52" s="32"/>
    </row>
    <row r="53" spans="1:47" s="42" customFormat="1" x14ac:dyDescent="0.2">
      <c r="A53" s="741" t="s">
        <v>612</v>
      </c>
      <c r="C53" s="3"/>
      <c r="D53" s="3"/>
      <c r="E53" s="431">
        <f>E51+E43</f>
        <v>108300</v>
      </c>
      <c r="F53" s="988"/>
      <c r="G53" s="754"/>
      <c r="H53" s="754"/>
      <c r="I53" s="774">
        <f>I43+I51</f>
        <v>0</v>
      </c>
      <c r="J53" s="754">
        <f>IF(I53&gt;0,K53/I53/K$7,0)</f>
        <v>0</v>
      </c>
      <c r="K53" s="31">
        <f>K51+K43</f>
        <v>0</v>
      </c>
      <c r="L53" s="774">
        <f>L43+L51</f>
        <v>0</v>
      </c>
      <c r="M53" s="754">
        <f>IF(L53&gt;0,N53/L53/N$7,0)</f>
        <v>0</v>
      </c>
      <c r="N53" s="31">
        <f>N51+N43</f>
        <v>16800</v>
      </c>
      <c r="O53" s="774">
        <f>O43+O51</f>
        <v>0</v>
      </c>
      <c r="P53" s="754">
        <f>IF(O53&gt;0,Q53/O53/Q$7,0)</f>
        <v>0</v>
      </c>
      <c r="Q53" s="31">
        <f>Q51+Q43</f>
        <v>18600</v>
      </c>
      <c r="R53" s="774">
        <f>R43+R51</f>
        <v>0</v>
      </c>
      <c r="S53" s="754">
        <f>IF(R53&gt;0,T53/R53/T$7,0)</f>
        <v>0</v>
      </c>
      <c r="T53" s="31">
        <f>T51+T43</f>
        <v>18000</v>
      </c>
      <c r="U53" s="774">
        <f>U43+U51</f>
        <v>0</v>
      </c>
      <c r="V53" s="754">
        <f>IF(U53&gt;0,W53/U53/W$7,0)</f>
        <v>0</v>
      </c>
      <c r="W53" s="31">
        <f>W51+W43</f>
        <v>18600</v>
      </c>
      <c r="X53" s="774">
        <f>X43+X51</f>
        <v>0</v>
      </c>
      <c r="Y53" s="754">
        <f>IF(X53&gt;0,Z53/X53/Z$7,0)</f>
        <v>0</v>
      </c>
      <c r="Z53" s="31">
        <f>Z51+Z43</f>
        <v>25980</v>
      </c>
      <c r="AA53" s="774">
        <f>AA43+AA51</f>
        <v>0</v>
      </c>
      <c r="AB53" s="754">
        <f>IF(AA53&gt;0,AC53/AA53/AC$7,0)</f>
        <v>0</v>
      </c>
      <c r="AC53" s="31">
        <f>AC51+AC43</f>
        <v>26846</v>
      </c>
      <c r="AD53" s="774">
        <f>AD43+AD51</f>
        <v>0</v>
      </c>
      <c r="AE53" s="754">
        <f>IF(AD53&gt;0,AF53/AD53/AF$7,0)</f>
        <v>0</v>
      </c>
      <c r="AF53" s="31">
        <f>AF51+AF43</f>
        <v>26846</v>
      </c>
      <c r="AG53" s="774">
        <f>AG43+AG51</f>
        <v>0</v>
      </c>
      <c r="AH53" s="754">
        <f>IF(AG53&gt;0,AI53/AG53/AI$7,0)</f>
        <v>0</v>
      </c>
      <c r="AI53" s="31">
        <f>AI51+AI43</f>
        <v>25980</v>
      </c>
      <c r="AJ53" s="774">
        <f>AJ43+AJ51</f>
        <v>0</v>
      </c>
      <c r="AK53" s="754">
        <f>IF(AJ53&gt;0,AL53/AJ53/AL$7,0)</f>
        <v>0</v>
      </c>
      <c r="AL53" s="31">
        <f>AL51+AL43</f>
        <v>26846</v>
      </c>
      <c r="AM53" s="774">
        <f>AM43+AM51</f>
        <v>0</v>
      </c>
      <c r="AN53" s="754">
        <f>IF(AM53&gt;0,AO53/AM53/AO$7,0)</f>
        <v>0</v>
      </c>
      <c r="AO53" s="31">
        <f>AO51+AO43</f>
        <v>100380</v>
      </c>
      <c r="AP53" s="774">
        <f>AP43+AP51</f>
        <v>0</v>
      </c>
      <c r="AQ53" s="754">
        <f>IF(AP53&gt;0,AR53/AP53/AR$7,0)</f>
        <v>0</v>
      </c>
      <c r="AR53" s="31">
        <f>AR51+AR43</f>
        <v>103726</v>
      </c>
      <c r="AS53" s="31"/>
    </row>
    <row r="54" spans="1:47" s="42" customFormat="1" x14ac:dyDescent="0.2">
      <c r="A54" s="741"/>
      <c r="C54" s="3"/>
      <c r="D54" s="3"/>
      <c r="E54" s="431"/>
      <c r="F54" s="988"/>
      <c r="G54" s="754"/>
      <c r="H54" s="754"/>
      <c r="I54" s="774"/>
      <c r="J54" s="754"/>
      <c r="K54" s="31"/>
      <c r="L54" s="774"/>
      <c r="M54" s="754"/>
      <c r="N54" s="31"/>
      <c r="O54" s="774"/>
      <c r="P54" s="754"/>
      <c r="Q54" s="31"/>
      <c r="R54" s="774"/>
      <c r="S54" s="754"/>
      <c r="T54" s="31"/>
      <c r="U54" s="774"/>
      <c r="V54" s="754"/>
      <c r="W54" s="31"/>
      <c r="X54" s="774"/>
      <c r="Y54" s="754"/>
      <c r="Z54" s="31"/>
      <c r="AA54" s="774"/>
      <c r="AB54" s="754"/>
      <c r="AC54" s="31"/>
      <c r="AD54" s="774"/>
      <c r="AE54" s="754"/>
      <c r="AF54" s="31"/>
      <c r="AG54" s="774"/>
      <c r="AH54" s="754"/>
      <c r="AI54" s="31"/>
      <c r="AJ54" s="774"/>
      <c r="AK54" s="754"/>
      <c r="AL54" s="31"/>
      <c r="AM54" s="774"/>
      <c r="AN54" s="754"/>
      <c r="AO54" s="31"/>
      <c r="AP54" s="774"/>
      <c r="AQ54" s="754"/>
      <c r="AR54" s="31"/>
      <c r="AS54" s="31"/>
    </row>
    <row r="55" spans="1:47" s="42" customFormat="1" hidden="1" x14ac:dyDescent="0.2">
      <c r="A55" s="741"/>
      <c r="C55" s="3"/>
      <c r="D55" s="3"/>
      <c r="E55" s="431"/>
      <c r="F55" s="988"/>
      <c r="G55" s="754"/>
      <c r="H55" s="754"/>
      <c r="I55" s="774"/>
      <c r="J55" s="754"/>
      <c r="K55" s="31"/>
      <c r="L55" s="774"/>
      <c r="M55" s="754"/>
      <c r="N55" s="31"/>
      <c r="O55" s="774"/>
      <c r="P55" s="754"/>
      <c r="Q55" s="31"/>
      <c r="R55" s="774"/>
      <c r="S55" s="754"/>
      <c r="T55" s="31"/>
      <c r="U55" s="774"/>
      <c r="V55" s="754"/>
      <c r="W55" s="31"/>
      <c r="X55" s="774"/>
      <c r="Y55" s="754"/>
      <c r="Z55" s="31"/>
      <c r="AA55" s="774"/>
      <c r="AB55" s="754"/>
      <c r="AC55" s="31"/>
      <c r="AD55" s="774"/>
      <c r="AE55" s="754"/>
      <c r="AF55" s="31"/>
      <c r="AG55" s="774"/>
      <c r="AH55" s="754"/>
      <c r="AI55" s="31"/>
      <c r="AJ55" s="774"/>
      <c r="AK55" s="754"/>
      <c r="AL55" s="31"/>
      <c r="AM55" s="774"/>
      <c r="AN55" s="754"/>
      <c r="AO55" s="31"/>
      <c r="AP55" s="774"/>
      <c r="AQ55" s="754"/>
      <c r="AR55" s="31"/>
      <c r="AS55" s="31"/>
    </row>
    <row r="56" spans="1:47" hidden="1" x14ac:dyDescent="0.2">
      <c r="A56" s="743" t="s">
        <v>648</v>
      </c>
      <c r="B56" s="29"/>
      <c r="F56" s="973"/>
      <c r="I56" s="455"/>
      <c r="K56" s="32"/>
      <c r="L56" s="455"/>
      <c r="M56" s="748"/>
      <c r="N56" s="32"/>
      <c r="O56" s="455"/>
      <c r="P56" s="748"/>
      <c r="Q56" s="32"/>
      <c r="R56" s="455"/>
      <c r="S56" s="748"/>
      <c r="T56" s="32"/>
      <c r="U56" s="455"/>
      <c r="V56" s="748"/>
      <c r="W56" s="32"/>
      <c r="X56" s="455"/>
      <c r="Y56" s="748"/>
      <c r="Z56" s="32"/>
      <c r="AA56" s="455"/>
      <c r="AB56" s="748"/>
      <c r="AC56" s="32"/>
      <c r="AD56" s="455"/>
      <c r="AE56" s="748"/>
      <c r="AF56" s="32"/>
      <c r="AG56" s="455"/>
      <c r="AH56" s="748"/>
      <c r="AI56" s="32"/>
      <c r="AJ56" s="455"/>
      <c r="AK56" s="748"/>
      <c r="AL56" s="32"/>
      <c r="AM56" s="455"/>
      <c r="AN56" s="748"/>
      <c r="AO56" s="32"/>
      <c r="AP56" s="455"/>
      <c r="AQ56" s="748"/>
      <c r="AR56" s="32"/>
      <c r="AS56" s="32"/>
    </row>
    <row r="57" spans="1:47" hidden="1" x14ac:dyDescent="0.2">
      <c r="B57" s="29"/>
      <c r="D57" s="745"/>
      <c r="F57" s="973"/>
      <c r="G57" s="1105"/>
      <c r="H57" s="1105"/>
      <c r="I57" s="455"/>
      <c r="K57" s="32"/>
      <c r="L57" s="455"/>
      <c r="M57" s="748"/>
      <c r="N57" s="32"/>
      <c r="O57" s="455"/>
      <c r="P57" s="748"/>
      <c r="Q57" s="32"/>
      <c r="R57" s="455"/>
      <c r="S57" s="748"/>
      <c r="T57" s="32"/>
      <c r="U57" s="455"/>
      <c r="V57" s="748"/>
      <c r="W57" s="32"/>
      <c r="X57" s="455"/>
      <c r="Y57" s="748"/>
      <c r="Z57" s="32"/>
      <c r="AA57" s="455"/>
      <c r="AB57" s="748"/>
      <c r="AC57" s="32"/>
      <c r="AD57" s="455"/>
      <c r="AE57" s="748"/>
      <c r="AF57" s="32"/>
      <c r="AG57" s="455"/>
      <c r="AH57" s="748"/>
      <c r="AI57" s="32"/>
      <c r="AJ57" s="455"/>
      <c r="AK57" s="748"/>
      <c r="AL57" s="32"/>
      <c r="AM57" s="455"/>
      <c r="AN57" s="748"/>
      <c r="AO57" s="32"/>
      <c r="AP57" s="455"/>
      <c r="AQ57" s="748"/>
      <c r="AR57" s="32"/>
      <c r="AS57" s="32"/>
      <c r="AU57" s="33"/>
    </row>
    <row r="58" spans="1:47" hidden="1" x14ac:dyDescent="0.2">
      <c r="B58" s="29"/>
      <c r="D58" s="745"/>
      <c r="E58" s="753"/>
      <c r="F58" s="973"/>
      <c r="I58" s="777">
        <v>0</v>
      </c>
      <c r="J58" s="748">
        <f>IF(I58&gt;0,K58/I58/K$7,0)</f>
        <v>0</v>
      </c>
      <c r="K58" s="39">
        <v>0</v>
      </c>
      <c r="L58" s="777">
        <v>0</v>
      </c>
      <c r="M58" s="748">
        <f>IF(L58&gt;0,N58/L58/N$7,0)</f>
        <v>0</v>
      </c>
      <c r="N58" s="39">
        <v>0</v>
      </c>
      <c r="O58" s="777">
        <v>0</v>
      </c>
      <c r="P58" s="748">
        <f>IF(O58&gt;0,Q58/O58/Q$7,0)</f>
        <v>0</v>
      </c>
      <c r="Q58" s="39">
        <v>0</v>
      </c>
      <c r="R58" s="777">
        <v>0</v>
      </c>
      <c r="S58" s="748">
        <f>IF(R58&gt;0,T58/R58/T$7,0)</f>
        <v>0</v>
      </c>
      <c r="T58" s="39">
        <v>0</v>
      </c>
      <c r="U58" s="777">
        <v>0</v>
      </c>
      <c r="V58" s="748">
        <f>IF(U58&gt;0,W58/U58/W$7,0)</f>
        <v>0</v>
      </c>
      <c r="W58" s="39">
        <v>0</v>
      </c>
      <c r="X58" s="777">
        <v>0</v>
      </c>
      <c r="Y58" s="748">
        <f>IF(X58&gt;0,Z58/X58/Z$7,0)</f>
        <v>0</v>
      </c>
      <c r="Z58" s="39">
        <v>0</v>
      </c>
      <c r="AA58" s="777">
        <v>0</v>
      </c>
      <c r="AB58" s="748">
        <f>IF(AA58&gt;0,AC58/AA58/AC$7,0)</f>
        <v>0</v>
      </c>
      <c r="AC58" s="39">
        <v>0</v>
      </c>
      <c r="AD58" s="777">
        <v>0</v>
      </c>
      <c r="AE58" s="748">
        <f>IF(AD58&gt;0,AF58/AD58/AF$7,0)</f>
        <v>0</v>
      </c>
      <c r="AF58" s="39">
        <v>0</v>
      </c>
      <c r="AG58" s="777">
        <v>0</v>
      </c>
      <c r="AH58" s="748">
        <f>IF(AG58&gt;0,AI58/AG58/AI$7,0)</f>
        <v>0</v>
      </c>
      <c r="AI58" s="39">
        <v>0</v>
      </c>
      <c r="AJ58" s="777">
        <v>0</v>
      </c>
      <c r="AK58" s="748">
        <f>IF(AJ58&gt;0,AL58/AJ58/AL$7,0)</f>
        <v>0</v>
      </c>
      <c r="AL58" s="39">
        <v>0</v>
      </c>
      <c r="AM58" s="777">
        <v>0</v>
      </c>
      <c r="AN58" s="748">
        <f>IF(AM58&gt;0,AO58/AM58/AO$7,0)</f>
        <v>0</v>
      </c>
      <c r="AO58" s="39">
        <v>0</v>
      </c>
      <c r="AP58" s="777">
        <v>0</v>
      </c>
      <c r="AQ58" s="748">
        <f>IF(AP58&gt;0,AR58/AP58/AR$7,0)</f>
        <v>0</v>
      </c>
      <c r="AR58" s="39">
        <v>0</v>
      </c>
      <c r="AS58" s="32"/>
      <c r="AU58" s="804">
        <f>AR58+AO58+AL58+AI58+AF58+AC58+Z58+W58+T58+Q58+N58+K58</f>
        <v>0</v>
      </c>
    </row>
    <row r="59" spans="1:47" s="42" customFormat="1" hidden="1" x14ac:dyDescent="0.2">
      <c r="A59" s="741" t="s">
        <v>653</v>
      </c>
      <c r="C59" s="3"/>
      <c r="D59" s="3"/>
      <c r="E59" s="431">
        <f>SUM(E57:E58)</f>
        <v>0</v>
      </c>
      <c r="F59" s="988"/>
      <c r="G59" s="754"/>
      <c r="H59" s="754"/>
      <c r="I59" s="774">
        <f>SUM(I57:I58)</f>
        <v>0</v>
      </c>
      <c r="J59" s="754">
        <f>IF(I59&gt;0,K59/I59/K$7,0)</f>
        <v>0</v>
      </c>
      <c r="K59" s="31">
        <f>SUM(K57:K58)</f>
        <v>0</v>
      </c>
      <c r="L59" s="774">
        <f>SUM(L57:L58)</f>
        <v>0</v>
      </c>
      <c r="M59" s="754">
        <f>IF(L59&gt;0,N59/L59/N$7,0)</f>
        <v>0</v>
      </c>
      <c r="N59" s="31">
        <f>SUM(N57:N58)</f>
        <v>0</v>
      </c>
      <c r="O59" s="774">
        <f>SUM(O57:O58)</f>
        <v>0</v>
      </c>
      <c r="P59" s="754">
        <f>IF(O59&gt;0,Q59/O59/Q$7,0)</f>
        <v>0</v>
      </c>
      <c r="Q59" s="31">
        <f>SUM(Q57:Q58)</f>
        <v>0</v>
      </c>
      <c r="R59" s="774">
        <f>SUM(R57:R58)</f>
        <v>0</v>
      </c>
      <c r="S59" s="754">
        <f>IF(R59&gt;0,T59/R59/T$7,0)</f>
        <v>0</v>
      </c>
      <c r="T59" s="31">
        <f>SUM(T57:T58)</f>
        <v>0</v>
      </c>
      <c r="U59" s="774">
        <f>SUM(U57:U58)</f>
        <v>0</v>
      </c>
      <c r="V59" s="754">
        <f>IF(U59&gt;0,W59/U59/W$7,0)</f>
        <v>0</v>
      </c>
      <c r="W59" s="31">
        <f>SUM(W57:W58)</f>
        <v>0</v>
      </c>
      <c r="X59" s="774">
        <f>SUM(X57:X58)</f>
        <v>0</v>
      </c>
      <c r="Y59" s="754">
        <f>IF(X59&gt;0,Z59/X59/Z$7,0)</f>
        <v>0</v>
      </c>
      <c r="Z59" s="31">
        <f>SUM(Z57:Z58)</f>
        <v>0</v>
      </c>
      <c r="AA59" s="774">
        <f>SUM(AA57:AA58)</f>
        <v>0</v>
      </c>
      <c r="AB59" s="754">
        <f>IF(AA59&gt;0,AC59/AA59/AC$7,0)</f>
        <v>0</v>
      </c>
      <c r="AC59" s="31">
        <f>SUM(AC57:AC58)</f>
        <v>0</v>
      </c>
      <c r="AD59" s="774">
        <f>SUM(AD57:AD58)</f>
        <v>0</v>
      </c>
      <c r="AE59" s="754">
        <f>IF(AD59&gt;0,AF59/AD59/AF$7,0)</f>
        <v>0</v>
      </c>
      <c r="AF59" s="31">
        <f>SUM(AF57:AF58)</f>
        <v>0</v>
      </c>
      <c r="AG59" s="774">
        <f>SUM(AG57:AG58)</f>
        <v>0</v>
      </c>
      <c r="AH59" s="754">
        <f>IF(AG59&gt;0,AI59/AG59/AI$7,0)</f>
        <v>0</v>
      </c>
      <c r="AI59" s="31">
        <f>SUM(AI57:AI58)</f>
        <v>0</v>
      </c>
      <c r="AJ59" s="774">
        <f>SUM(AJ57:AJ58)</f>
        <v>0</v>
      </c>
      <c r="AK59" s="754">
        <f>IF(AJ59&gt;0,AL59/AJ59/AL$7,0)</f>
        <v>0</v>
      </c>
      <c r="AL59" s="31">
        <f>SUM(AL57:AL58)</f>
        <v>0</v>
      </c>
      <c r="AM59" s="774">
        <f>SUM(AM57:AM58)</f>
        <v>0</v>
      </c>
      <c r="AN59" s="754">
        <f>IF(AM59&gt;0,AO59/AM59/AO$7,0)</f>
        <v>0</v>
      </c>
      <c r="AO59" s="31">
        <f>SUM(AO57:AO58)</f>
        <v>0</v>
      </c>
      <c r="AP59" s="774">
        <f>SUM(AP57:AP58)</f>
        <v>0</v>
      </c>
      <c r="AQ59" s="754">
        <f>IF(AP59&gt;0,AR59/AP59/AR$7,0)</f>
        <v>0</v>
      </c>
      <c r="AR59" s="31">
        <f>SUM(AR57:AR58)</f>
        <v>0</v>
      </c>
      <c r="AS59" s="31"/>
      <c r="AT59" s="801">
        <f>SUM(I59:AS59)</f>
        <v>0</v>
      </c>
      <c r="AU59" s="802"/>
    </row>
    <row r="60" spans="1:47" hidden="1" x14ac:dyDescent="0.2">
      <c r="B60" s="29"/>
      <c r="F60" s="97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802">
        <f>SUM(AT36:AT59)</f>
        <v>0</v>
      </c>
    </row>
    <row r="61" spans="1:47" x14ac:dyDescent="0.2">
      <c r="B61" s="29"/>
      <c r="F61" s="97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802"/>
    </row>
    <row r="62" spans="1:47" x14ac:dyDescent="0.2">
      <c r="A62" s="743" t="s">
        <v>685</v>
      </c>
      <c r="B62" s="29"/>
      <c r="F62" s="973"/>
      <c r="I62" s="455"/>
      <c r="K62" s="32"/>
      <c r="L62" s="455"/>
      <c r="M62" s="748"/>
      <c r="N62" s="32"/>
      <c r="O62" s="455"/>
      <c r="P62" s="748"/>
      <c r="Q62" s="32"/>
      <c r="R62" s="455"/>
      <c r="S62" s="748"/>
      <c r="T62" s="32"/>
      <c r="U62" s="455"/>
      <c r="V62" s="748"/>
      <c r="W62" s="32"/>
      <c r="X62" s="455"/>
      <c r="Y62" s="748"/>
      <c r="Z62" s="32"/>
      <c r="AA62" s="455"/>
      <c r="AB62" s="748"/>
      <c r="AC62" s="32"/>
      <c r="AD62" s="455"/>
      <c r="AE62" s="748"/>
      <c r="AF62" s="32"/>
      <c r="AG62" s="455"/>
      <c r="AH62" s="748"/>
      <c r="AI62" s="32"/>
      <c r="AJ62" s="455"/>
      <c r="AK62" s="748"/>
      <c r="AL62" s="32"/>
      <c r="AM62" s="455"/>
      <c r="AN62" s="748"/>
      <c r="AO62" s="32"/>
      <c r="AP62" s="455"/>
      <c r="AQ62" s="748"/>
      <c r="AR62" s="32"/>
      <c r="AS62" s="32"/>
    </row>
    <row r="63" spans="1:47" x14ac:dyDescent="0.2">
      <c r="B63" s="29"/>
      <c r="C63" s="745"/>
      <c r="D63" s="745"/>
      <c r="E63" s="37">
        <v>0</v>
      </c>
      <c r="F63" s="973">
        <v>0</v>
      </c>
      <c r="G63" s="1105"/>
      <c r="H63" s="1105"/>
      <c r="I63" s="455">
        <v>0</v>
      </c>
      <c r="J63" s="748">
        <f>IF(I63&gt;0,K63/I63/K$7,0)</f>
        <v>0</v>
      </c>
      <c r="K63" s="32">
        <v>0</v>
      </c>
      <c r="L63" s="455">
        <v>0</v>
      </c>
      <c r="M63" s="748">
        <f>IF(L63&gt;0,N63/L63/N$7,0)</f>
        <v>0</v>
      </c>
      <c r="N63" s="32">
        <v>0</v>
      </c>
      <c r="O63" s="455">
        <v>0</v>
      </c>
      <c r="P63" s="748">
        <f>IF(O63&gt;0,Q63/O63/Q$7,0)</f>
        <v>0</v>
      </c>
      <c r="Q63" s="32">
        <v>0</v>
      </c>
      <c r="R63" s="455">
        <v>0</v>
      </c>
      <c r="S63" s="748">
        <v>0</v>
      </c>
      <c r="T63" s="32">
        <v>0</v>
      </c>
      <c r="U63" s="455">
        <v>0</v>
      </c>
      <c r="V63" s="748">
        <v>0</v>
      </c>
      <c r="W63" s="32">
        <v>0</v>
      </c>
      <c r="X63" s="455">
        <v>0</v>
      </c>
      <c r="Y63" s="748">
        <v>0</v>
      </c>
      <c r="Z63" s="32">
        <v>0</v>
      </c>
      <c r="AA63" s="455">
        <v>0</v>
      </c>
      <c r="AB63" s="748">
        <v>0</v>
      </c>
      <c r="AC63" s="32">
        <v>0</v>
      </c>
      <c r="AD63" s="455">
        <v>0</v>
      </c>
      <c r="AE63" s="748">
        <v>0</v>
      </c>
      <c r="AF63" s="32">
        <v>0</v>
      </c>
      <c r="AG63" s="455">
        <v>0</v>
      </c>
      <c r="AH63" s="748">
        <v>0</v>
      </c>
      <c r="AI63" s="32">
        <v>0</v>
      </c>
      <c r="AJ63" s="455">
        <v>0</v>
      </c>
      <c r="AK63" s="748">
        <v>0</v>
      </c>
      <c r="AL63" s="32">
        <v>0</v>
      </c>
      <c r="AM63" s="455">
        <v>0</v>
      </c>
      <c r="AN63" s="748">
        <v>0</v>
      </c>
      <c r="AO63" s="32">
        <v>0</v>
      </c>
      <c r="AP63" s="455">
        <v>0</v>
      </c>
      <c r="AQ63" s="748">
        <v>0</v>
      </c>
      <c r="AR63" s="32">
        <v>0</v>
      </c>
      <c r="AS63" s="32"/>
      <c r="AU63" s="33">
        <f>AR63+AO63+AL63+AI63+AF63+AC63+Z63+W63+T63+Q63+N63+K63</f>
        <v>0</v>
      </c>
    </row>
    <row r="64" spans="1:47" x14ac:dyDescent="0.2">
      <c r="D64" s="745"/>
      <c r="F64" s="973"/>
      <c r="G64" s="1105"/>
      <c r="H64" s="1105"/>
      <c r="I64" s="455"/>
      <c r="K64" s="32"/>
      <c r="L64" s="455"/>
      <c r="M64" s="748"/>
      <c r="N64" s="32"/>
      <c r="O64" s="455"/>
      <c r="P64" s="748"/>
      <c r="Q64" s="32"/>
      <c r="R64" s="455"/>
      <c r="S64" s="748"/>
      <c r="T64" s="32"/>
      <c r="U64" s="455"/>
      <c r="V64" s="748"/>
      <c r="W64" s="32"/>
      <c r="X64" s="455"/>
      <c r="Y64" s="748"/>
      <c r="Z64" s="32"/>
      <c r="AA64" s="455"/>
      <c r="AB64" s="748"/>
      <c r="AC64" s="32"/>
      <c r="AD64" s="455"/>
      <c r="AE64" s="748"/>
      <c r="AF64" s="32"/>
      <c r="AG64" s="455"/>
      <c r="AH64" s="748"/>
      <c r="AI64" s="32"/>
      <c r="AJ64" s="455"/>
      <c r="AK64" s="748"/>
      <c r="AL64" s="32"/>
      <c r="AM64" s="455"/>
      <c r="AN64" s="748"/>
      <c r="AO64" s="32"/>
      <c r="AP64" s="455"/>
      <c r="AQ64" s="748"/>
      <c r="AR64" s="32"/>
      <c r="AS64" s="32"/>
      <c r="AU64" s="33"/>
    </row>
    <row r="65" spans="1:47" x14ac:dyDescent="0.2">
      <c r="D65" s="745"/>
      <c r="E65" s="753"/>
      <c r="F65" s="973"/>
      <c r="I65" s="777">
        <v>0</v>
      </c>
      <c r="J65" s="748">
        <f>IF(I65&gt;0,K65/I65/K$7,0)</f>
        <v>0</v>
      </c>
      <c r="K65" s="39">
        <v>0</v>
      </c>
      <c r="L65" s="777">
        <v>0</v>
      </c>
      <c r="M65" s="748">
        <f>IF(L65&gt;0,N65/L65/N$7,0)</f>
        <v>0</v>
      </c>
      <c r="N65" s="39">
        <v>0</v>
      </c>
      <c r="O65" s="777">
        <v>0</v>
      </c>
      <c r="P65" s="748">
        <f>IF(O65&gt;0,Q65/O65/Q$7,0)</f>
        <v>0</v>
      </c>
      <c r="Q65" s="39">
        <v>0</v>
      </c>
      <c r="R65" s="777">
        <v>0</v>
      </c>
      <c r="S65" s="748">
        <f>IF(R65&gt;0,T65/R65/T$7,0)</f>
        <v>0</v>
      </c>
      <c r="T65" s="39">
        <v>0</v>
      </c>
      <c r="U65" s="777">
        <v>0</v>
      </c>
      <c r="V65" s="748">
        <f>IF(U65&gt;0,W65/U65/W$7,0)</f>
        <v>0</v>
      </c>
      <c r="W65" s="39">
        <v>0</v>
      </c>
      <c r="X65" s="777">
        <v>0</v>
      </c>
      <c r="Y65" s="748">
        <f>IF(X65&gt;0,Z65/X65/Z$7,0)</f>
        <v>0</v>
      </c>
      <c r="Z65" s="39">
        <v>0</v>
      </c>
      <c r="AA65" s="777">
        <v>0</v>
      </c>
      <c r="AB65" s="748">
        <f>IF(AA65&gt;0,AC65/AA65/AC$7,0)</f>
        <v>0</v>
      </c>
      <c r="AC65" s="39">
        <v>0</v>
      </c>
      <c r="AD65" s="777">
        <v>0</v>
      </c>
      <c r="AE65" s="748">
        <f>IF(AD65&gt;0,AF65/AD65/AF$7,0)</f>
        <v>0</v>
      </c>
      <c r="AF65" s="39">
        <v>0</v>
      </c>
      <c r="AG65" s="777">
        <v>0</v>
      </c>
      <c r="AH65" s="748">
        <f>IF(AG65&gt;0,AI65/AG65/AI$7,0)</f>
        <v>0</v>
      </c>
      <c r="AI65" s="39">
        <v>0</v>
      </c>
      <c r="AJ65" s="777">
        <v>0</v>
      </c>
      <c r="AK65" s="748">
        <f>IF(AJ65&gt;0,AL65/AJ65/AL$7,0)</f>
        <v>0</v>
      </c>
      <c r="AL65" s="39">
        <v>0</v>
      </c>
      <c r="AM65" s="777">
        <v>0</v>
      </c>
      <c r="AN65" s="748">
        <f>IF(AM65&gt;0,AO65/AM65/AO$7,0)</f>
        <v>0</v>
      </c>
      <c r="AO65" s="39">
        <v>0</v>
      </c>
      <c r="AP65" s="777">
        <v>0</v>
      </c>
      <c r="AQ65" s="748">
        <f>IF(AP65&gt;0,AR65/AP65/AR$7,0)</f>
        <v>0</v>
      </c>
      <c r="AR65" s="39">
        <v>0</v>
      </c>
      <c r="AS65" s="32"/>
      <c r="AU65" s="804">
        <f>AR65+AO65+AL65+AI65+AF65+AC65+Z65+W65+T65+Q65+N65+K65</f>
        <v>0</v>
      </c>
    </row>
    <row r="66" spans="1:47" s="42" customFormat="1" x14ac:dyDescent="0.2">
      <c r="A66" s="741" t="s">
        <v>632</v>
      </c>
      <c r="C66" s="3"/>
      <c r="D66" s="3"/>
      <c r="E66" s="431">
        <f>SUM(E63:E65)</f>
        <v>0</v>
      </c>
      <c r="F66" s="988"/>
      <c r="G66" s="754"/>
      <c r="H66" s="754"/>
      <c r="I66" s="774">
        <f>SUM(I63:I65)</f>
        <v>0</v>
      </c>
      <c r="J66" s="754">
        <f>IF(I66&gt;0,K66/I66/K$7,0)</f>
        <v>0</v>
      </c>
      <c r="K66" s="31">
        <f>SUM(K63:K65)</f>
        <v>0</v>
      </c>
      <c r="L66" s="774">
        <f>SUM(L63:L65)</f>
        <v>0</v>
      </c>
      <c r="M66" s="754">
        <f>IF(L66&gt;0,N66/L66/N$7,0)</f>
        <v>0</v>
      </c>
      <c r="N66" s="31">
        <f>SUM(N63:N65)</f>
        <v>0</v>
      </c>
      <c r="O66" s="774">
        <f>SUM(O63:O65)</f>
        <v>0</v>
      </c>
      <c r="P66" s="754">
        <f>IF(O66&gt;0,Q66/O66/Q$7,0)</f>
        <v>0</v>
      </c>
      <c r="Q66" s="31">
        <f>SUM(Q63:Q65)</f>
        <v>0</v>
      </c>
      <c r="R66" s="774">
        <f>SUM(R63:R65)</f>
        <v>0</v>
      </c>
      <c r="S66" s="754">
        <f>IF(R66&gt;0,T66/R66/T$7,0)</f>
        <v>0</v>
      </c>
      <c r="T66" s="31">
        <f>SUM(T63:T65)</f>
        <v>0</v>
      </c>
      <c r="U66" s="774">
        <f>SUM(U63:U65)</f>
        <v>0</v>
      </c>
      <c r="V66" s="754">
        <f>IF(U66&gt;0,W66/U66/W$7,0)</f>
        <v>0</v>
      </c>
      <c r="W66" s="31">
        <f>SUM(W63:W65)</f>
        <v>0</v>
      </c>
      <c r="X66" s="774">
        <f>SUM(X63:X65)</f>
        <v>0</v>
      </c>
      <c r="Y66" s="754">
        <f>IF(X66&gt;0,Z66/X66/Z$7,0)</f>
        <v>0</v>
      </c>
      <c r="Z66" s="31">
        <f>SUM(Z63:Z65)</f>
        <v>0</v>
      </c>
      <c r="AA66" s="774">
        <f>SUM(AA63:AA65)</f>
        <v>0</v>
      </c>
      <c r="AB66" s="754">
        <f>IF(AA66&gt;0,AC66/AA66/AC$7,0)</f>
        <v>0</v>
      </c>
      <c r="AC66" s="31">
        <f>SUM(AC63:AC65)</f>
        <v>0</v>
      </c>
      <c r="AD66" s="774">
        <f>SUM(AD63:AD65)</f>
        <v>0</v>
      </c>
      <c r="AE66" s="754">
        <f>IF(AD66&gt;0,AF66/AD66/AF$7,0)</f>
        <v>0</v>
      </c>
      <c r="AF66" s="31">
        <f>SUM(AF63:AF65)</f>
        <v>0</v>
      </c>
      <c r="AG66" s="774">
        <f>SUM(AG63:AG65)</f>
        <v>0</v>
      </c>
      <c r="AH66" s="754">
        <f>IF(AG66&gt;0,AI66/AG66/AI$7,0)</f>
        <v>0</v>
      </c>
      <c r="AI66" s="31">
        <f>SUM(AI63:AI65)</f>
        <v>0</v>
      </c>
      <c r="AJ66" s="774">
        <f>SUM(AJ63:AJ65)</f>
        <v>0</v>
      </c>
      <c r="AK66" s="754">
        <f>IF(AJ66&gt;0,AL66/AJ66/AL$7,0)</f>
        <v>0</v>
      </c>
      <c r="AL66" s="31">
        <f>SUM(AL63:AL65)</f>
        <v>0</v>
      </c>
      <c r="AM66" s="774">
        <f>SUM(AM63:AM65)</f>
        <v>0</v>
      </c>
      <c r="AN66" s="754">
        <f>IF(AM66&gt;0,AO66/AM66/AO$7,0)</f>
        <v>0</v>
      </c>
      <c r="AO66" s="31">
        <f>SUM(AO63:AO65)</f>
        <v>0</v>
      </c>
      <c r="AP66" s="774">
        <f>SUM(AP63:AP65)</f>
        <v>0</v>
      </c>
      <c r="AQ66" s="754">
        <f>IF(AP66&gt;0,AR66/AP66/AR$7,0)</f>
        <v>0</v>
      </c>
      <c r="AR66" s="31">
        <f>SUM(AR63:AR65)</f>
        <v>0</v>
      </c>
      <c r="AS66" s="31"/>
      <c r="AT66" s="801"/>
      <c r="AU66" s="992"/>
    </row>
    <row r="67" spans="1:47" x14ac:dyDescent="0.2">
      <c r="B67" s="29"/>
      <c r="F67" s="973"/>
      <c r="I67" s="1038"/>
      <c r="K67" s="32"/>
      <c r="L67" s="1039"/>
      <c r="M67" s="32"/>
      <c r="N67" s="32"/>
      <c r="O67" s="1039"/>
      <c r="P67" s="32"/>
      <c r="Q67" s="32"/>
      <c r="R67" s="1039"/>
      <c r="S67" s="32"/>
      <c r="T67" s="32"/>
      <c r="U67" s="1039"/>
      <c r="V67" s="32"/>
      <c r="W67" s="32"/>
      <c r="X67" s="1039"/>
      <c r="Y67" s="32"/>
      <c r="Z67" s="32"/>
      <c r="AA67" s="1039"/>
      <c r="AB67" s="32"/>
      <c r="AC67" s="32"/>
      <c r="AD67" s="1039"/>
      <c r="AE67" s="32"/>
      <c r="AF67" s="32"/>
      <c r="AG67" s="1039"/>
      <c r="AH67" s="32"/>
      <c r="AI67" s="32"/>
      <c r="AJ67" s="1039"/>
      <c r="AK67" s="32"/>
      <c r="AL67" s="32"/>
      <c r="AM67" s="1039"/>
      <c r="AN67" s="32"/>
      <c r="AO67" s="32"/>
      <c r="AP67" s="1039"/>
      <c r="AQ67" s="32"/>
      <c r="AR67" s="32"/>
      <c r="AS67" s="32"/>
    </row>
    <row r="68" spans="1:47" x14ac:dyDescent="0.2">
      <c r="A68" s="743" t="s">
        <v>714</v>
      </c>
      <c r="B68" s="29"/>
      <c r="F68" s="973"/>
      <c r="I68" s="455"/>
      <c r="K68" s="32"/>
      <c r="L68" s="455"/>
      <c r="M68" s="748"/>
      <c r="N68" s="32"/>
      <c r="O68" s="455"/>
      <c r="P68" s="748"/>
      <c r="Q68" s="32"/>
      <c r="R68" s="455"/>
      <c r="S68" s="748"/>
      <c r="T68" s="32"/>
      <c r="U68" s="455"/>
      <c r="V68" s="748"/>
      <c r="W68" s="32"/>
      <c r="X68" s="455"/>
      <c r="Y68" s="748"/>
      <c r="Z68" s="32"/>
      <c r="AA68" s="455"/>
      <c r="AB68" s="748"/>
      <c r="AC68" s="32"/>
      <c r="AD68" s="455"/>
      <c r="AE68" s="748"/>
      <c r="AF68" s="32"/>
      <c r="AG68" s="455"/>
      <c r="AH68" s="748"/>
      <c r="AI68" s="32"/>
      <c r="AJ68" s="455"/>
      <c r="AK68" s="748"/>
      <c r="AL68" s="32"/>
      <c r="AM68" s="455"/>
      <c r="AN68" s="748"/>
      <c r="AO68" s="32"/>
      <c r="AP68" s="455"/>
      <c r="AQ68" s="748"/>
      <c r="AR68" s="32"/>
      <c r="AS68" s="32"/>
    </row>
    <row r="69" spans="1:47" x14ac:dyDescent="0.2">
      <c r="A69" s="629">
        <v>27583</v>
      </c>
      <c r="B69" s="29" t="s">
        <v>715</v>
      </c>
      <c r="D69" s="745">
        <v>37408</v>
      </c>
      <c r="E69" s="37">
        <v>1300</v>
      </c>
      <c r="F69" s="973">
        <v>0</v>
      </c>
      <c r="G69" s="1105" t="s">
        <v>716</v>
      </c>
      <c r="H69" s="1105"/>
      <c r="I69" s="455">
        <v>0</v>
      </c>
      <c r="J69" s="748">
        <f>IF(I69&gt;0,K69/I69/K$7,0)</f>
        <v>0</v>
      </c>
      <c r="K69" s="32">
        <v>0</v>
      </c>
      <c r="L69" s="455">
        <v>0</v>
      </c>
      <c r="M69" s="748">
        <f>IF(L69&gt;0,N69/L69/N$7,0)</f>
        <v>0</v>
      </c>
      <c r="N69" s="32">
        <v>0</v>
      </c>
      <c r="O69" s="455">
        <v>0</v>
      </c>
      <c r="P69" s="748">
        <f>IF(O69&gt;0,Q69/O69/Q$7,0)</f>
        <v>0</v>
      </c>
      <c r="Q69" s="32">
        <v>0</v>
      </c>
      <c r="R69" s="455">
        <v>0</v>
      </c>
      <c r="S69" s="748">
        <f>IF(R69&gt;0,T69/R69/T$7,0)</f>
        <v>0</v>
      </c>
      <c r="T69" s="32">
        <v>0</v>
      </c>
      <c r="U69" s="455">
        <v>0</v>
      </c>
      <c r="V69" s="748">
        <f>IF(U69&gt;0,W69/U69/W$7,0)</f>
        <v>0</v>
      </c>
      <c r="W69" s="32">
        <v>0</v>
      </c>
      <c r="X69" s="455">
        <v>0</v>
      </c>
      <c r="Y69" s="748">
        <f>$F$69</f>
        <v>0</v>
      </c>
      <c r="Z69" s="32">
        <f>$E69*$F69*Z7</f>
        <v>0</v>
      </c>
      <c r="AA69" s="455">
        <v>0</v>
      </c>
      <c r="AB69" s="748">
        <f>$F$69</f>
        <v>0</v>
      </c>
      <c r="AC69" s="32">
        <f>$E69*$F69*AC7</f>
        <v>0</v>
      </c>
      <c r="AD69" s="455">
        <v>0</v>
      </c>
      <c r="AE69" s="748">
        <f>$F$69</f>
        <v>0</v>
      </c>
      <c r="AF69" s="32">
        <f>$E69*$F69*AF7</f>
        <v>0</v>
      </c>
      <c r="AG69" s="455">
        <v>0</v>
      </c>
      <c r="AH69" s="748">
        <f>$F$69</f>
        <v>0</v>
      </c>
      <c r="AI69" s="32">
        <f>$E69*$F69*AI7</f>
        <v>0</v>
      </c>
      <c r="AJ69" s="455">
        <v>0</v>
      </c>
      <c r="AK69" s="748">
        <f>$F$69</f>
        <v>0</v>
      </c>
      <c r="AL69" s="32">
        <f>$E69*$F69*AL7</f>
        <v>0</v>
      </c>
      <c r="AM69" s="455">
        <v>0</v>
      </c>
      <c r="AN69" s="748">
        <f>$F$69</f>
        <v>0</v>
      </c>
      <c r="AO69" s="32">
        <f>$E69*$F69*AO7</f>
        <v>0</v>
      </c>
      <c r="AP69" s="455">
        <v>0</v>
      </c>
      <c r="AQ69" s="748">
        <f>$F$69</f>
        <v>0</v>
      </c>
      <c r="AR69" s="32">
        <f>$E69*$F69*AR7</f>
        <v>0</v>
      </c>
      <c r="AS69" s="32"/>
      <c r="AU69" s="33">
        <f>AR69+AO69+AL69+AI69+AF69+AC69+Z69+W69+T69+Q69+N69+K69</f>
        <v>0</v>
      </c>
    </row>
    <row r="70" spans="1:47" x14ac:dyDescent="0.2">
      <c r="D70" s="745"/>
      <c r="F70" s="973"/>
      <c r="G70" s="1105"/>
      <c r="H70" s="1105"/>
      <c r="I70" s="455"/>
      <c r="K70" s="32"/>
      <c r="L70" s="455"/>
      <c r="M70" s="748"/>
      <c r="N70" s="32"/>
      <c r="O70" s="455"/>
      <c r="P70" s="748"/>
      <c r="Q70" s="32"/>
      <c r="R70" s="455"/>
      <c r="S70" s="748"/>
      <c r="T70" s="32"/>
      <c r="U70" s="455"/>
      <c r="V70" s="748"/>
      <c r="W70" s="32"/>
      <c r="X70" s="455"/>
      <c r="Y70" s="748"/>
      <c r="Z70" s="32"/>
      <c r="AA70" s="455"/>
      <c r="AB70" s="748"/>
      <c r="AC70" s="32"/>
      <c r="AD70" s="455"/>
      <c r="AE70" s="748"/>
      <c r="AF70" s="32"/>
      <c r="AG70" s="455"/>
      <c r="AH70" s="748"/>
      <c r="AI70" s="32"/>
      <c r="AJ70" s="455"/>
      <c r="AK70" s="748"/>
      <c r="AL70" s="32"/>
      <c r="AM70" s="455"/>
      <c r="AN70" s="748"/>
      <c r="AO70" s="32"/>
      <c r="AP70" s="455"/>
      <c r="AQ70" s="748"/>
      <c r="AR70" s="32"/>
      <c r="AS70" s="32"/>
      <c r="AU70" s="33"/>
    </row>
    <row r="71" spans="1:47" x14ac:dyDescent="0.2">
      <c r="D71" s="745"/>
      <c r="E71" s="753"/>
      <c r="F71" s="973"/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>IF(R71&gt;0,T71/R71/T$7,0)</f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v>0</v>
      </c>
      <c r="AN71" s="748">
        <f>IF(AM71&gt;0,AO71/AM71/AO$7,0)</f>
        <v>0</v>
      </c>
      <c r="AO71" s="39">
        <v>0</v>
      </c>
      <c r="AP71" s="777">
        <v>0</v>
      </c>
      <c r="AQ71" s="748">
        <f>IF(AP71&gt;0,AR71/AP71/AR$7,0)</f>
        <v>0</v>
      </c>
      <c r="AR71" s="39">
        <v>0</v>
      </c>
      <c r="AS71" s="32"/>
      <c r="AU71" s="804">
        <f>AR71+AO71+AL71+AI71+AF71+AC71+Z71+W71+T71+Q71+N71+K71</f>
        <v>0</v>
      </c>
    </row>
    <row r="72" spans="1:47" s="42" customFormat="1" x14ac:dyDescent="0.2">
      <c r="A72" s="741" t="s">
        <v>717</v>
      </c>
      <c r="C72" s="3"/>
      <c r="D72" s="3"/>
      <c r="E72" s="431">
        <f>SUM(E69:E71)</f>
        <v>1300</v>
      </c>
      <c r="F72" s="988"/>
      <c r="G72" s="754"/>
      <c r="H72" s="754"/>
      <c r="I72" s="774">
        <f>SUM(I69:I71)</f>
        <v>0</v>
      </c>
      <c r="J72" s="754">
        <f>IF(I72&gt;0,K72/I72/K$7,0)</f>
        <v>0</v>
      </c>
      <c r="K72" s="31">
        <f>SUM(K69:K71)</f>
        <v>0</v>
      </c>
      <c r="L72" s="774">
        <f>SUM(L69:L71)</f>
        <v>0</v>
      </c>
      <c r="M72" s="754">
        <f>IF(L72&gt;0,N72/L72/N$7,0)</f>
        <v>0</v>
      </c>
      <c r="N72" s="31">
        <f>SUM(N69:N71)</f>
        <v>0</v>
      </c>
      <c r="O72" s="774">
        <f>SUM(O69:O71)</f>
        <v>0</v>
      </c>
      <c r="P72" s="754">
        <f>IF(O72&gt;0,Q72/O72/Q$7,0)</f>
        <v>0</v>
      </c>
      <c r="Q72" s="31">
        <f>SUM(Q69:Q71)</f>
        <v>0</v>
      </c>
      <c r="R72" s="774">
        <f>SUM(R69:R71)</f>
        <v>0</v>
      </c>
      <c r="S72" s="754">
        <f>IF(R72&gt;0,T72/R72/T$7,0)</f>
        <v>0</v>
      </c>
      <c r="T72" s="31">
        <f>SUM(T69:T71)</f>
        <v>0</v>
      </c>
      <c r="U72" s="774">
        <f>SUM(U69:U71)</f>
        <v>0</v>
      </c>
      <c r="V72" s="754">
        <f>IF(U72&gt;0,W72/U72/W$7,0)</f>
        <v>0</v>
      </c>
      <c r="W72" s="31">
        <f>SUM(W69:W71)</f>
        <v>0</v>
      </c>
      <c r="X72" s="774">
        <f>SUM(X69:X71)</f>
        <v>0</v>
      </c>
      <c r="Y72" s="754">
        <f>IF(X72&gt;0,Z72/X72/Z$7,0)</f>
        <v>0</v>
      </c>
      <c r="Z72" s="31">
        <f>SUM(Z69:Z71)</f>
        <v>0</v>
      </c>
      <c r="AA72" s="774">
        <f>SUM(AA69:AA71)</f>
        <v>0</v>
      </c>
      <c r="AB72" s="754">
        <f>IF(AA72&gt;0,AC72/AA72/AC$7,0)</f>
        <v>0</v>
      </c>
      <c r="AC72" s="31">
        <f>SUM(AC69:AC71)</f>
        <v>0</v>
      </c>
      <c r="AD72" s="774">
        <f>SUM(AD69:AD71)</f>
        <v>0</v>
      </c>
      <c r="AE72" s="754">
        <f>IF(AD72&gt;0,AF72/AD72/AF$7,0)</f>
        <v>0</v>
      </c>
      <c r="AF72" s="31">
        <f>SUM(AF69:AF71)</f>
        <v>0</v>
      </c>
      <c r="AG72" s="774">
        <f>SUM(AG69:AG71)</f>
        <v>0</v>
      </c>
      <c r="AH72" s="754">
        <f>IF(AG72&gt;0,AI72/AG72/AI$7,0)</f>
        <v>0</v>
      </c>
      <c r="AI72" s="31">
        <f>SUM(AI69:AI71)</f>
        <v>0</v>
      </c>
      <c r="AJ72" s="774">
        <f>SUM(AJ69:AJ71)</f>
        <v>0</v>
      </c>
      <c r="AK72" s="754">
        <f>IF(AJ72&gt;0,AL72/AJ72/AL$7,0)</f>
        <v>0</v>
      </c>
      <c r="AL72" s="31">
        <f>SUM(AL69:AL71)</f>
        <v>0</v>
      </c>
      <c r="AM72" s="774">
        <f>SUM(AM69:AM71)</f>
        <v>0</v>
      </c>
      <c r="AN72" s="754">
        <f>IF(AM72&gt;0,AO72/AM72/AO$7,0)</f>
        <v>0</v>
      </c>
      <c r="AO72" s="31">
        <f>SUM(AO69:AO71)</f>
        <v>0</v>
      </c>
      <c r="AP72" s="774">
        <f>SUM(AP69:AP71)</f>
        <v>0</v>
      </c>
      <c r="AQ72" s="754">
        <f>IF(AP72&gt;0,AR72/AP72/AR$7,0)</f>
        <v>0</v>
      </c>
      <c r="AR72" s="31">
        <f>SUM(AR69:AR71)</f>
        <v>0</v>
      </c>
      <c r="AS72" s="31"/>
      <c r="AT72" s="801"/>
      <c r="AU72" s="992"/>
    </row>
    <row r="73" spans="1:47" x14ac:dyDescent="0.2">
      <c r="F73" s="973"/>
    </row>
    <row r="74" spans="1:47" x14ac:dyDescent="0.2">
      <c r="F74" s="973"/>
      <c r="AU74" s="33">
        <f>SUM(AU13:AU72)</f>
        <v>1654874</v>
      </c>
    </row>
    <row r="75" spans="1:47" x14ac:dyDescent="0.2">
      <c r="F75" s="973"/>
    </row>
    <row r="76" spans="1:47" x14ac:dyDescent="0.2">
      <c r="A76" s="812" t="s">
        <v>756</v>
      </c>
      <c r="B76" s="809"/>
      <c r="C76" s="809"/>
      <c r="D76" s="809"/>
      <c r="E76" s="990"/>
      <c r="F76" s="991"/>
      <c r="G76" s="810"/>
      <c r="H76" s="810"/>
      <c r="I76" s="813"/>
      <c r="J76" s="810" t="s">
        <v>57</v>
      </c>
      <c r="K76" s="814"/>
      <c r="L76" s="815"/>
      <c r="M76" s="814" t="s">
        <v>58</v>
      </c>
      <c r="N76" s="814"/>
      <c r="O76" s="815"/>
      <c r="P76" s="814" t="s">
        <v>59</v>
      </c>
      <c r="Q76" s="814"/>
      <c r="R76" s="815"/>
      <c r="S76" s="814" t="s">
        <v>60</v>
      </c>
      <c r="T76" s="814"/>
      <c r="U76" s="815"/>
      <c r="V76" s="814" t="s">
        <v>1</v>
      </c>
      <c r="W76" s="814"/>
      <c r="X76" s="815"/>
      <c r="Y76" s="814" t="s">
        <v>61</v>
      </c>
      <c r="Z76" s="814"/>
      <c r="AA76" s="815"/>
      <c r="AB76" s="814" t="s">
        <v>62</v>
      </c>
      <c r="AC76" s="814"/>
      <c r="AD76" s="815"/>
      <c r="AE76" s="814" t="s">
        <v>63</v>
      </c>
      <c r="AF76" s="814"/>
      <c r="AG76" s="815"/>
      <c r="AH76" s="814" t="s">
        <v>64</v>
      </c>
      <c r="AI76" s="814"/>
      <c r="AJ76" s="815"/>
      <c r="AK76" s="814" t="s">
        <v>65</v>
      </c>
      <c r="AL76" s="814"/>
      <c r="AM76" s="815"/>
      <c r="AN76" s="814" t="s">
        <v>66</v>
      </c>
      <c r="AO76" s="814"/>
      <c r="AP76" s="815"/>
      <c r="AQ76" s="814" t="s">
        <v>67</v>
      </c>
      <c r="AR76" s="814"/>
      <c r="AS76" s="389"/>
      <c r="AT76" s="877"/>
      <c r="AU76" s="877"/>
    </row>
    <row r="77" spans="1:47" x14ac:dyDescent="0.2">
      <c r="A77" s="743" t="s">
        <v>626</v>
      </c>
      <c r="F77" s="973"/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7" x14ac:dyDescent="0.2">
      <c r="A78" s="41" t="s">
        <v>148</v>
      </c>
      <c r="C78" s="745"/>
      <c r="D78" s="745"/>
      <c r="F78" s="973"/>
      <c r="G78" s="748">
        <v>0.03</v>
      </c>
      <c r="I78" s="993">
        <v>35200</v>
      </c>
      <c r="J78" s="862">
        <f>$G78</f>
        <v>0.03</v>
      </c>
      <c r="K78" s="678">
        <f>I78*J78*K$7</f>
        <v>32736</v>
      </c>
      <c r="L78" s="48">
        <v>23900</v>
      </c>
      <c r="M78" s="862">
        <f>$G78</f>
        <v>0.03</v>
      </c>
      <c r="N78" s="678">
        <f>L78*M78*N$7</f>
        <v>20076</v>
      </c>
      <c r="O78" s="862">
        <v>26400</v>
      </c>
      <c r="P78" s="862">
        <f>$G78</f>
        <v>0.03</v>
      </c>
      <c r="Q78" s="678">
        <f>O78*P78*Q$7</f>
        <v>24552</v>
      </c>
      <c r="R78" s="862">
        <v>23900</v>
      </c>
      <c r="S78" s="862">
        <f>$G78</f>
        <v>0.03</v>
      </c>
      <c r="T78" s="678">
        <f>R78*S78*T$7</f>
        <v>21510</v>
      </c>
      <c r="U78" s="867">
        <v>20000</v>
      </c>
      <c r="V78" s="862">
        <f>$G78</f>
        <v>0.03</v>
      </c>
      <c r="W78" s="678">
        <f>U78*V78*W$7</f>
        <v>18600</v>
      </c>
      <c r="X78" s="48">
        <v>23900</v>
      </c>
      <c r="Y78" s="862">
        <f>$G78</f>
        <v>0.03</v>
      </c>
      <c r="Z78" s="678">
        <f>X78*Y78*Z$7</f>
        <v>21510</v>
      </c>
      <c r="AA78" s="48">
        <v>22800</v>
      </c>
      <c r="AB78" s="862">
        <f>$G78</f>
        <v>0.03</v>
      </c>
      <c r="AC78" s="678">
        <f>AA78*AB78*AC$7+116666</f>
        <v>137870</v>
      </c>
      <c r="AD78" s="48">
        <v>12200</v>
      </c>
      <c r="AE78" s="862">
        <f>$G78</f>
        <v>0.03</v>
      </c>
      <c r="AF78" s="678">
        <f>AD78*AE78*AF$7+116666</f>
        <v>128012</v>
      </c>
      <c r="AG78" s="48">
        <v>20200</v>
      </c>
      <c r="AH78" s="862">
        <f>$G78</f>
        <v>0.03</v>
      </c>
      <c r="AI78" s="678">
        <f>AG78*AH78*AI$7+116666</f>
        <v>134846</v>
      </c>
      <c r="AJ78" s="48">
        <v>10600</v>
      </c>
      <c r="AK78" s="862">
        <f>$G78</f>
        <v>0.03</v>
      </c>
      <c r="AL78" s="678">
        <f>AJ78*AK78*AL$7+116666</f>
        <v>126524</v>
      </c>
      <c r="AM78" s="48">
        <v>13800</v>
      </c>
      <c r="AN78" s="862">
        <f>$G78</f>
        <v>0.03</v>
      </c>
      <c r="AO78" s="678">
        <f>AM78*AN78*AO$7+116666</f>
        <v>129086</v>
      </c>
      <c r="AP78" s="48">
        <v>27300</v>
      </c>
      <c r="AQ78" s="862">
        <f>$G78</f>
        <v>0.03</v>
      </c>
      <c r="AR78" s="678">
        <f>AP78*AQ78*AR$7+116670</f>
        <v>142059</v>
      </c>
      <c r="AS78" s="32"/>
      <c r="AU78" s="33">
        <f>AR78+AO78+AL78+AI78+AF78+AC78+Z78+W78+T78+Q78+N78+K78</f>
        <v>937381</v>
      </c>
    </row>
    <row r="79" spans="1:47" x14ac:dyDescent="0.2">
      <c r="A79" s="41" t="s">
        <v>149</v>
      </c>
      <c r="B79" s="172"/>
      <c r="C79" s="185"/>
      <c r="D79" s="185"/>
      <c r="E79" s="836"/>
      <c r="F79" s="973"/>
      <c r="I79" s="979"/>
      <c r="J79" s="862">
        <f t="shared" ref="J79:J96" si="13">$G79</f>
        <v>0</v>
      </c>
      <c r="K79" s="678">
        <f t="shared" ref="K79:K95" si="14">I79*J79*K$7</f>
        <v>0</v>
      </c>
      <c r="L79" s="48"/>
      <c r="M79" s="862">
        <f t="shared" ref="M79:M96" si="15">$G79</f>
        <v>0</v>
      </c>
      <c r="N79" s="678">
        <f>L79*M79*N$7</f>
        <v>0</v>
      </c>
      <c r="O79" s="862"/>
      <c r="P79" s="862">
        <f t="shared" ref="P79:P96" si="16">$G79</f>
        <v>0</v>
      </c>
      <c r="Q79" s="678">
        <f>O79*P79*Q$7</f>
        <v>0</v>
      </c>
      <c r="R79" s="862"/>
      <c r="S79" s="862">
        <f t="shared" ref="S79:S96" si="17">$G79</f>
        <v>0</v>
      </c>
      <c r="T79" s="678">
        <f>R79*S79*T$7</f>
        <v>0</v>
      </c>
      <c r="U79" s="867"/>
      <c r="V79" s="862">
        <f t="shared" ref="V79:V96" si="18">$G79</f>
        <v>0</v>
      </c>
      <c r="W79" s="678">
        <f>U79*V79*W$7</f>
        <v>0</v>
      </c>
      <c r="X79" s="48"/>
      <c r="Y79" s="862">
        <f t="shared" ref="Y79:Y96" si="19">$G79</f>
        <v>0</v>
      </c>
      <c r="Z79" s="678">
        <f>X79*Y79*Z$7</f>
        <v>0</v>
      </c>
      <c r="AA79" s="48"/>
      <c r="AB79" s="862">
        <f t="shared" ref="AB79:AB96" si="20">$G79</f>
        <v>0</v>
      </c>
      <c r="AC79" s="678">
        <f>AA79*AB79*AC$7</f>
        <v>0</v>
      </c>
      <c r="AD79" s="48"/>
      <c r="AE79" s="862">
        <f t="shared" ref="AE79:AE96" si="21">$G79</f>
        <v>0</v>
      </c>
      <c r="AF79" s="678">
        <f>AD79*AE79*AF$7</f>
        <v>0</v>
      </c>
      <c r="AG79" s="48"/>
      <c r="AH79" s="862">
        <f t="shared" ref="AH79:AH96" si="22">$G79</f>
        <v>0</v>
      </c>
      <c r="AI79" s="678">
        <f>AG79*AH79*AI$7</f>
        <v>0</v>
      </c>
      <c r="AJ79" s="48"/>
      <c r="AK79" s="862">
        <f t="shared" ref="AK79:AK96" si="23">$G79</f>
        <v>0</v>
      </c>
      <c r="AL79" s="678">
        <f>AJ79*AK79*AL$7</f>
        <v>0</v>
      </c>
      <c r="AM79" s="48"/>
      <c r="AN79" s="862">
        <f t="shared" ref="AN79:AN96" si="24">$G79</f>
        <v>0</v>
      </c>
      <c r="AO79" s="678">
        <f>AM79*AN79*AO$7</f>
        <v>0</v>
      </c>
      <c r="AP79" s="48"/>
      <c r="AQ79" s="862">
        <f t="shared" ref="AQ79:AQ96" si="25">$G79</f>
        <v>0</v>
      </c>
      <c r="AR79" s="678">
        <f>AP79*AQ79*AR$7</f>
        <v>0</v>
      </c>
      <c r="AS79" s="32"/>
      <c r="AU79" s="33">
        <f t="shared" ref="AU79:AU95" si="26">AR79+AO79+AL79+AI79+AF79+AC79+Z79+W79+T79+Q79+N79+K79</f>
        <v>0</v>
      </c>
    </row>
    <row r="80" spans="1:47" x14ac:dyDescent="0.2">
      <c r="A80" s="41" t="s">
        <v>150</v>
      </c>
      <c r="C80" s="745"/>
      <c r="D80" s="745"/>
      <c r="F80" s="973"/>
      <c r="G80" s="748">
        <v>0.02</v>
      </c>
      <c r="I80" s="979">
        <v>1900</v>
      </c>
      <c r="J80" s="862">
        <f t="shared" si="13"/>
        <v>0.02</v>
      </c>
      <c r="K80" s="678">
        <f t="shared" si="14"/>
        <v>1178</v>
      </c>
      <c r="L80" s="48">
        <v>1800</v>
      </c>
      <c r="M80" s="862">
        <f t="shared" si="15"/>
        <v>0.02</v>
      </c>
      <c r="N80" s="678">
        <f>L80*M80*N$7</f>
        <v>1008</v>
      </c>
      <c r="O80" s="862">
        <v>2500</v>
      </c>
      <c r="P80" s="862">
        <f t="shared" si="16"/>
        <v>0.02</v>
      </c>
      <c r="Q80" s="678">
        <f>O80*P80*Q$7</f>
        <v>1550</v>
      </c>
      <c r="R80" s="862">
        <v>8000</v>
      </c>
      <c r="S80" s="862">
        <f t="shared" si="17"/>
        <v>0.02</v>
      </c>
      <c r="T80" s="678">
        <f>R80*S80*T$7</f>
        <v>4800</v>
      </c>
      <c r="U80" s="867">
        <v>7000</v>
      </c>
      <c r="V80" s="862">
        <f t="shared" si="18"/>
        <v>0.02</v>
      </c>
      <c r="W80" s="678">
        <f>U80*V80*W$7</f>
        <v>4340</v>
      </c>
      <c r="X80" s="48">
        <v>20600</v>
      </c>
      <c r="Y80" s="862">
        <f t="shared" si="19"/>
        <v>0.02</v>
      </c>
      <c r="Z80" s="678">
        <f>X80*Y80*Z$7</f>
        <v>12360</v>
      </c>
      <c r="AA80" s="48">
        <v>1900</v>
      </c>
      <c r="AB80" s="862">
        <f t="shared" si="20"/>
        <v>0.02</v>
      </c>
      <c r="AC80" s="678">
        <f>AA80*AB80*AC$7</f>
        <v>1178</v>
      </c>
      <c r="AD80" s="48">
        <v>1800</v>
      </c>
      <c r="AE80" s="862">
        <f t="shared" si="21"/>
        <v>0.02</v>
      </c>
      <c r="AF80" s="678">
        <f>AD80*AE80*AF$7</f>
        <v>1116</v>
      </c>
      <c r="AG80" s="48">
        <v>2500</v>
      </c>
      <c r="AH80" s="862">
        <f t="shared" si="22"/>
        <v>0.02</v>
      </c>
      <c r="AI80" s="678">
        <f>AG80*AH80*AI$7</f>
        <v>1500</v>
      </c>
      <c r="AJ80" s="48">
        <v>8000</v>
      </c>
      <c r="AK80" s="862">
        <f t="shared" si="23"/>
        <v>0.02</v>
      </c>
      <c r="AL80" s="678">
        <f>AJ80*AK80*AL$7</f>
        <v>4960</v>
      </c>
      <c r="AM80" s="48">
        <v>7000</v>
      </c>
      <c r="AN80" s="862">
        <f t="shared" si="24"/>
        <v>0.02</v>
      </c>
      <c r="AO80" s="678">
        <f>AM80*AN80*AO$7</f>
        <v>4200</v>
      </c>
      <c r="AP80" s="48">
        <v>20600</v>
      </c>
      <c r="AQ80" s="862">
        <f t="shared" si="25"/>
        <v>0.02</v>
      </c>
      <c r="AR80" s="678">
        <f>AP80*AQ80*AR$7</f>
        <v>12772</v>
      </c>
      <c r="AS80" s="32"/>
      <c r="AU80" s="33">
        <f t="shared" si="26"/>
        <v>50962</v>
      </c>
    </row>
    <row r="81" spans="1:47" x14ac:dyDescent="0.2">
      <c r="A81" s="41" t="s">
        <v>151</v>
      </c>
      <c r="C81" s="745"/>
      <c r="D81" s="745"/>
      <c r="F81" s="973"/>
      <c r="I81" s="979"/>
      <c r="J81" s="862">
        <f t="shared" si="13"/>
        <v>0</v>
      </c>
      <c r="K81" s="678">
        <f t="shared" si="14"/>
        <v>0</v>
      </c>
      <c r="L81" s="48"/>
      <c r="M81" s="862">
        <f t="shared" si="15"/>
        <v>0</v>
      </c>
      <c r="N81" s="678">
        <f>L81*M81*N$7</f>
        <v>0</v>
      </c>
      <c r="O81" s="862"/>
      <c r="P81" s="862">
        <f t="shared" si="16"/>
        <v>0</v>
      </c>
      <c r="Q81" s="678">
        <f>O81*P81*Q$7</f>
        <v>0</v>
      </c>
      <c r="R81" s="862"/>
      <c r="S81" s="862">
        <f t="shared" si="17"/>
        <v>0</v>
      </c>
      <c r="T81" s="678">
        <f>R81*S81*T$7</f>
        <v>0</v>
      </c>
      <c r="U81" s="867"/>
      <c r="V81" s="862">
        <f t="shared" si="18"/>
        <v>0</v>
      </c>
      <c r="W81" s="678">
        <f>U81*V81*W$7</f>
        <v>0</v>
      </c>
      <c r="X81" s="48"/>
      <c r="Y81" s="862">
        <f t="shared" si="19"/>
        <v>0</v>
      </c>
      <c r="Z81" s="678">
        <f>X81*Y81*Z$7</f>
        <v>0</v>
      </c>
      <c r="AA81" s="48"/>
      <c r="AB81" s="862">
        <f t="shared" si="20"/>
        <v>0</v>
      </c>
      <c r="AC81" s="678">
        <f>AA81*AB81*AC$7</f>
        <v>0</v>
      </c>
      <c r="AD81" s="48"/>
      <c r="AE81" s="862">
        <f t="shared" si="21"/>
        <v>0</v>
      </c>
      <c r="AF81" s="678">
        <f>AD81*AE81*AF$7</f>
        <v>0</v>
      </c>
      <c r="AG81" s="48"/>
      <c r="AH81" s="862">
        <f t="shared" si="22"/>
        <v>0</v>
      </c>
      <c r="AI81" s="678">
        <f>AG81*AH81*AI$7</f>
        <v>0</v>
      </c>
      <c r="AJ81" s="48"/>
      <c r="AK81" s="862">
        <f t="shared" si="23"/>
        <v>0</v>
      </c>
      <c r="AL81" s="678">
        <f>AJ81*AK81*AL$7</f>
        <v>0</v>
      </c>
      <c r="AM81" s="48"/>
      <c r="AN81" s="862">
        <f t="shared" si="24"/>
        <v>0</v>
      </c>
      <c r="AO81" s="678">
        <f>AM81*AN81*AO$7</f>
        <v>0</v>
      </c>
      <c r="AP81" s="48"/>
      <c r="AQ81" s="862">
        <f t="shared" si="25"/>
        <v>0</v>
      </c>
      <c r="AR81" s="678">
        <f>AP81*AQ81*AR$7</f>
        <v>0</v>
      </c>
      <c r="AS81" s="32"/>
      <c r="AU81" s="33">
        <f t="shared" si="26"/>
        <v>0</v>
      </c>
    </row>
    <row r="82" spans="1:47" x14ac:dyDescent="0.2">
      <c r="A82" s="41" t="s">
        <v>152</v>
      </c>
      <c r="C82" s="745"/>
      <c r="D82" s="745"/>
      <c r="F82" s="973"/>
      <c r="I82" s="979"/>
      <c r="J82" s="862">
        <f t="shared" si="13"/>
        <v>0</v>
      </c>
      <c r="K82" s="678">
        <f t="shared" si="14"/>
        <v>0</v>
      </c>
      <c r="L82" s="48"/>
      <c r="M82" s="862">
        <f t="shared" si="15"/>
        <v>0</v>
      </c>
      <c r="N82" s="678">
        <f>L82*M82*N$7</f>
        <v>0</v>
      </c>
      <c r="O82" s="862"/>
      <c r="P82" s="862">
        <f t="shared" si="16"/>
        <v>0</v>
      </c>
      <c r="Q82" s="678">
        <f>O82*P82*Q$7</f>
        <v>0</v>
      </c>
      <c r="R82" s="862"/>
      <c r="S82" s="862">
        <f t="shared" si="17"/>
        <v>0</v>
      </c>
      <c r="T82" s="678">
        <f>R82*S82*T$7</f>
        <v>0</v>
      </c>
      <c r="U82" s="867"/>
      <c r="V82" s="862">
        <f t="shared" si="18"/>
        <v>0</v>
      </c>
      <c r="W82" s="678">
        <f>U82*V82*W$7</f>
        <v>0</v>
      </c>
      <c r="X82" s="48"/>
      <c r="Y82" s="862">
        <f t="shared" si="19"/>
        <v>0</v>
      </c>
      <c r="Z82" s="678">
        <f>X82*Y82*Z$7</f>
        <v>0</v>
      </c>
      <c r="AA82" s="48"/>
      <c r="AB82" s="862">
        <f t="shared" si="20"/>
        <v>0</v>
      </c>
      <c r="AC82" s="678">
        <f>AA82*AB82*AC$7</f>
        <v>0</v>
      </c>
      <c r="AD82" s="48"/>
      <c r="AE82" s="862">
        <f t="shared" si="21"/>
        <v>0</v>
      </c>
      <c r="AF82" s="678">
        <f>AD82*AE82*AF$7</f>
        <v>0</v>
      </c>
      <c r="AG82" s="48"/>
      <c r="AH82" s="862">
        <f t="shared" si="22"/>
        <v>0</v>
      </c>
      <c r="AI82" s="678">
        <f>AG82*AH82*AI$7</f>
        <v>0</v>
      </c>
      <c r="AJ82" s="48"/>
      <c r="AK82" s="862">
        <f t="shared" si="23"/>
        <v>0</v>
      </c>
      <c r="AL82" s="678">
        <f>AJ82*AK82*AL$7</f>
        <v>0</v>
      </c>
      <c r="AM82" s="48"/>
      <c r="AN82" s="862">
        <f t="shared" si="24"/>
        <v>0</v>
      </c>
      <c r="AO82" s="678">
        <f>AM82*AN82*AO$7</f>
        <v>0</v>
      </c>
      <c r="AP82" s="48"/>
      <c r="AQ82" s="862">
        <f t="shared" si="25"/>
        <v>0</v>
      </c>
      <c r="AR82" s="678">
        <f>AP82*AQ82*AR$7</f>
        <v>0</v>
      </c>
      <c r="AS82" s="32"/>
      <c r="AU82" s="33">
        <f t="shared" si="26"/>
        <v>0</v>
      </c>
    </row>
    <row r="83" spans="1:47" x14ac:dyDescent="0.2">
      <c r="A83" s="117" t="s">
        <v>86</v>
      </c>
      <c r="C83" s="745"/>
      <c r="D83" s="745"/>
      <c r="F83" s="973"/>
      <c r="I83" s="980"/>
      <c r="J83" s="862">
        <f t="shared" si="13"/>
        <v>0</v>
      </c>
      <c r="K83" s="727">
        <f>SUM(K78:K82)</f>
        <v>33914</v>
      </c>
      <c r="L83" s="112"/>
      <c r="M83" s="862">
        <f t="shared" si="15"/>
        <v>0</v>
      </c>
      <c r="N83" s="727">
        <f>SUM(N78:N82)</f>
        <v>21084</v>
      </c>
      <c r="O83" s="864"/>
      <c r="P83" s="862">
        <f t="shared" si="16"/>
        <v>0</v>
      </c>
      <c r="Q83" s="727">
        <f>SUM(Q78:Q82)</f>
        <v>26102</v>
      </c>
      <c r="R83" s="864"/>
      <c r="S83" s="862">
        <f t="shared" si="17"/>
        <v>0</v>
      </c>
      <c r="T83" s="727">
        <f>SUM(T78:T82)</f>
        <v>26310</v>
      </c>
      <c r="U83" s="869"/>
      <c r="V83" s="862">
        <f t="shared" si="18"/>
        <v>0</v>
      </c>
      <c r="W83" s="727">
        <f>SUM(W78:W82)</f>
        <v>22940</v>
      </c>
      <c r="X83" s="112"/>
      <c r="Y83" s="862">
        <f t="shared" si="19"/>
        <v>0</v>
      </c>
      <c r="Z83" s="727">
        <f>SUM(Z78:Z82)</f>
        <v>33870</v>
      </c>
      <c r="AA83" s="112"/>
      <c r="AB83" s="862">
        <f t="shared" si="20"/>
        <v>0</v>
      </c>
      <c r="AC83" s="727">
        <f>SUM(AC78:AC82)</f>
        <v>139048</v>
      </c>
      <c r="AD83" s="112"/>
      <c r="AE83" s="862">
        <f t="shared" si="21"/>
        <v>0</v>
      </c>
      <c r="AF83" s="727">
        <f>SUM(AF78:AF82)</f>
        <v>129128</v>
      </c>
      <c r="AG83" s="112"/>
      <c r="AH83" s="862">
        <f t="shared" si="22"/>
        <v>0</v>
      </c>
      <c r="AI83" s="727">
        <f>SUM(AI78:AI82)</f>
        <v>136346</v>
      </c>
      <c r="AJ83" s="112"/>
      <c r="AK83" s="862">
        <f t="shared" si="23"/>
        <v>0</v>
      </c>
      <c r="AL83" s="727">
        <f>SUM(AL78:AL82)</f>
        <v>131484</v>
      </c>
      <c r="AM83" s="112"/>
      <c r="AN83" s="862">
        <f t="shared" si="24"/>
        <v>0</v>
      </c>
      <c r="AO83" s="727">
        <f>SUM(AO78:AO82)</f>
        <v>133286</v>
      </c>
      <c r="AP83" s="112"/>
      <c r="AQ83" s="862">
        <f t="shared" si="25"/>
        <v>0</v>
      </c>
      <c r="AR83" s="727">
        <f>SUM(AR78:AR82)</f>
        <v>154831</v>
      </c>
      <c r="AS83" s="32"/>
      <c r="AU83" s="33"/>
    </row>
    <row r="84" spans="1:47" x14ac:dyDescent="0.2">
      <c r="A84" s="41" t="s">
        <v>217</v>
      </c>
      <c r="C84" s="745"/>
      <c r="D84" s="745"/>
      <c r="F84" s="973"/>
      <c r="G84" s="748">
        <v>1.4999999999999999E-2</v>
      </c>
      <c r="H84" s="748">
        <v>0.04</v>
      </c>
      <c r="I84" s="979">
        <v>129800</v>
      </c>
      <c r="J84" s="985">
        <f t="shared" si="13"/>
        <v>1.4999999999999999E-2</v>
      </c>
      <c r="K84" s="678">
        <f t="shared" si="14"/>
        <v>60357</v>
      </c>
      <c r="L84" s="48">
        <v>53200</v>
      </c>
      <c r="M84" s="985">
        <f t="shared" si="15"/>
        <v>1.4999999999999999E-2</v>
      </c>
      <c r="N84" s="678">
        <f>L84*M84*N$7</f>
        <v>22344</v>
      </c>
      <c r="O84" s="862">
        <v>55600</v>
      </c>
      <c r="P84" s="985">
        <f t="shared" si="16"/>
        <v>1.4999999999999999E-2</v>
      </c>
      <c r="Q84" s="678">
        <f>O84*P84*Q$7</f>
        <v>25854</v>
      </c>
      <c r="R84" s="862">
        <v>85000</v>
      </c>
      <c r="S84" s="862">
        <v>0.04</v>
      </c>
      <c r="T84" s="678">
        <f>R84*S84*T$7</f>
        <v>102000</v>
      </c>
      <c r="U84" s="867">
        <v>116400</v>
      </c>
      <c r="V84" s="862">
        <v>0.04</v>
      </c>
      <c r="W84" s="678">
        <f>U84*V84*W$7</f>
        <v>144336</v>
      </c>
      <c r="X84" s="48">
        <v>148000</v>
      </c>
      <c r="Y84" s="862">
        <v>0.04</v>
      </c>
      <c r="Z84" s="678">
        <f>X84*Y84*Z$7</f>
        <v>177600</v>
      </c>
      <c r="AA84" s="48">
        <v>114000</v>
      </c>
      <c r="AB84" s="862">
        <v>0.04</v>
      </c>
      <c r="AC84" s="678">
        <f>AA84*AB84*AC$7</f>
        <v>141360</v>
      </c>
      <c r="AD84" s="48">
        <v>107800</v>
      </c>
      <c r="AE84" s="862">
        <v>0.04</v>
      </c>
      <c r="AF84" s="678">
        <f>AD84*AE84*AF$7</f>
        <v>133672</v>
      </c>
      <c r="AG84" s="48">
        <v>86000</v>
      </c>
      <c r="AH84" s="862">
        <v>0.04</v>
      </c>
      <c r="AI84" s="678">
        <f>AG84*AH84*AI$7</f>
        <v>103200</v>
      </c>
      <c r="AJ84" s="48">
        <v>26000</v>
      </c>
      <c r="AK84" s="862">
        <v>0.04</v>
      </c>
      <c r="AL84" s="678">
        <f>AJ84*AK84*AL$7</f>
        <v>32240</v>
      </c>
      <c r="AM84" s="48">
        <v>26000</v>
      </c>
      <c r="AN84" s="985">
        <f t="shared" si="24"/>
        <v>1.4999999999999999E-2</v>
      </c>
      <c r="AO84" s="678">
        <f>AM84*AN84*AO$7</f>
        <v>11700</v>
      </c>
      <c r="AP84" s="48">
        <v>102100</v>
      </c>
      <c r="AQ84" s="985">
        <f t="shared" si="25"/>
        <v>1.4999999999999999E-2</v>
      </c>
      <c r="AR84" s="678">
        <f>AP84*AQ84*AR$7</f>
        <v>47476.5</v>
      </c>
      <c r="AS84" s="32"/>
      <c r="AU84" s="33">
        <f t="shared" si="26"/>
        <v>1002139.5</v>
      </c>
    </row>
    <row r="85" spans="1:47" x14ac:dyDescent="0.2">
      <c r="A85" s="117" t="s">
        <v>88</v>
      </c>
      <c r="C85" s="745"/>
      <c r="D85" s="745"/>
      <c r="F85" s="973"/>
      <c r="I85" s="980"/>
      <c r="J85" s="862">
        <f t="shared" si="13"/>
        <v>0</v>
      </c>
      <c r="K85" s="727">
        <f>SUM(K84)</f>
        <v>60357</v>
      </c>
      <c r="L85" s="112"/>
      <c r="M85" s="862">
        <f t="shared" si="15"/>
        <v>0</v>
      </c>
      <c r="N85" s="727">
        <f>SUM(N84)</f>
        <v>22344</v>
      </c>
      <c r="O85" s="864"/>
      <c r="P85" s="862">
        <f t="shared" si="16"/>
        <v>0</v>
      </c>
      <c r="Q85" s="727">
        <f>SUM(Q84)</f>
        <v>25854</v>
      </c>
      <c r="R85" s="864"/>
      <c r="S85" s="862">
        <f t="shared" si="17"/>
        <v>0</v>
      </c>
      <c r="T85" s="727">
        <f>SUM(T84)</f>
        <v>102000</v>
      </c>
      <c r="U85" s="869"/>
      <c r="V85" s="862">
        <f t="shared" si="18"/>
        <v>0</v>
      </c>
      <c r="W85" s="727">
        <f>SUM(W84)</f>
        <v>144336</v>
      </c>
      <c r="X85" s="112"/>
      <c r="Y85" s="862">
        <f t="shared" si="19"/>
        <v>0</v>
      </c>
      <c r="Z85" s="727">
        <f>SUM(Z84)</f>
        <v>177600</v>
      </c>
      <c r="AA85" s="112"/>
      <c r="AB85" s="862">
        <f t="shared" si="20"/>
        <v>0</v>
      </c>
      <c r="AC85" s="727">
        <f>SUM(AC84)</f>
        <v>141360</v>
      </c>
      <c r="AD85" s="112"/>
      <c r="AE85" s="862">
        <f t="shared" si="21"/>
        <v>0</v>
      </c>
      <c r="AF85" s="727">
        <f>SUM(AF84)</f>
        <v>133672</v>
      </c>
      <c r="AG85" s="112"/>
      <c r="AH85" s="862">
        <f t="shared" si="22"/>
        <v>0</v>
      </c>
      <c r="AI85" s="727">
        <f>SUM(AI84)</f>
        <v>103200</v>
      </c>
      <c r="AJ85" s="112"/>
      <c r="AK85" s="862">
        <f t="shared" si="23"/>
        <v>0</v>
      </c>
      <c r="AL85" s="727">
        <f>SUM(AL84)</f>
        <v>32240</v>
      </c>
      <c r="AM85" s="112"/>
      <c r="AN85" s="862">
        <f t="shared" si="24"/>
        <v>0</v>
      </c>
      <c r="AO85" s="727">
        <f>SUM(AO84)</f>
        <v>11700</v>
      </c>
      <c r="AP85" s="112"/>
      <c r="AQ85" s="862">
        <f t="shared" si="25"/>
        <v>0</v>
      </c>
      <c r="AR85" s="727">
        <f>SUM(AR84)</f>
        <v>47476.5</v>
      </c>
      <c r="AS85" s="32"/>
      <c r="AU85" s="33"/>
    </row>
    <row r="86" spans="1:47" x14ac:dyDescent="0.2">
      <c r="A86" s="41" t="s">
        <v>218</v>
      </c>
      <c r="D86" s="745"/>
      <c r="E86" s="821"/>
      <c r="F86" s="973"/>
      <c r="G86" s="748">
        <v>1.4999999999999999E-2</v>
      </c>
      <c r="I86" s="979">
        <v>8700</v>
      </c>
      <c r="J86" s="985">
        <f t="shared" si="13"/>
        <v>1.4999999999999999E-2</v>
      </c>
      <c r="K86" s="678">
        <f t="shared" si="14"/>
        <v>4045.5</v>
      </c>
      <c r="L86" s="48">
        <v>6700</v>
      </c>
      <c r="M86" s="985">
        <f t="shared" si="15"/>
        <v>1.4999999999999999E-2</v>
      </c>
      <c r="N86" s="678">
        <f>L86*M86*N$7</f>
        <v>2814</v>
      </c>
      <c r="O86" s="862">
        <v>14100</v>
      </c>
      <c r="P86" s="985">
        <f t="shared" si="16"/>
        <v>1.4999999999999999E-2</v>
      </c>
      <c r="Q86" s="678">
        <f>O86*P86*Q$7</f>
        <v>6556.5</v>
      </c>
      <c r="R86" s="862">
        <v>12800</v>
      </c>
      <c r="S86" s="862">
        <f>$G86+0.025</f>
        <v>0.04</v>
      </c>
      <c r="T86" s="678">
        <f>R86*S86*T$7</f>
        <v>15360</v>
      </c>
      <c r="U86" s="867">
        <v>29400</v>
      </c>
      <c r="V86" s="862">
        <f>$G86+0.025</f>
        <v>0.04</v>
      </c>
      <c r="W86" s="678">
        <f>U86*V86*W$7</f>
        <v>36456</v>
      </c>
      <c r="X86" s="48">
        <v>22700</v>
      </c>
      <c r="Y86" s="862">
        <f>$G86+0.025</f>
        <v>0.04</v>
      </c>
      <c r="Z86" s="678">
        <f>X86*Y86*Z$7</f>
        <v>27240</v>
      </c>
      <c r="AA86" s="48">
        <v>5000</v>
      </c>
      <c r="AB86" s="862">
        <f>$G86+0.025</f>
        <v>0.04</v>
      </c>
      <c r="AC86" s="678">
        <f>AA86*AB86*AC$7</f>
        <v>6200</v>
      </c>
      <c r="AD86" s="48">
        <v>7600</v>
      </c>
      <c r="AE86" s="862">
        <f>$G86+0.025</f>
        <v>0.04</v>
      </c>
      <c r="AF86" s="678">
        <f>AD86*AE86*AF$7</f>
        <v>9424</v>
      </c>
      <c r="AG86" s="48">
        <v>7200</v>
      </c>
      <c r="AH86" s="862">
        <f>$G86+0.025</f>
        <v>0.04</v>
      </c>
      <c r="AI86" s="678">
        <f>AG86*AH86*AI$7</f>
        <v>8640</v>
      </c>
      <c r="AJ86" s="48">
        <v>43000</v>
      </c>
      <c r="AK86" s="862">
        <f>$G86+0.025</f>
        <v>0.04</v>
      </c>
      <c r="AL86" s="678">
        <f>AJ86*AK86*AL$7</f>
        <v>53320</v>
      </c>
      <c r="AM86" s="48">
        <v>43000</v>
      </c>
      <c r="AN86" s="985">
        <f t="shared" si="24"/>
        <v>1.4999999999999999E-2</v>
      </c>
      <c r="AO86" s="678">
        <f>AM86*AN86*AO$7</f>
        <v>19350</v>
      </c>
      <c r="AP86" s="48">
        <v>11700</v>
      </c>
      <c r="AQ86" s="985">
        <f t="shared" si="25"/>
        <v>1.4999999999999999E-2</v>
      </c>
      <c r="AR86" s="678">
        <f>AP86*AQ86*AR$7</f>
        <v>5440.5</v>
      </c>
      <c r="AS86" s="32"/>
      <c r="AU86" s="33">
        <f t="shared" si="26"/>
        <v>194846.5</v>
      </c>
    </row>
    <row r="87" spans="1:47" s="42" customFormat="1" x14ac:dyDescent="0.2">
      <c r="A87" s="117" t="s">
        <v>90</v>
      </c>
      <c r="C87" s="3"/>
      <c r="D87" s="3"/>
      <c r="E87" s="431"/>
      <c r="F87" s="988"/>
      <c r="G87" s="754"/>
      <c r="H87" s="748"/>
      <c r="I87" s="980"/>
      <c r="J87" s="862">
        <f t="shared" si="13"/>
        <v>0</v>
      </c>
      <c r="K87" s="727">
        <f>SUM(K86)</f>
        <v>4045.5</v>
      </c>
      <c r="L87" s="112"/>
      <c r="M87" s="862">
        <f t="shared" si="15"/>
        <v>0</v>
      </c>
      <c r="N87" s="727">
        <f>SUM(N86)</f>
        <v>2814</v>
      </c>
      <c r="O87" s="864"/>
      <c r="P87" s="862">
        <f t="shared" si="16"/>
        <v>0</v>
      </c>
      <c r="Q87" s="727">
        <f>SUM(Q86)</f>
        <v>6556.5</v>
      </c>
      <c r="R87" s="864"/>
      <c r="S87" s="862">
        <f t="shared" si="17"/>
        <v>0</v>
      </c>
      <c r="T87" s="727">
        <f>SUM(T86)</f>
        <v>15360</v>
      </c>
      <c r="U87" s="869"/>
      <c r="V87" s="862">
        <f t="shared" si="18"/>
        <v>0</v>
      </c>
      <c r="W87" s="727">
        <f>SUM(W86)</f>
        <v>36456</v>
      </c>
      <c r="X87" s="112"/>
      <c r="Y87" s="862">
        <f t="shared" si="19"/>
        <v>0</v>
      </c>
      <c r="Z87" s="727">
        <f>SUM(Z86)</f>
        <v>27240</v>
      </c>
      <c r="AA87" s="112"/>
      <c r="AB87" s="862">
        <f t="shared" si="20"/>
        <v>0</v>
      </c>
      <c r="AC87" s="727">
        <f>SUM(AC86)</f>
        <v>6200</v>
      </c>
      <c r="AD87" s="112"/>
      <c r="AE87" s="862">
        <f t="shared" si="21"/>
        <v>0</v>
      </c>
      <c r="AF87" s="727">
        <f>SUM(AF86)</f>
        <v>9424</v>
      </c>
      <c r="AG87" s="112"/>
      <c r="AH87" s="862">
        <f t="shared" si="22"/>
        <v>0</v>
      </c>
      <c r="AI87" s="727">
        <f>SUM(AI86)</f>
        <v>8640</v>
      </c>
      <c r="AJ87" s="112"/>
      <c r="AK87" s="862">
        <f t="shared" si="23"/>
        <v>0</v>
      </c>
      <c r="AL87" s="727">
        <f>SUM(AL86)</f>
        <v>53320</v>
      </c>
      <c r="AM87" s="112"/>
      <c r="AN87" s="862">
        <f t="shared" si="24"/>
        <v>0</v>
      </c>
      <c r="AO87" s="727">
        <f>SUM(AO86)</f>
        <v>19350</v>
      </c>
      <c r="AP87" s="112"/>
      <c r="AQ87" s="862">
        <f t="shared" si="25"/>
        <v>0</v>
      </c>
      <c r="AR87" s="727">
        <f>SUM(AR86)</f>
        <v>5440.5</v>
      </c>
      <c r="AS87" s="31"/>
      <c r="AU87" s="33"/>
    </row>
    <row r="88" spans="1:47" x14ac:dyDescent="0.2">
      <c r="A88" s="41" t="s">
        <v>153</v>
      </c>
      <c r="B88" s="478"/>
      <c r="C88" s="478"/>
      <c r="D88" s="478"/>
      <c r="E88" s="756"/>
      <c r="F88" s="987"/>
      <c r="G88" s="757"/>
      <c r="I88" s="979"/>
      <c r="J88" s="862">
        <f t="shared" si="13"/>
        <v>0</v>
      </c>
      <c r="K88" s="678">
        <f t="shared" si="14"/>
        <v>0</v>
      </c>
      <c r="L88" s="112"/>
      <c r="M88" s="862">
        <f t="shared" si="15"/>
        <v>0</v>
      </c>
      <c r="N88" s="678">
        <f>L88*M88*N$7</f>
        <v>0</v>
      </c>
      <c r="O88" s="862"/>
      <c r="P88" s="862">
        <f t="shared" si="16"/>
        <v>0</v>
      </c>
      <c r="Q88" s="678">
        <f>O88*P88*Q$7</f>
        <v>0</v>
      </c>
      <c r="R88" s="862"/>
      <c r="S88" s="862">
        <f t="shared" si="17"/>
        <v>0</v>
      </c>
      <c r="T88" s="678">
        <f>R88*S88*T$7</f>
        <v>0</v>
      </c>
      <c r="U88" s="867"/>
      <c r="V88" s="862">
        <f t="shared" si="18"/>
        <v>0</v>
      </c>
      <c r="W88" s="678">
        <f>U88*V88*W$7</f>
        <v>0</v>
      </c>
      <c r="X88" s="48"/>
      <c r="Y88" s="862">
        <f t="shared" si="19"/>
        <v>0</v>
      </c>
      <c r="Z88" s="678">
        <f>X88*Y88*Z$7</f>
        <v>0</v>
      </c>
      <c r="AA88" s="112"/>
      <c r="AB88" s="862">
        <f t="shared" si="20"/>
        <v>0</v>
      </c>
      <c r="AC88" s="678">
        <f>AA88*AB88*AC$7</f>
        <v>0</v>
      </c>
      <c r="AD88" s="48"/>
      <c r="AE88" s="862">
        <f t="shared" si="21"/>
        <v>0</v>
      </c>
      <c r="AF88" s="678">
        <f>AD88*AE88*AF$7</f>
        <v>0</v>
      </c>
      <c r="AG88" s="48"/>
      <c r="AH88" s="862">
        <f t="shared" si="22"/>
        <v>0</v>
      </c>
      <c r="AI88" s="678">
        <f>AG88*AH88*AI$7</f>
        <v>0</v>
      </c>
      <c r="AJ88" s="48"/>
      <c r="AK88" s="862">
        <f t="shared" si="23"/>
        <v>0</v>
      </c>
      <c r="AL88" s="678">
        <f>AJ88*AK88*AL$7</f>
        <v>0</v>
      </c>
      <c r="AM88" s="48"/>
      <c r="AN88" s="862">
        <f t="shared" si="24"/>
        <v>0</v>
      </c>
      <c r="AO88" s="678">
        <f>AM88*AN88*AO$7</f>
        <v>0</v>
      </c>
      <c r="AP88" s="48"/>
      <c r="AQ88" s="862">
        <f t="shared" si="25"/>
        <v>0</v>
      </c>
      <c r="AR88" s="678">
        <f>AP88*AQ88*AR$7</f>
        <v>0</v>
      </c>
      <c r="AU88" s="33">
        <f t="shared" si="26"/>
        <v>0</v>
      </c>
    </row>
    <row r="89" spans="1:47" x14ac:dyDescent="0.2">
      <c r="A89" s="41" t="s">
        <v>154</v>
      </c>
      <c r="B89" s="478"/>
      <c r="C89" s="478"/>
      <c r="D89" s="478"/>
      <c r="E89" s="756"/>
      <c r="F89" s="987"/>
      <c r="G89" s="757"/>
      <c r="I89" s="979"/>
      <c r="J89" s="862">
        <f t="shared" si="13"/>
        <v>0</v>
      </c>
      <c r="K89" s="678">
        <f t="shared" si="14"/>
        <v>0</v>
      </c>
      <c r="L89" s="48"/>
      <c r="M89" s="862">
        <f t="shared" si="15"/>
        <v>0</v>
      </c>
      <c r="N89" s="678">
        <f>L89*M89*N$7</f>
        <v>0</v>
      </c>
      <c r="O89" s="862"/>
      <c r="P89" s="862">
        <f t="shared" si="16"/>
        <v>0</v>
      </c>
      <c r="Q89" s="678">
        <f>O89*P89*Q$7</f>
        <v>0</v>
      </c>
      <c r="R89" s="862"/>
      <c r="S89" s="862">
        <f t="shared" si="17"/>
        <v>0</v>
      </c>
      <c r="T89" s="678">
        <f>R89*S89*T$7</f>
        <v>0</v>
      </c>
      <c r="U89" s="867"/>
      <c r="V89" s="862">
        <f t="shared" si="18"/>
        <v>0</v>
      </c>
      <c r="W89" s="678">
        <f>U89*V89*W$7</f>
        <v>0</v>
      </c>
      <c r="X89" s="48"/>
      <c r="Y89" s="862">
        <f t="shared" si="19"/>
        <v>0</v>
      </c>
      <c r="Z89" s="678">
        <f>X89*Y89*Z$7</f>
        <v>0</v>
      </c>
      <c r="AA89" s="48"/>
      <c r="AB89" s="862">
        <f t="shared" si="20"/>
        <v>0</v>
      </c>
      <c r="AC89" s="678">
        <f>AA89*AB89*AC$7</f>
        <v>0</v>
      </c>
      <c r="AD89" s="48"/>
      <c r="AE89" s="862">
        <f t="shared" si="21"/>
        <v>0</v>
      </c>
      <c r="AF89" s="678">
        <f>AD89*AE89*AF$7</f>
        <v>0</v>
      </c>
      <c r="AG89" s="48"/>
      <c r="AH89" s="862">
        <f t="shared" si="22"/>
        <v>0</v>
      </c>
      <c r="AI89" s="678">
        <f>AG89*AH89*AI$7</f>
        <v>0</v>
      </c>
      <c r="AJ89" s="48"/>
      <c r="AK89" s="862">
        <f t="shared" si="23"/>
        <v>0</v>
      </c>
      <c r="AL89" s="678">
        <f>AJ89*AK89*AL$7</f>
        <v>0</v>
      </c>
      <c r="AM89" s="48"/>
      <c r="AN89" s="862">
        <f t="shared" si="24"/>
        <v>0</v>
      </c>
      <c r="AO89" s="678">
        <f>AM89*AN89*AO$7</f>
        <v>0</v>
      </c>
      <c r="AP89" s="48"/>
      <c r="AQ89" s="862">
        <f t="shared" si="25"/>
        <v>0</v>
      </c>
      <c r="AR89" s="678">
        <f>AP89*AQ89*AR$7</f>
        <v>0</v>
      </c>
      <c r="AU89" s="33">
        <f t="shared" si="26"/>
        <v>0</v>
      </c>
    </row>
    <row r="90" spans="1:47" x14ac:dyDescent="0.2">
      <c r="A90" s="117" t="s">
        <v>129</v>
      </c>
      <c r="B90" s="478"/>
      <c r="C90" s="478"/>
      <c r="D90" s="478"/>
      <c r="E90" s="756"/>
      <c r="F90" s="987"/>
      <c r="G90" s="757"/>
      <c r="I90" s="980"/>
      <c r="J90" s="862">
        <f t="shared" si="13"/>
        <v>0</v>
      </c>
      <c r="K90" s="727">
        <f>SUM(K88:K89)</f>
        <v>0</v>
      </c>
      <c r="L90" s="112"/>
      <c r="M90" s="862">
        <f t="shared" si="15"/>
        <v>0</v>
      </c>
      <c r="N90" s="727">
        <f>SUM(N88:N89)</f>
        <v>0</v>
      </c>
      <c r="O90" s="864"/>
      <c r="P90" s="862">
        <f t="shared" si="16"/>
        <v>0</v>
      </c>
      <c r="Q90" s="727">
        <f>SUM(Q88:Q89)</f>
        <v>0</v>
      </c>
      <c r="R90" s="864"/>
      <c r="S90" s="862">
        <f t="shared" si="17"/>
        <v>0</v>
      </c>
      <c r="T90" s="727">
        <f>SUM(T88:T89)</f>
        <v>0</v>
      </c>
      <c r="U90" s="869"/>
      <c r="V90" s="862">
        <f t="shared" si="18"/>
        <v>0</v>
      </c>
      <c r="W90" s="727">
        <f>SUM(W88:W89)</f>
        <v>0</v>
      </c>
      <c r="X90" s="112"/>
      <c r="Y90" s="862">
        <f t="shared" si="19"/>
        <v>0</v>
      </c>
      <c r="Z90" s="727">
        <f>SUM(Z88:Z89)</f>
        <v>0</v>
      </c>
      <c r="AA90" s="112"/>
      <c r="AB90" s="862">
        <f t="shared" si="20"/>
        <v>0</v>
      </c>
      <c r="AC90" s="727">
        <f>SUM(AC88:AC89)</f>
        <v>0</v>
      </c>
      <c r="AD90" s="112"/>
      <c r="AE90" s="862">
        <f t="shared" si="21"/>
        <v>0</v>
      </c>
      <c r="AF90" s="727">
        <f>SUM(AF88:AF89)</f>
        <v>0</v>
      </c>
      <c r="AG90" s="112"/>
      <c r="AH90" s="862">
        <f t="shared" si="22"/>
        <v>0</v>
      </c>
      <c r="AI90" s="727">
        <f>SUM(AI88:AI89)</f>
        <v>0</v>
      </c>
      <c r="AJ90" s="112"/>
      <c r="AK90" s="862">
        <f t="shared" si="23"/>
        <v>0</v>
      </c>
      <c r="AL90" s="727">
        <f>SUM(AL88:AL89)</f>
        <v>0</v>
      </c>
      <c r="AM90" s="112"/>
      <c r="AN90" s="862">
        <f t="shared" si="24"/>
        <v>0</v>
      </c>
      <c r="AO90" s="727">
        <f>SUM(AO88:AO89)</f>
        <v>0</v>
      </c>
      <c r="AP90" s="112"/>
      <c r="AQ90" s="862">
        <f t="shared" si="25"/>
        <v>0</v>
      </c>
      <c r="AR90" s="727">
        <f>SUM(AR88:AR89)</f>
        <v>0</v>
      </c>
      <c r="AU90" s="33"/>
    </row>
    <row r="91" spans="1:47" s="29" customFormat="1" x14ac:dyDescent="0.2">
      <c r="A91" s="41" t="s">
        <v>155</v>
      </c>
      <c r="B91" s="605"/>
      <c r="C91" s="602"/>
      <c r="D91" s="602"/>
      <c r="E91" s="763"/>
      <c r="F91" s="989"/>
      <c r="G91" s="764"/>
      <c r="H91" s="748"/>
      <c r="I91" s="979"/>
      <c r="J91" s="862">
        <f t="shared" si="13"/>
        <v>0</v>
      </c>
      <c r="K91" s="678">
        <f t="shared" si="14"/>
        <v>0</v>
      </c>
      <c r="L91" s="48"/>
      <c r="M91" s="862">
        <f t="shared" si="15"/>
        <v>0</v>
      </c>
      <c r="N91" s="678">
        <f>L91*M91*N$7</f>
        <v>0</v>
      </c>
      <c r="O91" s="862"/>
      <c r="P91" s="862">
        <f t="shared" si="16"/>
        <v>0</v>
      </c>
      <c r="Q91" s="678">
        <f>O91*P91*Q$7</f>
        <v>0</v>
      </c>
      <c r="R91" s="862"/>
      <c r="S91" s="862">
        <f t="shared" si="17"/>
        <v>0</v>
      </c>
      <c r="T91" s="678">
        <f>R91*S91*T$7</f>
        <v>0</v>
      </c>
      <c r="U91" s="867"/>
      <c r="V91" s="862">
        <f t="shared" si="18"/>
        <v>0</v>
      </c>
      <c r="W91" s="678">
        <f>U91*V91*W$7</f>
        <v>0</v>
      </c>
      <c r="X91" s="48"/>
      <c r="Y91" s="862">
        <f t="shared" si="19"/>
        <v>0</v>
      </c>
      <c r="Z91" s="678">
        <f>X91*Y91*Z$7</f>
        <v>0</v>
      </c>
      <c r="AA91" s="48"/>
      <c r="AB91" s="862">
        <f t="shared" si="20"/>
        <v>0</v>
      </c>
      <c r="AC91" s="678">
        <f>AA91*AB91*AC$7</f>
        <v>0</v>
      </c>
      <c r="AD91" s="48"/>
      <c r="AE91" s="862">
        <f t="shared" si="21"/>
        <v>0</v>
      </c>
      <c r="AF91" s="678">
        <f>AD91*AE91*AF$7</f>
        <v>0</v>
      </c>
      <c r="AG91" s="48"/>
      <c r="AH91" s="862">
        <f t="shared" si="22"/>
        <v>0</v>
      </c>
      <c r="AI91" s="678">
        <f>AG91*AH91*AI$7</f>
        <v>0</v>
      </c>
      <c r="AJ91" s="48"/>
      <c r="AK91" s="862">
        <f t="shared" si="23"/>
        <v>0</v>
      </c>
      <c r="AL91" s="678">
        <f>AJ91*AK91*AL$7</f>
        <v>0</v>
      </c>
      <c r="AM91" s="48"/>
      <c r="AN91" s="862">
        <f t="shared" si="24"/>
        <v>0</v>
      </c>
      <c r="AO91" s="678">
        <f>AM91*AN91*AO$7</f>
        <v>0</v>
      </c>
      <c r="AP91" s="48"/>
      <c r="AQ91" s="862">
        <f t="shared" si="25"/>
        <v>0</v>
      </c>
      <c r="AR91" s="678">
        <f>AP91*AQ91*AR$7</f>
        <v>0</v>
      </c>
      <c r="AU91" s="33">
        <f t="shared" si="26"/>
        <v>0</v>
      </c>
    </row>
    <row r="92" spans="1:47" s="29" customFormat="1" x14ac:dyDescent="0.2">
      <c r="A92" s="41" t="s">
        <v>156</v>
      </c>
      <c r="B92" s="605"/>
      <c r="C92" s="602"/>
      <c r="D92" s="602"/>
      <c r="E92" s="763"/>
      <c r="F92" s="989"/>
      <c r="G92" s="764"/>
      <c r="H92" s="748"/>
      <c r="I92" s="979"/>
      <c r="J92" s="862">
        <f t="shared" si="13"/>
        <v>0</v>
      </c>
      <c r="K92" s="678">
        <f t="shared" si="14"/>
        <v>0</v>
      </c>
      <c r="L92" s="48"/>
      <c r="M92" s="862">
        <f t="shared" si="15"/>
        <v>0</v>
      </c>
      <c r="N92" s="678">
        <f>L92*M92*N$7</f>
        <v>0</v>
      </c>
      <c r="O92" s="862"/>
      <c r="P92" s="862">
        <f t="shared" si="16"/>
        <v>0</v>
      </c>
      <c r="Q92" s="678">
        <f>O92*P92*Q$7</f>
        <v>0</v>
      </c>
      <c r="R92" s="862"/>
      <c r="S92" s="862">
        <f t="shared" si="17"/>
        <v>0</v>
      </c>
      <c r="T92" s="678">
        <f>R92*S92*T$7</f>
        <v>0</v>
      </c>
      <c r="U92" s="867"/>
      <c r="V92" s="862">
        <f t="shared" si="18"/>
        <v>0</v>
      </c>
      <c r="W92" s="678">
        <f>U92*V92*W$7</f>
        <v>0</v>
      </c>
      <c r="X92" s="48"/>
      <c r="Y92" s="862">
        <f t="shared" si="19"/>
        <v>0</v>
      </c>
      <c r="Z92" s="678">
        <f>X92*Y92*Z$7</f>
        <v>0</v>
      </c>
      <c r="AA92" s="48"/>
      <c r="AB92" s="862">
        <f t="shared" si="20"/>
        <v>0</v>
      </c>
      <c r="AC92" s="678">
        <f>AA92*AB92*AC$7</f>
        <v>0</v>
      </c>
      <c r="AD92" s="48"/>
      <c r="AE92" s="862">
        <f t="shared" si="21"/>
        <v>0</v>
      </c>
      <c r="AF92" s="678">
        <f>AD92*AE92*AF$7</f>
        <v>0</v>
      </c>
      <c r="AG92" s="48"/>
      <c r="AH92" s="862">
        <f t="shared" si="22"/>
        <v>0</v>
      </c>
      <c r="AI92" s="678">
        <f>AG92*AH92*AI$7</f>
        <v>0</v>
      </c>
      <c r="AJ92" s="48"/>
      <c r="AK92" s="862">
        <f t="shared" si="23"/>
        <v>0</v>
      </c>
      <c r="AL92" s="678">
        <f>AJ92*AK92*AL$7</f>
        <v>0</v>
      </c>
      <c r="AM92" s="48"/>
      <c r="AN92" s="862">
        <f t="shared" si="24"/>
        <v>0</v>
      </c>
      <c r="AO92" s="678">
        <f>AM92*AN92*AO$7</f>
        <v>0</v>
      </c>
      <c r="AP92" s="48"/>
      <c r="AQ92" s="862">
        <f t="shared" si="25"/>
        <v>0</v>
      </c>
      <c r="AR92" s="678">
        <f>AP92*AQ92*AR$7</f>
        <v>0</v>
      </c>
      <c r="AU92" s="33">
        <f t="shared" si="26"/>
        <v>0</v>
      </c>
    </row>
    <row r="93" spans="1:47" s="29" customFormat="1" x14ac:dyDescent="0.2">
      <c r="A93" s="41" t="s">
        <v>157</v>
      </c>
      <c r="B93" s="605"/>
      <c r="C93" s="762"/>
      <c r="D93" s="762"/>
      <c r="E93" s="763"/>
      <c r="F93" s="989"/>
      <c r="G93" s="764"/>
      <c r="H93" s="748"/>
      <c r="I93" s="979"/>
      <c r="J93" s="862">
        <f t="shared" si="13"/>
        <v>0</v>
      </c>
      <c r="K93" s="678">
        <f t="shared" si="14"/>
        <v>0</v>
      </c>
      <c r="L93" s="48"/>
      <c r="M93" s="862">
        <f t="shared" si="15"/>
        <v>0</v>
      </c>
      <c r="N93" s="678">
        <f>L93*M93*N$7</f>
        <v>0</v>
      </c>
      <c r="O93" s="862"/>
      <c r="P93" s="862">
        <f t="shared" si="16"/>
        <v>0</v>
      </c>
      <c r="Q93" s="678">
        <f>O93*P93*Q$7</f>
        <v>0</v>
      </c>
      <c r="R93" s="862"/>
      <c r="S93" s="862">
        <f t="shared" si="17"/>
        <v>0</v>
      </c>
      <c r="T93" s="678">
        <f>R93*S93*T$7</f>
        <v>0</v>
      </c>
      <c r="U93" s="867"/>
      <c r="V93" s="862">
        <f t="shared" si="18"/>
        <v>0</v>
      </c>
      <c r="W93" s="678">
        <f>U93*V93*W$7</f>
        <v>0</v>
      </c>
      <c r="X93" s="48"/>
      <c r="Y93" s="862">
        <f t="shared" si="19"/>
        <v>0</v>
      </c>
      <c r="Z93" s="678">
        <f>X93*Y93*Z$7</f>
        <v>0</v>
      </c>
      <c r="AA93" s="48"/>
      <c r="AB93" s="862">
        <f t="shared" si="20"/>
        <v>0</v>
      </c>
      <c r="AC93" s="678">
        <f>AA93*AB93*AC$7</f>
        <v>0</v>
      </c>
      <c r="AD93" s="48"/>
      <c r="AE93" s="862">
        <f t="shared" si="21"/>
        <v>0</v>
      </c>
      <c r="AF93" s="678">
        <f>AD93*AE93*AF$7</f>
        <v>0</v>
      </c>
      <c r="AG93" s="48"/>
      <c r="AH93" s="862">
        <f t="shared" si="22"/>
        <v>0</v>
      </c>
      <c r="AI93" s="678">
        <f>AG93*AH93*AI$7</f>
        <v>0</v>
      </c>
      <c r="AJ93" s="48"/>
      <c r="AK93" s="862">
        <f t="shared" si="23"/>
        <v>0</v>
      </c>
      <c r="AL93" s="678">
        <f>AJ93*AK93*AL$7</f>
        <v>0</v>
      </c>
      <c r="AM93" s="48"/>
      <c r="AN93" s="862">
        <f t="shared" si="24"/>
        <v>0</v>
      </c>
      <c r="AO93" s="678">
        <f>AM93*AN93*AO$7</f>
        <v>0</v>
      </c>
      <c r="AP93" s="48"/>
      <c r="AQ93" s="862">
        <f t="shared" si="25"/>
        <v>0</v>
      </c>
      <c r="AR93" s="678">
        <f>AP93*AQ93*AR$7</f>
        <v>0</v>
      </c>
      <c r="AU93" s="33">
        <f t="shared" si="26"/>
        <v>0</v>
      </c>
    </row>
    <row r="94" spans="1:47" s="42" customFormat="1" x14ac:dyDescent="0.2">
      <c r="A94" s="41" t="s">
        <v>158</v>
      </c>
      <c r="B94" s="759"/>
      <c r="C94" s="52"/>
      <c r="D94" s="52"/>
      <c r="E94" s="760"/>
      <c r="F94" s="761"/>
      <c r="G94" s="761"/>
      <c r="H94" s="748"/>
      <c r="I94" s="979"/>
      <c r="J94" s="862">
        <f t="shared" si="13"/>
        <v>0</v>
      </c>
      <c r="K94" s="678">
        <v>75000</v>
      </c>
      <c r="L94" s="48"/>
      <c r="M94" s="862">
        <f t="shared" si="15"/>
        <v>0</v>
      </c>
      <c r="N94" s="678">
        <v>75000</v>
      </c>
      <c r="O94" s="862"/>
      <c r="P94" s="862">
        <f t="shared" si="16"/>
        <v>0</v>
      </c>
      <c r="Q94" s="678">
        <v>50000</v>
      </c>
      <c r="R94" s="862"/>
      <c r="S94" s="862">
        <f t="shared" si="17"/>
        <v>0</v>
      </c>
      <c r="T94" s="678">
        <v>100000</v>
      </c>
      <c r="U94" s="867"/>
      <c r="V94" s="862">
        <f t="shared" si="18"/>
        <v>0</v>
      </c>
      <c r="W94" s="678">
        <v>100000</v>
      </c>
      <c r="X94" s="48"/>
      <c r="Y94" s="862">
        <f t="shared" si="19"/>
        <v>0</v>
      </c>
      <c r="Z94" s="678">
        <v>100000</v>
      </c>
      <c r="AA94" s="48"/>
      <c r="AB94" s="862">
        <f t="shared" si="20"/>
        <v>0</v>
      </c>
      <c r="AC94" s="678">
        <v>100000</v>
      </c>
      <c r="AD94" s="48"/>
      <c r="AE94" s="862">
        <f t="shared" si="21"/>
        <v>0</v>
      </c>
      <c r="AF94" s="678">
        <v>100000</v>
      </c>
      <c r="AG94" s="48"/>
      <c r="AH94" s="862">
        <f t="shared" si="22"/>
        <v>0</v>
      </c>
      <c r="AI94" s="678">
        <v>75000</v>
      </c>
      <c r="AJ94" s="48"/>
      <c r="AK94" s="862">
        <f t="shared" si="23"/>
        <v>0</v>
      </c>
      <c r="AL94" s="678">
        <v>75000</v>
      </c>
      <c r="AM94" s="48"/>
      <c r="AN94" s="862">
        <f t="shared" si="24"/>
        <v>0</v>
      </c>
      <c r="AO94" s="678">
        <v>75000</v>
      </c>
      <c r="AP94" s="48"/>
      <c r="AQ94" s="862">
        <f t="shared" si="25"/>
        <v>0</v>
      </c>
      <c r="AR94" s="678">
        <v>75000</v>
      </c>
      <c r="AU94" s="33">
        <f t="shared" si="26"/>
        <v>1000000</v>
      </c>
    </row>
    <row r="95" spans="1:47" s="29" customFormat="1" x14ac:dyDescent="0.2">
      <c r="A95" s="41" t="s">
        <v>159</v>
      </c>
      <c r="B95" s="605"/>
      <c r="C95" s="762"/>
      <c r="D95" s="762"/>
      <c r="E95" s="763"/>
      <c r="F95" s="764"/>
      <c r="G95" s="764"/>
      <c r="H95" s="748"/>
      <c r="I95" s="979"/>
      <c r="J95" s="862">
        <f t="shared" si="13"/>
        <v>0</v>
      </c>
      <c r="K95" s="678">
        <f t="shared" si="14"/>
        <v>0</v>
      </c>
      <c r="L95" s="48"/>
      <c r="M95" s="862">
        <f t="shared" si="15"/>
        <v>0</v>
      </c>
      <c r="N95" s="678">
        <f>L95*M95*N$7</f>
        <v>0</v>
      </c>
      <c r="O95" s="862"/>
      <c r="P95" s="862">
        <f t="shared" si="16"/>
        <v>0</v>
      </c>
      <c r="Q95" s="678">
        <f>O95*P95*Q$7</f>
        <v>0</v>
      </c>
      <c r="R95" s="862"/>
      <c r="S95" s="862">
        <f t="shared" si="17"/>
        <v>0</v>
      </c>
      <c r="T95" s="678">
        <f>R95*S95*T$7</f>
        <v>0</v>
      </c>
      <c r="U95" s="867"/>
      <c r="V95" s="862">
        <f t="shared" si="18"/>
        <v>0</v>
      </c>
      <c r="W95" s="678">
        <f>U95*V95*W$7</f>
        <v>0</v>
      </c>
      <c r="X95" s="48"/>
      <c r="Y95" s="862">
        <f t="shared" si="19"/>
        <v>0</v>
      </c>
      <c r="Z95" s="678">
        <f>X95*Y95*Z$7</f>
        <v>0</v>
      </c>
      <c r="AA95" s="48"/>
      <c r="AB95" s="862">
        <f t="shared" si="20"/>
        <v>0</v>
      </c>
      <c r="AC95" s="678">
        <f>AA95*AB95*AC$7</f>
        <v>0</v>
      </c>
      <c r="AD95" s="48"/>
      <c r="AE95" s="862">
        <f t="shared" si="21"/>
        <v>0</v>
      </c>
      <c r="AF95" s="678">
        <f>AD95*AE95*AF$7</f>
        <v>0</v>
      </c>
      <c r="AG95" s="48"/>
      <c r="AH95" s="862">
        <f t="shared" si="22"/>
        <v>0</v>
      </c>
      <c r="AI95" s="678">
        <f>AG95*AH95*AI$7</f>
        <v>0</v>
      </c>
      <c r="AJ95" s="48"/>
      <c r="AK95" s="862">
        <f t="shared" si="23"/>
        <v>0</v>
      </c>
      <c r="AL95" s="678">
        <f>AJ95*AK95*AL$7</f>
        <v>0</v>
      </c>
      <c r="AM95" s="48"/>
      <c r="AN95" s="862">
        <f t="shared" si="24"/>
        <v>0</v>
      </c>
      <c r="AO95" s="678">
        <f>AM95*AN95*AO$7</f>
        <v>0</v>
      </c>
      <c r="AP95" s="48"/>
      <c r="AQ95" s="862">
        <f t="shared" si="25"/>
        <v>0</v>
      </c>
      <c r="AR95" s="678">
        <f>AP95*AQ95*AR$7</f>
        <v>0</v>
      </c>
      <c r="AU95" s="33">
        <f t="shared" si="26"/>
        <v>0</v>
      </c>
    </row>
    <row r="96" spans="1:47" s="29" customFormat="1" x14ac:dyDescent="0.2">
      <c r="A96" s="117" t="s">
        <v>92</v>
      </c>
      <c r="B96" s="605"/>
      <c r="C96" s="762"/>
      <c r="D96" s="762"/>
      <c r="E96" s="763"/>
      <c r="F96" s="764"/>
      <c r="G96" s="764"/>
      <c r="H96" s="764"/>
      <c r="I96" s="980"/>
      <c r="J96" s="862">
        <f t="shared" si="13"/>
        <v>0</v>
      </c>
      <c r="K96" s="727">
        <f>SUM(K91:K95)</f>
        <v>75000</v>
      </c>
      <c r="L96" s="112"/>
      <c r="M96" s="862">
        <f t="shared" si="15"/>
        <v>0</v>
      </c>
      <c r="N96" s="727">
        <f>SUM(N91:N95)</f>
        <v>75000</v>
      </c>
      <c r="O96" s="864"/>
      <c r="P96" s="862">
        <f t="shared" si="16"/>
        <v>0</v>
      </c>
      <c r="Q96" s="727">
        <f>SUM(Q91:Q95)</f>
        <v>50000</v>
      </c>
      <c r="R96" s="864"/>
      <c r="S96" s="862">
        <f t="shared" si="17"/>
        <v>0</v>
      </c>
      <c r="T96" s="727">
        <f>SUM(T91:T95)</f>
        <v>100000</v>
      </c>
      <c r="U96" s="869"/>
      <c r="V96" s="862">
        <f t="shared" si="18"/>
        <v>0</v>
      </c>
      <c r="W96" s="727">
        <f>SUM(W91:W95)</f>
        <v>100000</v>
      </c>
      <c r="X96" s="112"/>
      <c r="Y96" s="862">
        <f t="shared" si="19"/>
        <v>0</v>
      </c>
      <c r="Z96" s="727">
        <f>SUM(Z91:Z95)</f>
        <v>100000</v>
      </c>
      <c r="AA96" s="112"/>
      <c r="AB96" s="862">
        <f t="shared" si="20"/>
        <v>0</v>
      </c>
      <c r="AC96" s="727">
        <f>SUM(AC91:AC95)</f>
        <v>100000</v>
      </c>
      <c r="AD96" s="112"/>
      <c r="AE96" s="862">
        <f t="shared" si="21"/>
        <v>0</v>
      </c>
      <c r="AF96" s="727">
        <f>SUM(AF91:AF95)</f>
        <v>100000</v>
      </c>
      <c r="AG96" s="112"/>
      <c r="AH96" s="862">
        <f t="shared" si="22"/>
        <v>0</v>
      </c>
      <c r="AI96" s="727">
        <f>SUM(AI91:AI95)</f>
        <v>75000</v>
      </c>
      <c r="AJ96" s="112"/>
      <c r="AK96" s="862">
        <f t="shared" si="23"/>
        <v>0</v>
      </c>
      <c r="AL96" s="727">
        <f>SUM(AL91:AL95)</f>
        <v>75000</v>
      </c>
      <c r="AM96" s="112"/>
      <c r="AN96" s="862">
        <f t="shared" si="24"/>
        <v>0</v>
      </c>
      <c r="AO96" s="727">
        <f>SUM(AO91:AO95)</f>
        <v>75000</v>
      </c>
      <c r="AP96" s="112"/>
      <c r="AQ96" s="862">
        <f t="shared" si="25"/>
        <v>0</v>
      </c>
      <c r="AR96" s="727">
        <f>SUM(AR91:AR95)</f>
        <v>75000</v>
      </c>
      <c r="AU96" s="33"/>
    </row>
    <row r="97" spans="1:47" x14ac:dyDescent="0.2">
      <c r="A97" s="758"/>
      <c r="B97" s="478"/>
      <c r="C97" s="478"/>
      <c r="D97" s="478"/>
      <c r="E97" s="756"/>
      <c r="F97" s="757"/>
      <c r="G97" s="757"/>
      <c r="H97" s="757"/>
      <c r="I97" s="993"/>
      <c r="J97" s="48"/>
      <c r="K97" s="674"/>
      <c r="N97" s="390"/>
      <c r="Q97" s="390"/>
      <c r="U97" s="692"/>
      <c r="W97" s="390"/>
      <c r="Z97" s="390"/>
      <c r="AC97" s="390"/>
      <c r="AF97" s="390"/>
      <c r="AG97" s="48"/>
      <c r="AH97" s="48"/>
      <c r="AI97" s="390"/>
      <c r="AJ97" s="48"/>
      <c r="AK97" s="48"/>
      <c r="AL97" s="390"/>
      <c r="AO97" s="390"/>
      <c r="AP97" s="48"/>
      <c r="AQ97" s="48"/>
      <c r="AR97" s="390"/>
      <c r="AU97" s="811"/>
    </row>
    <row r="98" spans="1:47" x14ac:dyDescent="0.2">
      <c r="AU98" s="33">
        <f>SUM(AU78:AU96)</f>
        <v>3185329</v>
      </c>
    </row>
    <row r="100" spans="1:47" ht="13.5" thickBot="1" x14ac:dyDescent="0.25">
      <c r="AQ100" t="s">
        <v>785</v>
      </c>
      <c r="AU100" s="1072">
        <f>AU98+AU74</f>
        <v>4840203</v>
      </c>
    </row>
    <row r="101" spans="1:47" ht="13.5" thickTop="1" x14ac:dyDescent="0.2"/>
  </sheetData>
  <mergeCells count="18">
    <mergeCell ref="R8:T8"/>
    <mergeCell ref="U8:W8"/>
    <mergeCell ref="X8:Z8"/>
    <mergeCell ref="AA8:AC8"/>
    <mergeCell ref="E2:F2"/>
    <mergeCell ref="I8:K8"/>
    <mergeCell ref="L8:N8"/>
    <mergeCell ref="O8:Q8"/>
    <mergeCell ref="G63:H63"/>
    <mergeCell ref="G64:H64"/>
    <mergeCell ref="G69:H69"/>
    <mergeCell ref="G70:H70"/>
    <mergeCell ref="G57:H57"/>
    <mergeCell ref="AP8:AR8"/>
    <mergeCell ref="AD8:AF8"/>
    <mergeCell ref="AG8:AI8"/>
    <mergeCell ref="AJ8:AL8"/>
    <mergeCell ref="AM8:AO8"/>
  </mergeCells>
  <phoneticPr fontId="10" type="noConversion"/>
  <pageMargins left="0" right="0" top="0" bottom="0" header="0" footer="0"/>
  <pageSetup paperSize="5" scale="49" fitToWidth="2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80" workbookViewId="0">
      <selection activeCell="A38" sqref="A38"/>
    </sheetView>
  </sheetViews>
  <sheetFormatPr defaultRowHeight="12.75" x14ac:dyDescent="0.2"/>
  <cols>
    <col min="1" max="1" width="11.7109375" customWidth="1"/>
    <col min="2" max="2" width="9.7109375" customWidth="1"/>
    <col min="3" max="3" width="2.7109375" customWidth="1"/>
    <col min="4" max="4" width="12.28515625" customWidth="1"/>
    <col min="5" max="15" width="11.28515625" customWidth="1"/>
    <col min="16" max="16" width="12.28515625" customWidth="1"/>
  </cols>
  <sheetData>
    <row r="1" spans="1:17" x14ac:dyDescent="0.2">
      <c r="A1" s="3" t="s">
        <v>769</v>
      </c>
      <c r="B1" s="42"/>
      <c r="C1" s="42"/>
      <c r="D1" s="3" t="s">
        <v>57</v>
      </c>
      <c r="E1" s="3" t="s">
        <v>58</v>
      </c>
      <c r="F1" s="3" t="s">
        <v>59</v>
      </c>
      <c r="G1" s="3" t="s">
        <v>60</v>
      </c>
      <c r="H1" s="3" t="s">
        <v>1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</row>
    <row r="2" spans="1:17" x14ac:dyDescent="0.2">
      <c r="A2" s="3" t="s">
        <v>25</v>
      </c>
      <c r="B2" s="1045" t="s">
        <v>40</v>
      </c>
      <c r="C2" s="1045"/>
      <c r="D2" s="3">
        <v>31</v>
      </c>
      <c r="E2" s="3">
        <v>28</v>
      </c>
      <c r="F2" s="3">
        <v>31</v>
      </c>
      <c r="G2" s="3">
        <v>30</v>
      </c>
      <c r="H2" s="3">
        <v>31</v>
      </c>
      <c r="I2" s="3">
        <v>30</v>
      </c>
      <c r="J2" s="3">
        <v>31</v>
      </c>
      <c r="K2" s="3">
        <v>31</v>
      </c>
      <c r="L2" s="3">
        <v>30</v>
      </c>
      <c r="M2" s="3">
        <v>31</v>
      </c>
      <c r="N2" s="3">
        <v>30</v>
      </c>
      <c r="O2" s="3">
        <v>31</v>
      </c>
      <c r="P2" s="35" t="s">
        <v>2</v>
      </c>
    </row>
    <row r="4" spans="1:17" x14ac:dyDescent="0.2">
      <c r="A4" s="1046">
        <v>5.05</v>
      </c>
      <c r="B4" s="358">
        <v>5000</v>
      </c>
      <c r="D4" s="1047">
        <f>A4*B4*D2</f>
        <v>782750</v>
      </c>
      <c r="E4" s="1047">
        <f>A4*B4*E2</f>
        <v>707000</v>
      </c>
      <c r="F4" s="1047">
        <f>A4*B4*F2</f>
        <v>782750</v>
      </c>
      <c r="G4" s="1047">
        <f>A4*B4*G2</f>
        <v>757500</v>
      </c>
      <c r="H4" s="1047">
        <f>A4*B4*H2</f>
        <v>782750</v>
      </c>
      <c r="I4" s="1047">
        <f>A4*B4*I2</f>
        <v>757500</v>
      </c>
      <c r="J4" s="1047">
        <f>A4*B4*J2</f>
        <v>782750</v>
      </c>
      <c r="K4" s="1047">
        <f>A4*B4*K2</f>
        <v>782750</v>
      </c>
      <c r="L4" s="1047">
        <f>A4*B4*L2</f>
        <v>757500</v>
      </c>
      <c r="M4" s="1047">
        <f>A4*B4*M2</f>
        <v>782750</v>
      </c>
      <c r="N4" s="1047">
        <f>A4*B4*N2</f>
        <v>757500</v>
      </c>
      <c r="O4" s="1047">
        <f>A4*B4*O2</f>
        <v>782750</v>
      </c>
      <c r="P4" s="1047">
        <f>SUM(D4:O4)</f>
        <v>9216250</v>
      </c>
    </row>
    <row r="5" spans="1:17" x14ac:dyDescent="0.2">
      <c r="A5" s="1046">
        <v>3.46</v>
      </c>
      <c r="B5" s="358">
        <v>5000</v>
      </c>
      <c r="D5" s="1047">
        <f>A5*B5*D2</f>
        <v>536300</v>
      </c>
      <c r="E5" s="1047">
        <f>A5*B5*E2</f>
        <v>484400</v>
      </c>
      <c r="F5" s="1047">
        <f>A5*B5*F2</f>
        <v>536300</v>
      </c>
      <c r="G5" s="1047">
        <f>A5*B5*G2</f>
        <v>519000</v>
      </c>
      <c r="H5" s="1047">
        <f>A5*B5*H2</f>
        <v>536300</v>
      </c>
      <c r="I5" s="1047">
        <f>A5*B5*I2</f>
        <v>519000</v>
      </c>
      <c r="J5" s="1047">
        <f>A5*B5*J2</f>
        <v>536300</v>
      </c>
      <c r="K5" s="1047">
        <f>A5*B5*K2</f>
        <v>536300</v>
      </c>
      <c r="L5" s="1047">
        <f>A5*B5*L2</f>
        <v>519000</v>
      </c>
      <c r="M5" s="1047">
        <f>A5*B5*M2</f>
        <v>536300</v>
      </c>
      <c r="N5" s="1047">
        <f>A5*B5*N2</f>
        <v>519000</v>
      </c>
      <c r="O5" s="1047">
        <f>A5*B5*O2</f>
        <v>536300</v>
      </c>
      <c r="P5" s="1047">
        <f>SUM(D5:O5)</f>
        <v>6314500</v>
      </c>
    </row>
    <row r="6" spans="1:17" x14ac:dyDescent="0.2">
      <c r="A6" s="1048">
        <v>3.3624999999999998</v>
      </c>
      <c r="B6" s="1049">
        <v>5000</v>
      </c>
      <c r="D6" s="1041">
        <f>A6*B6*D2</f>
        <v>521187.5</v>
      </c>
      <c r="E6" s="1041">
        <f>A6*B6*E2</f>
        <v>470750</v>
      </c>
      <c r="F6" s="1041">
        <f>A6*B6*F2</f>
        <v>521187.5</v>
      </c>
      <c r="G6" s="1041">
        <f>A6*B6*G2</f>
        <v>504375</v>
      </c>
      <c r="H6" s="1041">
        <f>A6*B6*H2</f>
        <v>521187.5</v>
      </c>
      <c r="I6" s="1041">
        <f>A6*B6*I2</f>
        <v>504375</v>
      </c>
      <c r="J6" s="1041">
        <f>A6*B6*J2</f>
        <v>521187.5</v>
      </c>
      <c r="K6" s="1041">
        <f>A6*B6*K2</f>
        <v>521187.5</v>
      </c>
      <c r="L6" s="1041">
        <f>A6*B6*L2</f>
        <v>504375</v>
      </c>
      <c r="M6" s="1041">
        <f>A6*B6*M2</f>
        <v>521187.5</v>
      </c>
      <c r="N6" s="1041">
        <f>A6*B6*N2</f>
        <v>504375</v>
      </c>
      <c r="O6" s="1041">
        <f>A6*B6*O2</f>
        <v>521187.5</v>
      </c>
      <c r="P6" s="1041">
        <f>SUM(D6:O6)</f>
        <v>6136562.5</v>
      </c>
    </row>
    <row r="7" spans="1:17" x14ac:dyDescent="0.2">
      <c r="B7" s="358"/>
      <c r="P7" s="1047"/>
    </row>
    <row r="8" spans="1:17" x14ac:dyDescent="0.2">
      <c r="A8" s="1042">
        <f>AVERAGE(A4:A6)</f>
        <v>3.9574999999999996</v>
      </c>
      <c r="B8" s="358">
        <f>SUM(B4:B6)</f>
        <v>15000</v>
      </c>
      <c r="D8" s="1047">
        <f>SUM(D4:D7)</f>
        <v>1840237.5</v>
      </c>
      <c r="E8" s="1047">
        <f t="shared" ref="E8:O8" si="0">SUM(E4:E7)</f>
        <v>1662150</v>
      </c>
      <c r="F8" s="1047">
        <f t="shared" si="0"/>
        <v>1840237.5</v>
      </c>
      <c r="G8" s="1047">
        <f t="shared" si="0"/>
        <v>1780875</v>
      </c>
      <c r="H8" s="1047">
        <f t="shared" si="0"/>
        <v>1840237.5</v>
      </c>
      <c r="I8" s="1047">
        <f t="shared" si="0"/>
        <v>1780875</v>
      </c>
      <c r="J8" s="1047">
        <f t="shared" si="0"/>
        <v>1840237.5</v>
      </c>
      <c r="K8" s="1047">
        <f t="shared" si="0"/>
        <v>1840237.5</v>
      </c>
      <c r="L8" s="1047">
        <f t="shared" si="0"/>
        <v>1780875</v>
      </c>
      <c r="M8" s="1047">
        <f t="shared" si="0"/>
        <v>1840237.5</v>
      </c>
      <c r="N8" s="1047">
        <f t="shared" si="0"/>
        <v>1780875</v>
      </c>
      <c r="O8" s="1047">
        <f t="shared" si="0"/>
        <v>1840237.5</v>
      </c>
      <c r="P8" s="1047">
        <f>SUM(D8:O8)</f>
        <v>21667312.5</v>
      </c>
    </row>
    <row r="9" spans="1:17" x14ac:dyDescent="0.2">
      <c r="B9" t="s">
        <v>26</v>
      </c>
    </row>
    <row r="10" spans="1:17" x14ac:dyDescent="0.2">
      <c r="A10" s="42" t="s">
        <v>770</v>
      </c>
      <c r="P10" s="1043">
        <f>P8</f>
        <v>21667312.5</v>
      </c>
    </row>
    <row r="11" spans="1:17" x14ac:dyDescent="0.2">
      <c r="A11" s="1044"/>
      <c r="B11" s="1044"/>
      <c r="C11" s="1044"/>
      <c r="D11" s="1044"/>
      <c r="E11" s="1044"/>
      <c r="F11" s="1044"/>
      <c r="G11" s="1044"/>
      <c r="H11" s="1044"/>
      <c r="I11" s="1044"/>
      <c r="J11" s="1044"/>
      <c r="K11" s="1044"/>
      <c r="L11" s="1044"/>
      <c r="M11" s="1044"/>
      <c r="N11" s="1044"/>
      <c r="O11" s="1044"/>
      <c r="P11" s="1044"/>
      <c r="Q11" s="11"/>
    </row>
    <row r="12" spans="1:17" x14ac:dyDescent="0.2">
      <c r="B12" s="3"/>
      <c r="C12" s="3"/>
      <c r="D12" s="1075" t="s">
        <v>789</v>
      </c>
      <c r="G12" s="1076" t="s">
        <v>790</v>
      </c>
      <c r="J12" s="792">
        <v>37172</v>
      </c>
      <c r="Q12" s="11"/>
    </row>
    <row r="13" spans="1:17" x14ac:dyDescent="0.2">
      <c r="B13" s="3"/>
      <c r="C13" s="3"/>
      <c r="D13" s="1045" t="s">
        <v>722</v>
      </c>
      <c r="G13" s="1045" t="s">
        <v>722</v>
      </c>
      <c r="J13" s="3" t="s">
        <v>793</v>
      </c>
      <c r="Q13" s="11"/>
    </row>
    <row r="14" spans="1:17" x14ac:dyDescent="0.2">
      <c r="B14" s="3" t="s">
        <v>40</v>
      </c>
      <c r="C14" s="3"/>
      <c r="D14" s="1045" t="s">
        <v>25</v>
      </c>
      <c r="G14" s="1045" t="s">
        <v>25</v>
      </c>
      <c r="J14" s="3" t="s">
        <v>25</v>
      </c>
    </row>
    <row r="15" spans="1:17" x14ac:dyDescent="0.2">
      <c r="A15" t="s">
        <v>57</v>
      </c>
      <c r="B15" s="358">
        <v>5000</v>
      </c>
      <c r="D15">
        <v>2.78</v>
      </c>
      <c r="E15" s="1050">
        <f>B15*D15*D2</f>
        <v>430899.99999999994</v>
      </c>
      <c r="G15">
        <v>2.63</v>
      </c>
      <c r="H15" s="1050">
        <f>B15*G15*D2</f>
        <v>407650</v>
      </c>
      <c r="J15">
        <v>2.62</v>
      </c>
      <c r="K15" s="1050">
        <f>B15*J15*D2</f>
        <v>406100</v>
      </c>
    </row>
    <row r="16" spans="1:17" x14ac:dyDescent="0.2">
      <c r="A16" t="s">
        <v>58</v>
      </c>
      <c r="B16" s="358">
        <v>5000</v>
      </c>
      <c r="D16">
        <v>2.78</v>
      </c>
      <c r="E16" s="1050">
        <f>B16*D16*E2</f>
        <v>389199.99999999994</v>
      </c>
      <c r="G16">
        <v>2.63</v>
      </c>
      <c r="H16" s="1050">
        <f>B16*G16*E2</f>
        <v>368200</v>
      </c>
      <c r="J16">
        <v>2.62</v>
      </c>
      <c r="K16" s="1050">
        <f>B16*J16*E2</f>
        <v>366800</v>
      </c>
    </row>
    <row r="17" spans="1:16" x14ac:dyDescent="0.2">
      <c r="A17" t="s">
        <v>59</v>
      </c>
      <c r="B17" s="358">
        <v>5000</v>
      </c>
      <c r="D17" s="1046">
        <v>2.72</v>
      </c>
      <c r="E17" s="1050">
        <f>B17*D17*F2</f>
        <v>421600.00000000006</v>
      </c>
      <c r="G17" s="1046">
        <v>2.58</v>
      </c>
      <c r="H17" s="1050">
        <f>B17*G17*F2</f>
        <v>399900</v>
      </c>
      <c r="J17">
        <v>2.56</v>
      </c>
      <c r="K17" s="1050">
        <f>B17*J17*F2</f>
        <v>396800</v>
      </c>
    </row>
    <row r="18" spans="1:16" x14ac:dyDescent="0.2">
      <c r="A18" t="s">
        <v>60</v>
      </c>
      <c r="B18" s="358">
        <v>5000</v>
      </c>
      <c r="D18">
        <v>2.61</v>
      </c>
      <c r="E18" s="1050">
        <f>B18*D18*G2</f>
        <v>391500</v>
      </c>
      <c r="G18">
        <v>2.4900000000000002</v>
      </c>
      <c r="H18" s="1050">
        <f>B18*G18*G2</f>
        <v>373500.00000000006</v>
      </c>
      <c r="J18">
        <v>2.4500000000000002</v>
      </c>
      <c r="K18" s="1050">
        <f>B18*J18*G2</f>
        <v>367500</v>
      </c>
    </row>
    <row r="19" spans="1:16" x14ac:dyDescent="0.2">
      <c r="A19" t="s">
        <v>1</v>
      </c>
      <c r="B19" s="358">
        <v>5000</v>
      </c>
      <c r="D19" s="1046">
        <v>2.64</v>
      </c>
      <c r="E19" s="1050">
        <f>B19*D19*H2</f>
        <v>409200</v>
      </c>
      <c r="G19" s="1046">
        <v>2.52</v>
      </c>
      <c r="H19" s="1050">
        <f>B19*G19*H2</f>
        <v>390600</v>
      </c>
      <c r="J19">
        <v>2.48</v>
      </c>
      <c r="K19" s="1050">
        <f>B19*J19*H2</f>
        <v>384400</v>
      </c>
    </row>
    <row r="20" spans="1:16" x14ac:dyDescent="0.2">
      <c r="A20" t="s">
        <v>61</v>
      </c>
      <c r="B20" s="358">
        <v>5000</v>
      </c>
      <c r="D20">
        <v>2.69</v>
      </c>
      <c r="E20" s="1050">
        <f>B20*D20*I2</f>
        <v>403500</v>
      </c>
      <c r="G20">
        <v>2.57</v>
      </c>
      <c r="H20" s="1050">
        <f>B20*G20*I2</f>
        <v>385500</v>
      </c>
      <c r="J20">
        <v>2.5299999999999998</v>
      </c>
      <c r="K20" s="1050">
        <f>B20*J20*I2</f>
        <v>379499.99999999994</v>
      </c>
    </row>
    <row r="21" spans="1:16" x14ac:dyDescent="0.2">
      <c r="A21" t="s">
        <v>62</v>
      </c>
      <c r="B21" s="358">
        <v>5000</v>
      </c>
      <c r="D21">
        <v>2.73</v>
      </c>
      <c r="E21" s="1050">
        <f>B21*D21*J2</f>
        <v>423150</v>
      </c>
      <c r="G21">
        <v>2.62</v>
      </c>
      <c r="H21" s="1050">
        <f>B21*G21*J2</f>
        <v>406100</v>
      </c>
      <c r="J21">
        <v>2.57</v>
      </c>
      <c r="K21" s="1050">
        <f>B21*J21*J2</f>
        <v>398350</v>
      </c>
    </row>
    <row r="22" spans="1:16" x14ac:dyDescent="0.2">
      <c r="A22" t="s">
        <v>63</v>
      </c>
      <c r="B22" s="358">
        <v>5000</v>
      </c>
      <c r="D22">
        <v>2.77</v>
      </c>
      <c r="E22" s="1050">
        <f>B22*D22*K2</f>
        <v>429350</v>
      </c>
      <c r="G22">
        <v>2.65</v>
      </c>
      <c r="H22" s="1050">
        <f>B22*G22*K2</f>
        <v>410750</v>
      </c>
      <c r="J22">
        <v>2.61</v>
      </c>
      <c r="K22" s="1050">
        <f>B22*J22*K2</f>
        <v>404550</v>
      </c>
    </row>
    <row r="23" spans="1:16" x14ac:dyDescent="0.2">
      <c r="A23" t="s">
        <v>64</v>
      </c>
      <c r="B23" s="358">
        <v>5000</v>
      </c>
      <c r="D23">
        <v>2.77</v>
      </c>
      <c r="E23" s="1050">
        <f>B23*D23*L2</f>
        <v>415500</v>
      </c>
      <c r="G23">
        <v>2.65</v>
      </c>
      <c r="H23" s="1050">
        <f>B23*G23*L2</f>
        <v>397500</v>
      </c>
      <c r="J23">
        <v>2.61</v>
      </c>
      <c r="K23" s="1050">
        <f>B23*J23*L2</f>
        <v>391500</v>
      </c>
    </row>
    <row r="24" spans="1:16" x14ac:dyDescent="0.2">
      <c r="A24" t="s">
        <v>65</v>
      </c>
      <c r="B24" s="358">
        <v>5000</v>
      </c>
      <c r="D24">
        <v>2.78</v>
      </c>
      <c r="E24" s="1050">
        <f>B24*D24*M2</f>
        <v>430899.99999999994</v>
      </c>
      <c r="G24">
        <v>2.67</v>
      </c>
      <c r="H24" s="1050">
        <f>B24*G24*M2</f>
        <v>413850</v>
      </c>
      <c r="J24">
        <v>2.62</v>
      </c>
      <c r="K24" s="1050">
        <f>B24*J24*M2</f>
        <v>406100</v>
      </c>
    </row>
    <row r="25" spans="1:16" x14ac:dyDescent="0.2">
      <c r="A25" t="s">
        <v>66</v>
      </c>
      <c r="B25" s="358">
        <v>5000</v>
      </c>
      <c r="D25" s="1046">
        <v>3</v>
      </c>
      <c r="E25" s="1050">
        <f>B25*D25*N2</f>
        <v>450000</v>
      </c>
      <c r="G25" s="1046">
        <v>2.94</v>
      </c>
      <c r="H25" s="1050">
        <f>B25*G25*N2</f>
        <v>441000</v>
      </c>
      <c r="J25">
        <v>2.84</v>
      </c>
      <c r="K25" s="1050">
        <f>B25*J25*N2</f>
        <v>426000</v>
      </c>
    </row>
    <row r="26" spans="1:16" x14ac:dyDescent="0.2">
      <c r="A26" t="s">
        <v>67</v>
      </c>
      <c r="B26" s="358">
        <v>5000</v>
      </c>
      <c r="D26" s="811">
        <v>3.16</v>
      </c>
      <c r="E26" s="1051">
        <f>B26*D26*O2</f>
        <v>489800</v>
      </c>
      <c r="G26" s="811">
        <v>3.14</v>
      </c>
      <c r="H26" s="1051">
        <f>B26*G26*O2</f>
        <v>486700</v>
      </c>
      <c r="J26" s="1081">
        <v>3</v>
      </c>
      <c r="K26" s="1050">
        <f>B26*J26*O2</f>
        <v>465000</v>
      </c>
    </row>
    <row r="27" spans="1:16" x14ac:dyDescent="0.2">
      <c r="B27" s="358"/>
      <c r="E27" s="1050"/>
    </row>
    <row r="28" spans="1:16" x14ac:dyDescent="0.2">
      <c r="A28" t="s">
        <v>663</v>
      </c>
      <c r="B28" s="358">
        <f>SUM(B15:B26)</f>
        <v>60000</v>
      </c>
      <c r="D28" s="1052">
        <f>AVERAGE(D15:D26)</f>
        <v>2.7858333333333332</v>
      </c>
      <c r="G28" s="1052">
        <f>AVERAGE(G15:G26)</f>
        <v>2.6741666666666664</v>
      </c>
      <c r="J28" s="1052">
        <f>AVERAGE(J15:J26)</f>
        <v>2.625833333333333</v>
      </c>
    </row>
    <row r="30" spans="1:16" x14ac:dyDescent="0.2">
      <c r="A30" s="42" t="s">
        <v>771</v>
      </c>
      <c r="E30" s="1053">
        <f>SUM(E15:E26)</f>
        <v>5084600</v>
      </c>
      <c r="H30" s="1053">
        <f>SUM(H15:H29)</f>
        <v>4881250</v>
      </c>
      <c r="K30" s="1053">
        <f>SUM(K15:K29)</f>
        <v>4792600</v>
      </c>
    </row>
    <row r="31" spans="1:16" x14ac:dyDescent="0.2">
      <c r="A31" s="1044"/>
      <c r="B31" s="1044"/>
      <c r="C31" s="1044"/>
      <c r="D31" s="1044"/>
      <c r="E31" s="1044"/>
      <c r="F31" s="1044"/>
      <c r="G31" s="1044"/>
      <c r="H31" s="1044"/>
      <c r="I31" s="1044"/>
      <c r="J31" s="1044"/>
      <c r="K31" s="1044"/>
      <c r="L31" s="1044"/>
      <c r="M31" s="1044"/>
      <c r="N31" s="1044"/>
      <c r="O31" s="1044"/>
      <c r="P31" s="1044"/>
    </row>
    <row r="33" spans="1:16" x14ac:dyDescent="0.2">
      <c r="D33" s="3" t="s">
        <v>57</v>
      </c>
      <c r="E33" s="3" t="s">
        <v>58</v>
      </c>
      <c r="F33" s="3" t="s">
        <v>59</v>
      </c>
      <c r="G33" s="3" t="s">
        <v>60</v>
      </c>
      <c r="H33" s="3" t="s">
        <v>1</v>
      </c>
      <c r="I33" s="3" t="s">
        <v>61</v>
      </c>
      <c r="J33" s="3" t="s">
        <v>62</v>
      </c>
      <c r="K33" s="3" t="s">
        <v>63</v>
      </c>
      <c r="L33" s="3" t="s">
        <v>64</v>
      </c>
      <c r="M33" s="3" t="s">
        <v>65</v>
      </c>
      <c r="N33" s="3" t="s">
        <v>66</v>
      </c>
      <c r="O33" s="3" t="s">
        <v>67</v>
      </c>
      <c r="P33" s="35" t="s">
        <v>2</v>
      </c>
    </row>
    <row r="34" spans="1:16" x14ac:dyDescent="0.2">
      <c r="A34" t="s">
        <v>791</v>
      </c>
      <c r="D34" s="1047">
        <f>2938000-(D8+E15)</f>
        <v>666862.5</v>
      </c>
      <c r="E34" s="1047">
        <f>2619000-(E8+E16)</f>
        <v>567650</v>
      </c>
      <c r="F34" s="1047">
        <f>2795000-(F8+E17)</f>
        <v>533162.5</v>
      </c>
      <c r="G34" s="1047">
        <f>2516000-(G8+E18)</f>
        <v>343625</v>
      </c>
      <c r="H34" s="1047">
        <f>2593000-(H8+E19)</f>
        <v>343562.5</v>
      </c>
      <c r="I34" s="1047">
        <f>2442000-(I8+E20)</f>
        <v>257625</v>
      </c>
      <c r="J34" s="1047">
        <f>2786000-(J8+E21)</f>
        <v>522612.5</v>
      </c>
      <c r="K34" s="1047">
        <f>2633000-(K8+E22)</f>
        <v>363412.5</v>
      </c>
      <c r="L34" s="1047">
        <f>2701000-(L8+E23)</f>
        <v>504625</v>
      </c>
      <c r="M34" s="1047">
        <f>2826000-(M8+E24)</f>
        <v>554862.5</v>
      </c>
      <c r="N34" s="1047">
        <f>2513000-(N8+E25)</f>
        <v>282125</v>
      </c>
      <c r="O34" s="1047">
        <f>2422000-(O8+E26)</f>
        <v>91962.5</v>
      </c>
      <c r="P34" s="1043">
        <f>SUM(D34:O34)</f>
        <v>5032087.5</v>
      </c>
    </row>
    <row r="35" spans="1:16" x14ac:dyDescent="0.2">
      <c r="A35" t="s">
        <v>787</v>
      </c>
      <c r="D35" s="1047">
        <f>2938000-(D8+H15)</f>
        <v>690112.5</v>
      </c>
      <c r="E35" s="1047">
        <f>2619000-(E8+H16)</f>
        <v>588650</v>
      </c>
      <c r="F35" s="1047">
        <f>2795000-(F8+H17)</f>
        <v>554862.5</v>
      </c>
      <c r="G35" s="1047">
        <f>2516000-(G8+H18)</f>
        <v>361625</v>
      </c>
      <c r="H35" s="1047">
        <f>2593000-(H8+H19)</f>
        <v>362162.5</v>
      </c>
      <c r="I35" s="1047">
        <f>2442000-(I8+H20)</f>
        <v>275625</v>
      </c>
      <c r="J35" s="1047">
        <f>2786000-(J8+H21)</f>
        <v>539662.5</v>
      </c>
      <c r="K35" s="1047">
        <f>2633000-(K8+H22)</f>
        <v>382012.5</v>
      </c>
      <c r="L35" s="1047">
        <f>2701000-(L8+H23)</f>
        <v>522625</v>
      </c>
      <c r="M35" s="1047">
        <f>2826000-(M8+H24)</f>
        <v>571912.5</v>
      </c>
      <c r="N35" s="1047">
        <f>2513000-(N8+H25)</f>
        <v>291125</v>
      </c>
      <c r="O35" s="1047">
        <f>2422000-(O8+H26)</f>
        <v>95062.5</v>
      </c>
      <c r="P35" s="1043">
        <f>SUM(D35:O35)</f>
        <v>5235437.5</v>
      </c>
    </row>
    <row r="36" spans="1:16" x14ac:dyDescent="0.2">
      <c r="A36" t="s">
        <v>794</v>
      </c>
      <c r="D36" s="1047">
        <f>2875000-(D8+K15)</f>
        <v>628662.5</v>
      </c>
      <c r="E36" s="1047">
        <f>2563000-(E8+K16)</f>
        <v>534050</v>
      </c>
      <c r="F36" s="1047">
        <f>2739000-(F8+K17)</f>
        <v>501962.5</v>
      </c>
      <c r="G36" s="1047">
        <f>2471000-(G8+K18)</f>
        <v>322625</v>
      </c>
      <c r="H36" s="1047">
        <f>2547000-(H8+K19)</f>
        <v>322362.5</v>
      </c>
      <c r="I36" s="1047">
        <f>2403000-(I8+K20)</f>
        <v>242625</v>
      </c>
      <c r="J36" s="1047">
        <f>2731000-(J8+K21)</f>
        <v>492412.5</v>
      </c>
      <c r="K36" s="1047">
        <f>2585000-(K8+K22)</f>
        <v>340212.5</v>
      </c>
      <c r="L36" s="1047">
        <f>2649000-(L8+K23)</f>
        <v>476625</v>
      </c>
      <c r="M36" s="1047">
        <f>2770000-(M8+K24)</f>
        <v>523662.5</v>
      </c>
      <c r="N36" s="1047">
        <f>2474000-(N8+K25)</f>
        <v>267125</v>
      </c>
      <c r="O36" s="1047">
        <f>2393000-(O8+K26)</f>
        <v>87762.5</v>
      </c>
      <c r="P36" s="1043">
        <f>SUM(D36:O36)</f>
        <v>4740087.5</v>
      </c>
    </row>
    <row r="37" spans="1:16" x14ac:dyDescent="0.2">
      <c r="D37" s="1047"/>
      <c r="E37" s="1047"/>
      <c r="F37" s="1047"/>
      <c r="G37" s="1047"/>
      <c r="H37" s="1047"/>
      <c r="I37" s="1047"/>
      <c r="J37" s="1047"/>
      <c r="K37" s="1047"/>
      <c r="L37" s="1047"/>
      <c r="M37" s="1047"/>
      <c r="N37" s="1047"/>
      <c r="O37" s="1047"/>
      <c r="P37" s="1043"/>
    </row>
    <row r="38" spans="1:16" x14ac:dyDescent="0.2">
      <c r="A38" t="s">
        <v>71</v>
      </c>
      <c r="D38" s="358">
        <f>D36/D2/2.63</f>
        <v>7710.8119710535993</v>
      </c>
      <c r="E38" s="358">
        <f t="shared" ref="E38:O38" si="1">E36/E2/2.63</f>
        <v>7252.1727322107554</v>
      </c>
      <c r="F38" s="358">
        <f t="shared" si="1"/>
        <v>6156.782779345026</v>
      </c>
      <c r="G38" s="358">
        <f t="shared" si="1"/>
        <v>4089.0367553865653</v>
      </c>
      <c r="H38" s="358">
        <f t="shared" si="1"/>
        <v>3953.9126701827554</v>
      </c>
      <c r="I38" s="358">
        <f t="shared" si="1"/>
        <v>3075.0950570342206</v>
      </c>
      <c r="J38" s="358">
        <f t="shared" si="1"/>
        <v>6039.6479823377895</v>
      </c>
      <c r="K38" s="358">
        <f t="shared" si="1"/>
        <v>4172.8504844842391</v>
      </c>
      <c r="L38" s="358">
        <f t="shared" si="1"/>
        <v>6040.874524714829</v>
      </c>
      <c r="M38" s="358">
        <f t="shared" si="1"/>
        <v>6422.9424751625174</v>
      </c>
      <c r="N38" s="358">
        <f t="shared" si="1"/>
        <v>3385.6147021546262</v>
      </c>
      <c r="O38" s="358">
        <f t="shared" si="1"/>
        <v>1076.4442536489637</v>
      </c>
      <c r="P38" s="358">
        <f>SUM(D38:O38)</f>
        <v>59376.186387715898</v>
      </c>
    </row>
    <row r="39" spans="1:16" x14ac:dyDescent="0.2">
      <c r="A39" s="42" t="s">
        <v>348</v>
      </c>
      <c r="D39" s="1043">
        <f>P10+E30+P34</f>
        <v>31784000</v>
      </c>
      <c r="P39" s="360">
        <f>P38/12</f>
        <v>4948.0155323096578</v>
      </c>
    </row>
    <row r="40" spans="1:16" x14ac:dyDescent="0.2">
      <c r="D40" s="1043">
        <f>P10+H30+P35</f>
        <v>31784000</v>
      </c>
    </row>
    <row r="41" spans="1:16" x14ac:dyDescent="0.2">
      <c r="D41" s="1043">
        <f>P10+K30+P36</f>
        <v>31200000</v>
      </c>
    </row>
    <row r="42" spans="1:16" x14ac:dyDescent="0.2">
      <c r="A42" s="1077" t="s">
        <v>792</v>
      </c>
    </row>
    <row r="43" spans="1:16" x14ac:dyDescent="0.2">
      <c r="A43" t="str">
        <f ca="1">CELL("filename",A43:A43)</f>
        <v>C:\Users\Felienne\Enron\EnronSpreadsheets\[tracy_geaccone__40433__PLAN_FORECAST_DESIGN_MASTER_WITH_STRETCH_Rev_10_08.xls]Fuel Hedge-Stretch</v>
      </c>
    </row>
  </sheetData>
  <phoneticPr fontId="10" type="noConversion"/>
  <pageMargins left="0.25" right="0.25" top="1" bottom="0.25" header="0.25" footer="0.5"/>
  <pageSetup paperSize="5" orientation="landscape" r:id="rId1"/>
  <headerFooter alignWithMargins="0">
    <oddHeader>&amp;C&amp;"Arial,Bold"&amp;14 &amp;12 2002 PLAN FUEL
CONTRACTED/UNCONTRACTED/STRETCH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6"/>
  <sheetViews>
    <sheetView tabSelected="1" topLeftCell="A252" zoomScale="75" workbookViewId="0">
      <selection activeCell="N294" sqref="N294"/>
    </sheetView>
  </sheetViews>
  <sheetFormatPr defaultRowHeight="12.75" x14ac:dyDescent="0.2"/>
  <cols>
    <col min="1" max="1" width="44.7109375" style="354" customWidth="1"/>
    <col min="2" max="6" width="14" style="193" bestFit="1" customWidth="1"/>
    <col min="7" max="7" width="13.28515625" style="193" bestFit="1" customWidth="1"/>
    <col min="8" max="11" width="11" style="193" customWidth="1"/>
    <col min="12" max="12" width="12.28515625" style="193" customWidth="1"/>
    <col min="13" max="13" width="14" style="193" bestFit="1" customWidth="1"/>
    <col min="14" max="14" width="15.42578125" style="222" bestFit="1" customWidth="1"/>
    <col min="15" max="15" width="12.140625" style="222" customWidth="1"/>
    <col min="16" max="16" width="12.140625" style="193" customWidth="1"/>
    <col min="17" max="17" width="10.5703125" style="193" customWidth="1"/>
    <col min="18" max="18" width="11.140625" style="193" bestFit="1" customWidth="1"/>
    <col min="19" max="19" width="15.5703125" style="193" bestFit="1" customWidth="1"/>
    <col min="20" max="21" width="12.140625" style="222" customWidth="1"/>
    <col min="22" max="22" width="11.42578125" style="134" customWidth="1"/>
    <col min="23" max="23" width="12" style="193" customWidth="1"/>
    <col min="24" max="24" width="6.28515625" style="193" customWidth="1"/>
    <col min="25" max="25" width="4.85546875" style="193" customWidth="1"/>
    <col min="26" max="26" width="6.42578125" style="193" customWidth="1"/>
    <col min="27" max="27" width="4.85546875" style="193" customWidth="1"/>
    <col min="28" max="28" width="6.42578125" style="193" customWidth="1"/>
    <col min="29" max="16384" width="9.140625" style="193"/>
  </cols>
  <sheetData>
    <row r="1" spans="1:24" x14ac:dyDescent="0.2">
      <c r="A1" s="187" t="s">
        <v>329</v>
      </c>
      <c r="B1" s="188">
        <v>31</v>
      </c>
      <c r="C1" s="189">
        <v>28</v>
      </c>
      <c r="D1" s="190">
        <v>31</v>
      </c>
      <c r="E1" s="190">
        <v>30</v>
      </c>
      <c r="F1" s="190">
        <v>31</v>
      </c>
      <c r="G1" s="190">
        <v>30</v>
      </c>
      <c r="H1" s="190">
        <v>31</v>
      </c>
      <c r="I1" s="190">
        <v>31</v>
      </c>
      <c r="J1" s="190">
        <v>30</v>
      </c>
      <c r="K1" s="190">
        <v>31</v>
      </c>
      <c r="L1" s="190">
        <v>30</v>
      </c>
      <c r="M1" s="190">
        <v>31</v>
      </c>
      <c r="N1" s="191">
        <v>365</v>
      </c>
      <c r="O1" s="191"/>
      <c r="P1" s="192">
        <v>30.333333333333332</v>
      </c>
      <c r="Q1" s="163">
        <v>334.66666666666669</v>
      </c>
      <c r="R1" s="163">
        <v>365</v>
      </c>
      <c r="S1" s="192" t="e">
        <v>#REF!</v>
      </c>
      <c r="T1" s="191">
        <v>365</v>
      </c>
      <c r="U1" s="191">
        <v>365</v>
      </c>
    </row>
    <row r="2" spans="1:24" ht="0.75" customHeight="1" x14ac:dyDescent="0.2">
      <c r="A2" s="190"/>
      <c r="B2" s="194">
        <v>5</v>
      </c>
      <c r="C2" s="163">
        <v>2</v>
      </c>
      <c r="D2" s="163"/>
      <c r="E2" s="163"/>
      <c r="F2" s="163"/>
      <c r="G2" s="163"/>
      <c r="H2" s="163"/>
      <c r="I2" s="163"/>
      <c r="J2" s="163"/>
      <c r="K2" s="163"/>
      <c r="L2" s="163"/>
      <c r="M2" s="195"/>
      <c r="N2" s="191"/>
      <c r="O2" s="191"/>
      <c r="P2" s="163"/>
      <c r="Q2" s="163"/>
      <c r="R2" s="163"/>
      <c r="S2" s="163"/>
      <c r="T2" s="191"/>
      <c r="U2" s="191"/>
    </row>
    <row r="3" spans="1:24" s="199" customFormat="1" ht="18" x14ac:dyDescent="0.25">
      <c r="A3" s="196" t="s">
        <v>16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7"/>
      <c r="Q3" s="197"/>
      <c r="R3" s="197"/>
      <c r="S3" s="197"/>
      <c r="T3" s="198"/>
      <c r="U3" s="198"/>
      <c r="V3" s="134"/>
    </row>
    <row r="4" spans="1:24" s="199" customFormat="1" ht="18" x14ac:dyDescent="0.25">
      <c r="A4" s="196" t="s">
        <v>451</v>
      </c>
      <c r="B4" s="20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201"/>
      <c r="O4" s="201"/>
      <c r="P4" s="197"/>
      <c r="Q4" s="197"/>
      <c r="R4" s="197"/>
      <c r="S4" s="197"/>
      <c r="T4" s="201"/>
      <c r="U4" s="201"/>
      <c r="V4" s="134"/>
    </row>
    <row r="5" spans="1:24" s="199" customFormat="1" ht="18" x14ac:dyDescent="0.25">
      <c r="A5" s="196" t="s">
        <v>330</v>
      </c>
      <c r="B5" s="202"/>
      <c r="C5" s="197"/>
      <c r="D5" s="197"/>
      <c r="E5" s="197"/>
      <c r="F5" s="197"/>
      <c r="G5" s="197"/>
      <c r="H5" s="197"/>
      <c r="I5" s="197"/>
      <c r="J5" s="197"/>
      <c r="K5" s="197"/>
      <c r="L5" s="203"/>
      <c r="M5" s="197"/>
      <c r="N5" s="204"/>
      <c r="O5" s="204"/>
      <c r="P5" s="197"/>
      <c r="Q5" s="197"/>
      <c r="R5" s="197"/>
      <c r="S5" s="197"/>
      <c r="T5" s="204"/>
      <c r="U5" s="204"/>
      <c r="V5" s="134"/>
    </row>
    <row r="6" spans="1:24" s="199" customFormat="1" ht="18" x14ac:dyDescent="0.25">
      <c r="A6" s="196"/>
      <c r="B6" s="202"/>
      <c r="C6" s="197"/>
      <c r="D6" s="197"/>
      <c r="E6" s="197"/>
      <c r="F6" s="197"/>
      <c r="G6" s="197"/>
      <c r="H6" s="197"/>
      <c r="I6" s="197"/>
      <c r="J6" s="197"/>
      <c r="K6" s="197"/>
      <c r="L6" s="203"/>
      <c r="M6" s="197"/>
      <c r="N6" s="204"/>
      <c r="O6" s="204"/>
      <c r="P6" s="197"/>
      <c r="Q6" s="197"/>
      <c r="R6" s="197"/>
      <c r="S6" s="197"/>
      <c r="T6" s="204"/>
      <c r="U6" s="204"/>
      <c r="V6" s="134"/>
    </row>
    <row r="7" spans="1:24" x14ac:dyDescent="0.2">
      <c r="A7" s="205" t="s">
        <v>452</v>
      </c>
      <c r="B7" s="206"/>
      <c r="C7" s="207"/>
      <c r="D7" s="207"/>
      <c r="E7" s="207"/>
      <c r="F7" s="207"/>
      <c r="G7" s="207"/>
      <c r="H7" s="207"/>
      <c r="I7" s="207"/>
      <c r="J7"/>
      <c r="K7" s="207"/>
      <c r="L7" s="208"/>
      <c r="M7" s="207"/>
      <c r="N7"/>
      <c r="O7"/>
      <c r="P7" s="207"/>
      <c r="Q7" s="207"/>
      <c r="R7" s="207"/>
      <c r="S7" s="207"/>
      <c r="T7"/>
      <c r="U7"/>
    </row>
    <row r="8" spans="1:24" x14ac:dyDescent="0.2">
      <c r="A8" s="430">
        <f ca="1">NOW()</f>
        <v>41885.927887731479</v>
      </c>
      <c r="B8" s="206"/>
      <c r="C8" s="207"/>
      <c r="D8" s="207"/>
      <c r="E8" s="207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7"/>
      <c r="Q8" s="207"/>
      <c r="R8" s="207"/>
      <c r="S8" s="207"/>
      <c r="T8"/>
      <c r="U8"/>
    </row>
    <row r="9" spans="1:24" x14ac:dyDescent="0.2">
      <c r="A9" s="121"/>
      <c r="B9" s="209" t="s">
        <v>450</v>
      </c>
      <c r="C9" s="209" t="s">
        <v>450</v>
      </c>
      <c r="D9" s="209" t="s">
        <v>450</v>
      </c>
      <c r="E9" s="209" t="s">
        <v>450</v>
      </c>
      <c r="F9" s="209" t="s">
        <v>450</v>
      </c>
      <c r="G9" s="209" t="s">
        <v>450</v>
      </c>
      <c r="H9" s="209" t="s">
        <v>450</v>
      </c>
      <c r="I9" s="209" t="s">
        <v>450</v>
      </c>
      <c r="J9" s="209" t="s">
        <v>450</v>
      </c>
      <c r="K9" s="209" t="s">
        <v>450</v>
      </c>
      <c r="L9" s="209" t="s">
        <v>450</v>
      </c>
      <c r="M9" s="209" t="s">
        <v>450</v>
      </c>
      <c r="N9" s="122" t="s">
        <v>450</v>
      </c>
      <c r="O9" s="122" t="s">
        <v>331</v>
      </c>
      <c r="P9" s="122" t="s">
        <v>332</v>
      </c>
      <c r="Q9" s="122" t="s">
        <v>333</v>
      </c>
      <c r="R9" s="122" t="s">
        <v>334</v>
      </c>
      <c r="S9" s="210" t="s">
        <v>335</v>
      </c>
      <c r="T9" s="211"/>
      <c r="U9" s="211"/>
    </row>
    <row r="10" spans="1:24" x14ac:dyDescent="0.2">
      <c r="A10" s="123"/>
      <c r="B10" s="124" t="s">
        <v>336</v>
      </c>
      <c r="C10" s="124" t="s">
        <v>337</v>
      </c>
      <c r="D10" s="124" t="s">
        <v>338</v>
      </c>
      <c r="E10" s="124" t="s">
        <v>339</v>
      </c>
      <c r="F10" s="124" t="s">
        <v>340</v>
      </c>
      <c r="G10" s="124" t="s">
        <v>341</v>
      </c>
      <c r="H10" s="124" t="s">
        <v>342</v>
      </c>
      <c r="I10" s="124" t="s">
        <v>343</v>
      </c>
      <c r="J10" s="124" t="s">
        <v>344</v>
      </c>
      <c r="K10" s="124" t="s">
        <v>345</v>
      </c>
      <c r="L10" s="124" t="s">
        <v>346</v>
      </c>
      <c r="M10" s="124" t="s">
        <v>347</v>
      </c>
      <c r="N10" s="212" t="s">
        <v>348</v>
      </c>
      <c r="O10" s="213" t="s">
        <v>28</v>
      </c>
      <c r="P10" s="213" t="s">
        <v>28</v>
      </c>
      <c r="Q10" s="213" t="s">
        <v>28</v>
      </c>
      <c r="R10" s="213" t="s">
        <v>28</v>
      </c>
      <c r="S10" s="213" t="s">
        <v>28</v>
      </c>
      <c r="T10" s="214">
        <v>2002</v>
      </c>
      <c r="U10" s="214">
        <v>2003</v>
      </c>
    </row>
    <row r="11" spans="1:24" ht="15.75" x14ac:dyDescent="0.2">
      <c r="A11" s="215" t="s">
        <v>349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16"/>
      <c r="O11" s="216"/>
      <c r="P11" s="126"/>
      <c r="Q11" s="126"/>
      <c r="R11" s="126"/>
      <c r="S11" s="126"/>
      <c r="T11" s="216"/>
      <c r="U11" s="216"/>
    </row>
    <row r="12" spans="1:24" ht="15.75" x14ac:dyDescent="0.2">
      <c r="A12" s="125" t="s">
        <v>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16"/>
      <c r="O12" s="216"/>
      <c r="P12" s="126"/>
      <c r="Q12" s="126"/>
      <c r="R12" s="126"/>
      <c r="S12" s="126"/>
      <c r="T12" s="216"/>
      <c r="U12" s="216"/>
    </row>
    <row r="13" spans="1:24" x14ac:dyDescent="0.2">
      <c r="A13" s="128" t="s">
        <v>350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217"/>
      <c r="O13" s="217"/>
      <c r="P13" s="129"/>
      <c r="Q13" s="129"/>
      <c r="R13" s="129"/>
      <c r="S13" s="129"/>
      <c r="T13" s="217"/>
      <c r="U13" s="217"/>
    </row>
    <row r="14" spans="1:24" x14ac:dyDescent="0.2">
      <c r="A14" s="131" t="s">
        <v>20</v>
      </c>
      <c r="B14" s="218">
        <f>('Out Years Data Input'!C227/1000)+('Out Years Data Input'!C228/1000)</f>
        <v>266.3</v>
      </c>
      <c r="C14" s="218">
        <f>('Out Years Data Input'!F227/1000)+('Out Years Data Input'!F228/1000)</f>
        <v>266.3</v>
      </c>
      <c r="D14" s="218">
        <f>('Out Years Data Input'!I227/1000)+('Out Years Data Input'!I228/1000)</f>
        <v>246.3</v>
      </c>
      <c r="E14" s="218">
        <f>('Out Years Data Input'!L227/1000)+('Out Years Data Input'!L228/1000)</f>
        <v>246.3</v>
      </c>
      <c r="F14" s="218">
        <f>('Out Years Data Input'!O227/1000)+('Out Years Data Input'!O228/1000)</f>
        <v>246.3</v>
      </c>
      <c r="G14" s="218">
        <f>('Out Years Data Input'!R227/1000)+('Out Years Data Input'!R228/1000)</f>
        <v>246.3</v>
      </c>
      <c r="H14" s="218">
        <f>('Out Years Data Input'!U227/1000)+('Out Years Data Input'!U228/1000)</f>
        <v>246.3</v>
      </c>
      <c r="I14" s="218">
        <f>('Out Years Data Input'!X227/1000)+('Out Years Data Input'!X228/1000)</f>
        <v>246.3</v>
      </c>
      <c r="J14" s="218">
        <f>('Out Years Data Input'!AA227/1000)+('Out Years Data Input'!AA228/1000)</f>
        <v>246.3</v>
      </c>
      <c r="K14" s="218">
        <f>('Out Years Data Input'!AD227/1000)+('Out Years Data Input'!AD228/1000)</f>
        <v>246.3</v>
      </c>
      <c r="L14" s="218">
        <f>('Out Years Data Input'!AG227/1000)+('Out Years Data Input'!AG228/1000)</f>
        <v>246.3</v>
      </c>
      <c r="M14" s="218">
        <f>('Out Years Data Input'!AJ227/1000)+('Out Years Data Input'!AJ228/1000)</f>
        <v>246.3</v>
      </c>
      <c r="N14" s="134">
        <f>AVERAGE(B14:M14)</f>
        <v>249.63333333333335</v>
      </c>
      <c r="O14" s="219"/>
      <c r="P14" s="219"/>
      <c r="Q14" s="219"/>
      <c r="R14" s="219"/>
      <c r="S14" s="219"/>
      <c r="T14" s="134"/>
      <c r="U14" s="134"/>
      <c r="W14" s="168"/>
      <c r="X14" s="168"/>
    </row>
    <row r="15" spans="1:24" x14ac:dyDescent="0.2">
      <c r="A15" s="131" t="s">
        <v>351</v>
      </c>
      <c r="B15" s="218">
        <f>('Out Years Data Input'!C104/1000)+('Out Years Data Input'!C105/1000)</f>
        <v>428.74299999999999</v>
      </c>
      <c r="C15" s="218">
        <f>('Out Years Data Input'!F104/1000)+('Out Years Data Input'!F105/1000)</f>
        <v>439.39499999999998</v>
      </c>
      <c r="D15" s="218">
        <f>('Out Years Data Input'!I104/1000)+('Out Years Data Input'!I105/1000)</f>
        <v>394.08</v>
      </c>
      <c r="E15" s="218">
        <f>('Out Years Data Input'!L104/1000)+('Out Years Data Input'!L105/1000)</f>
        <v>374.37599999999998</v>
      </c>
      <c r="F15" s="218">
        <f>('Out Years Data Input'!O104/1000)+('Out Years Data Input'!O105/1000)</f>
        <v>359.59800000000001</v>
      </c>
      <c r="G15" s="218">
        <f>('Out Years Data Input'!R104/1000)+('Out Years Data Input'!R105/1000)</f>
        <v>369.45</v>
      </c>
      <c r="H15" s="218">
        <f>('Out Years Data Input'!U104/1000)+('Out Years Data Input'!U105/1000)</f>
        <v>366.98700000000002</v>
      </c>
      <c r="I15" s="218">
        <f>('Out Years Data Input'!X104/1000)+('Out Years Data Input'!X105/1000)</f>
        <v>394.08</v>
      </c>
      <c r="J15" s="218">
        <f>('Out Years Data Input'!AA104/1000)+('Out Years Data Input'!AA105/1000)</f>
        <v>389.154</v>
      </c>
      <c r="K15" s="218">
        <f>('Out Years Data Input'!AD104/1000)+('Out Years Data Input'!AD105/1000)</f>
        <v>369.45</v>
      </c>
      <c r="L15" s="218">
        <f>('Out Years Data Input'!AG104/1000)+('Out Years Data Input'!AG105/1000)</f>
        <v>275.85599999999999</v>
      </c>
      <c r="M15" s="218">
        <f>('Out Years Data Input'!AJ104/1000)+('Out Years Data Input'!AJ105/1000)</f>
        <v>307.875</v>
      </c>
      <c r="N15" s="134">
        <f>AVERAGE(B15:M15)</f>
        <v>372.4203333333333</v>
      </c>
      <c r="O15" s="219"/>
      <c r="P15" s="219"/>
      <c r="Q15" s="219"/>
      <c r="R15" s="219"/>
      <c r="S15" s="219"/>
      <c r="T15" s="134"/>
      <c r="U15" s="134"/>
      <c r="W15" s="168"/>
      <c r="X15" s="168"/>
    </row>
    <row r="16" spans="1:24" x14ac:dyDescent="0.2">
      <c r="A16" s="131" t="s">
        <v>352</v>
      </c>
      <c r="B16" s="218">
        <v>0</v>
      </c>
      <c r="C16" s="218">
        <v>0</v>
      </c>
      <c r="D16" s="218">
        <v>0</v>
      </c>
      <c r="E16" s="218">
        <v>0</v>
      </c>
      <c r="F16" s="218">
        <v>0</v>
      </c>
      <c r="G16" s="218">
        <v>0</v>
      </c>
      <c r="H16" s="218">
        <v>0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134">
        <f>AVERAGE(B16:M16)</f>
        <v>0</v>
      </c>
      <c r="O16" s="219"/>
      <c r="P16" s="219"/>
      <c r="Q16" s="219"/>
      <c r="R16" s="219"/>
      <c r="S16" s="219"/>
      <c r="T16" s="134"/>
      <c r="U16" s="134"/>
      <c r="W16" s="168"/>
      <c r="X16" s="168"/>
    </row>
    <row r="17" spans="1:24" x14ac:dyDescent="0.2">
      <c r="A17" s="133" t="s">
        <v>353</v>
      </c>
      <c r="B17" s="314">
        <f>('Out Years Data Input'!C128/1000)+('Out Years Data Input'!C129/1000)</f>
        <v>0</v>
      </c>
      <c r="C17" s="314">
        <f>('Out Years Data Input'!F128/1000)+('Out Years Data Input'!F129/1000)</f>
        <v>0</v>
      </c>
      <c r="D17" s="314">
        <f>('Out Years Data Input'!I128/1000)+('Out Years Data Input'!I129/1000)</f>
        <v>0</v>
      </c>
      <c r="E17" s="314">
        <f>('Out Years Data Input'!L128/1000)+('Out Years Data Input'!L129/1000)</f>
        <v>0</v>
      </c>
      <c r="F17" s="314">
        <f>('Out Years Data Input'!O128/1000)+('Out Years Data Input'!O129/1000)</f>
        <v>0</v>
      </c>
      <c r="G17" s="314">
        <f>('Out Years Data Input'!R128/1000)+('Out Years Data Input'!R129/1000)</f>
        <v>0</v>
      </c>
      <c r="H17" s="314">
        <f>('Out Years Data Input'!U128/1000)+('Out Years Data Input'!U129/1000)</f>
        <v>0</v>
      </c>
      <c r="I17" s="314">
        <f>('Out Years Data Input'!X128/1000)+('Out Years Data Input'!X129/1000)</f>
        <v>0</v>
      </c>
      <c r="J17" s="314">
        <f>('Out Years Data Input'!AA128/1000)+('Out Years Data Input'!AA129/1000)</f>
        <v>0</v>
      </c>
      <c r="K17" s="314">
        <f>('Out Years Data Input'!AD128/1000)+('Out Years Data Input'!AD129/1000)</f>
        <v>0</v>
      </c>
      <c r="L17" s="314">
        <f>('Out Years Data Input'!AG128/1000)+('Out Years Data Input'!AG129/1000)</f>
        <v>0</v>
      </c>
      <c r="M17" s="314">
        <f>('Out Years Data Input'!AJ128/1000)+('Out Years Data Input'!AJ129/1000)</f>
        <v>0</v>
      </c>
      <c r="N17" s="143">
        <f>AVERAGE(B17:M17)</f>
        <v>0</v>
      </c>
      <c r="O17" s="219"/>
      <c r="P17" s="219"/>
      <c r="Q17" s="219"/>
      <c r="R17" s="219"/>
      <c r="S17" s="219"/>
      <c r="T17" s="144"/>
      <c r="U17" s="144"/>
      <c r="W17" s="168"/>
      <c r="X17" s="168"/>
    </row>
    <row r="18" spans="1:24" s="222" customFormat="1" x14ac:dyDescent="0.2">
      <c r="A18" s="128" t="s">
        <v>232</v>
      </c>
      <c r="B18" s="134">
        <f>SUM(B15:B17)</f>
        <v>428.74299999999999</v>
      </c>
      <c r="C18" s="134">
        <f t="shared" ref="C18:M18" si="0">SUM(C15:C17)</f>
        <v>439.39499999999998</v>
      </c>
      <c r="D18" s="134">
        <f t="shared" si="0"/>
        <v>394.08</v>
      </c>
      <c r="E18" s="134">
        <f t="shared" si="0"/>
        <v>374.37599999999998</v>
      </c>
      <c r="F18" s="134">
        <f t="shared" si="0"/>
        <v>359.59800000000001</v>
      </c>
      <c r="G18" s="134">
        <f t="shared" si="0"/>
        <v>369.45</v>
      </c>
      <c r="H18" s="134">
        <f t="shared" si="0"/>
        <v>366.98700000000002</v>
      </c>
      <c r="I18" s="134">
        <f t="shared" si="0"/>
        <v>394.08</v>
      </c>
      <c r="J18" s="134">
        <f t="shared" si="0"/>
        <v>389.154</v>
      </c>
      <c r="K18" s="134">
        <f t="shared" si="0"/>
        <v>369.45</v>
      </c>
      <c r="L18" s="134">
        <f t="shared" si="0"/>
        <v>275.85599999999999</v>
      </c>
      <c r="M18" s="134">
        <f t="shared" si="0"/>
        <v>307.875</v>
      </c>
      <c r="N18" s="220">
        <f>AVERAGE(B18:M18)</f>
        <v>372.4203333333333</v>
      </c>
      <c r="O18" s="220"/>
      <c r="P18" s="220"/>
      <c r="Q18" s="220"/>
      <c r="R18" s="220"/>
      <c r="S18" s="221"/>
      <c r="T18" s="134"/>
      <c r="U18" s="134"/>
      <c r="V18" s="134"/>
      <c r="W18" s="168"/>
      <c r="X18" s="168"/>
    </row>
    <row r="19" spans="1:24" s="222" customFormat="1" x14ac:dyDescent="0.2">
      <c r="A19" s="128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17"/>
      <c r="Q19" s="217"/>
      <c r="R19" s="217"/>
      <c r="S19" s="217"/>
      <c r="T19" s="134"/>
      <c r="U19" s="134"/>
      <c r="V19" s="134"/>
      <c r="W19" s="168"/>
      <c r="X19" s="168"/>
    </row>
    <row r="20" spans="1:24" x14ac:dyDescent="0.2">
      <c r="A20" s="128" t="s">
        <v>354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4"/>
      <c r="O20" s="134"/>
      <c r="P20" s="129"/>
      <c r="Q20" s="129"/>
      <c r="R20" s="129"/>
      <c r="S20" s="129"/>
      <c r="T20" s="134"/>
      <c r="U20" s="134"/>
      <c r="W20" s="168"/>
      <c r="X20" s="168"/>
    </row>
    <row r="21" spans="1:24" x14ac:dyDescent="0.2">
      <c r="A21" s="131" t="s">
        <v>20</v>
      </c>
      <c r="B21" s="218">
        <f>'Out Years Data Input'!C224/1000</f>
        <v>550.5</v>
      </c>
      <c r="C21" s="218">
        <f>'Out Years Data Input'!F224/1000</f>
        <v>550.5</v>
      </c>
      <c r="D21" s="218">
        <f>'Out Years Data Input'!I224/1000</f>
        <v>550.5</v>
      </c>
      <c r="E21" s="218">
        <f>'Out Years Data Input'!L224/1000</f>
        <v>550.5</v>
      </c>
      <c r="F21" s="218">
        <f>'Out Years Data Input'!O224/1000</f>
        <v>550.5</v>
      </c>
      <c r="G21" s="218">
        <f>'Out Years Data Input'!R224/1000</f>
        <v>630.5</v>
      </c>
      <c r="H21" s="218">
        <f>'Out Years Data Input'!U224/1000</f>
        <v>670.5</v>
      </c>
      <c r="I21" s="218">
        <f>'Out Years Data Input'!X224/1000</f>
        <v>670.5</v>
      </c>
      <c r="J21" s="218">
        <f>'Out Years Data Input'!AA224/1000</f>
        <v>670.5</v>
      </c>
      <c r="K21" s="218">
        <f>'Out Years Data Input'!AD224/1000</f>
        <v>670.5</v>
      </c>
      <c r="L21" s="218">
        <f>'Out Years Data Input'!AG224/1000</f>
        <v>649</v>
      </c>
      <c r="M21" s="218">
        <f>'Out Years Data Input'!AJ224/1000</f>
        <v>649</v>
      </c>
      <c r="N21" s="134">
        <f t="shared" ref="N21:N26" si="1">AVERAGE(B21:M21)</f>
        <v>613.58333333333337</v>
      </c>
      <c r="O21" s="219"/>
      <c r="P21" s="219"/>
      <c r="Q21" s="219"/>
      <c r="R21" s="219"/>
      <c r="S21" s="219"/>
      <c r="T21" s="134"/>
      <c r="U21" s="134"/>
      <c r="W21" s="168"/>
      <c r="X21" s="168"/>
    </row>
    <row r="22" spans="1:24" x14ac:dyDescent="0.2">
      <c r="A22" s="131" t="s">
        <v>351</v>
      </c>
      <c r="B22" s="218">
        <f>'Out Years Data Input'!C101/1000</f>
        <v>357.82499999999999</v>
      </c>
      <c r="C22" s="218">
        <f>'Out Years Data Input'!F101/1000</f>
        <v>346.815</v>
      </c>
      <c r="D22" s="218">
        <f>'Out Years Data Input'!I101/1000</f>
        <v>330.3</v>
      </c>
      <c r="E22" s="218">
        <f>'Out Years Data Input'!L101/1000</f>
        <v>297.27</v>
      </c>
      <c r="F22" s="218">
        <f>'Out Years Data Input'!O101/1000</f>
        <v>297.27</v>
      </c>
      <c r="G22" s="218">
        <f>'Out Years Data Input'!R101/1000</f>
        <v>435.04500000000002</v>
      </c>
      <c r="H22" s="218">
        <f>'Out Years Data Input'!U101/1000</f>
        <v>469.35</v>
      </c>
      <c r="I22" s="218">
        <f>'Out Years Data Input'!X101/1000</f>
        <v>449.23500000000001</v>
      </c>
      <c r="J22" s="218">
        <f>'Out Years Data Input'!AA101/1000</f>
        <v>469.35</v>
      </c>
      <c r="K22" s="218">
        <f>'Out Years Data Input'!AD101/1000</f>
        <v>476.05500000000001</v>
      </c>
      <c r="L22" s="218">
        <f>'Out Years Data Input'!AG101/1000</f>
        <v>493.24</v>
      </c>
      <c r="M22" s="218">
        <f>'Out Years Data Input'!AJ101/1000</f>
        <v>454.3</v>
      </c>
      <c r="N22" s="134">
        <f t="shared" si="1"/>
        <v>406.33791666666667</v>
      </c>
      <c r="O22" s="219"/>
      <c r="P22" s="219"/>
      <c r="Q22" s="219"/>
      <c r="R22" s="219"/>
      <c r="S22" s="219"/>
      <c r="T22" s="134"/>
      <c r="U22" s="134"/>
      <c r="W22" s="168"/>
      <c r="X22" s="168"/>
    </row>
    <row r="23" spans="1:24" x14ac:dyDescent="0.2">
      <c r="A23" s="131" t="s">
        <v>352</v>
      </c>
      <c r="B23" s="218">
        <v>0</v>
      </c>
      <c r="C23" s="218">
        <v>0</v>
      </c>
      <c r="D23" s="218">
        <v>0</v>
      </c>
      <c r="E23" s="218">
        <v>0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134">
        <f t="shared" si="1"/>
        <v>0</v>
      </c>
      <c r="O23" s="219"/>
      <c r="P23" s="219"/>
      <c r="Q23" s="219"/>
      <c r="R23" s="219"/>
      <c r="S23" s="219"/>
      <c r="T23" s="134"/>
      <c r="U23" s="134"/>
      <c r="W23" s="223"/>
      <c r="X23" s="168"/>
    </row>
    <row r="24" spans="1:24" x14ac:dyDescent="0.2">
      <c r="A24" s="131" t="s">
        <v>269</v>
      </c>
      <c r="B24" s="218">
        <v>0</v>
      </c>
      <c r="C24" s="218">
        <v>0</v>
      </c>
      <c r="D24" s="218">
        <v>0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134">
        <f t="shared" si="1"/>
        <v>0</v>
      </c>
      <c r="O24" s="219"/>
      <c r="P24" s="219"/>
      <c r="Q24" s="219"/>
      <c r="R24" s="219"/>
      <c r="S24" s="219"/>
      <c r="T24" s="134"/>
      <c r="U24" s="134"/>
      <c r="W24" s="223"/>
      <c r="X24" s="168"/>
    </row>
    <row r="25" spans="1:24" x14ac:dyDescent="0.2">
      <c r="A25" s="133" t="s">
        <v>355</v>
      </c>
      <c r="B25" s="314">
        <f>'Out Years Data Input'!C125/1000</f>
        <v>0</v>
      </c>
      <c r="C25" s="314">
        <f>'Out Years Data Input'!F125/1000</f>
        <v>0</v>
      </c>
      <c r="D25" s="314">
        <f>'Out Years Data Input'!I125/1000</f>
        <v>0</v>
      </c>
      <c r="E25" s="314">
        <f>'Out Years Data Input'!L125/1000</f>
        <v>0</v>
      </c>
      <c r="F25" s="314">
        <f>'Out Years Data Input'!O125/1000</f>
        <v>0</v>
      </c>
      <c r="G25" s="314">
        <f>'Out Years Data Input'!R125/1000</f>
        <v>0</v>
      </c>
      <c r="H25" s="314">
        <f>'Out Years Data Input'!U125/1000</f>
        <v>0</v>
      </c>
      <c r="I25" s="314">
        <f>'Out Years Data Input'!X125/1000</f>
        <v>0</v>
      </c>
      <c r="J25" s="314">
        <f>'Out Years Data Input'!AA125/1000</f>
        <v>0</v>
      </c>
      <c r="K25" s="314">
        <f>'Out Years Data Input'!AD125/1000</f>
        <v>0</v>
      </c>
      <c r="L25" s="314">
        <f>'Out Years Data Input'!AG125/1000</f>
        <v>0</v>
      </c>
      <c r="M25" s="314">
        <f>'Out Years Data Input'!AJ125/1000</f>
        <v>0</v>
      </c>
      <c r="N25" s="152">
        <f t="shared" si="1"/>
        <v>0</v>
      </c>
      <c r="O25" s="219"/>
      <c r="P25" s="219"/>
      <c r="Q25" s="219"/>
      <c r="R25" s="219"/>
      <c r="S25" s="219"/>
      <c r="T25" s="144"/>
      <c r="U25" s="144"/>
      <c r="W25" s="168"/>
      <c r="X25" s="168"/>
    </row>
    <row r="26" spans="1:24" x14ac:dyDescent="0.2">
      <c r="A26" s="128" t="s">
        <v>235</v>
      </c>
      <c r="B26" s="134">
        <f>SUM(B22:B25)</f>
        <v>357.82499999999999</v>
      </c>
      <c r="C26" s="134">
        <f t="shared" ref="C26:M26" si="2">SUM(C22:C25)</f>
        <v>346.815</v>
      </c>
      <c r="D26" s="134">
        <f t="shared" si="2"/>
        <v>330.3</v>
      </c>
      <c r="E26" s="134">
        <f t="shared" si="2"/>
        <v>297.27</v>
      </c>
      <c r="F26" s="134">
        <f t="shared" si="2"/>
        <v>297.27</v>
      </c>
      <c r="G26" s="134">
        <f t="shared" si="2"/>
        <v>435.04500000000002</v>
      </c>
      <c r="H26" s="134">
        <f t="shared" si="2"/>
        <v>469.35</v>
      </c>
      <c r="I26" s="134">
        <f t="shared" si="2"/>
        <v>449.23500000000001</v>
      </c>
      <c r="J26" s="134">
        <f t="shared" si="2"/>
        <v>469.35</v>
      </c>
      <c r="K26" s="134">
        <f t="shared" si="2"/>
        <v>476.05500000000001</v>
      </c>
      <c r="L26" s="134">
        <f t="shared" si="2"/>
        <v>493.24</v>
      </c>
      <c r="M26" s="134">
        <f t="shared" si="2"/>
        <v>454.3</v>
      </c>
      <c r="N26" s="220">
        <f t="shared" si="1"/>
        <v>406.33791666666667</v>
      </c>
      <c r="O26" s="220"/>
      <c r="P26" s="220"/>
      <c r="Q26" s="220"/>
      <c r="R26" s="220"/>
      <c r="S26" s="221"/>
      <c r="T26" s="134"/>
      <c r="U26" s="134"/>
      <c r="W26" s="168"/>
      <c r="X26" s="168"/>
    </row>
    <row r="27" spans="1:24" x14ac:dyDescent="0.2">
      <c r="A27" s="128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17"/>
      <c r="Q27" s="217"/>
      <c r="R27" s="217"/>
      <c r="S27" s="217"/>
      <c r="T27" s="134"/>
      <c r="U27" s="134"/>
      <c r="W27" s="168"/>
    </row>
    <row r="28" spans="1:24" x14ac:dyDescent="0.2">
      <c r="A28" s="128" t="s">
        <v>236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4"/>
      <c r="O28" s="134"/>
      <c r="P28" s="129"/>
      <c r="Q28" s="129"/>
      <c r="R28" s="129"/>
      <c r="S28" s="129"/>
      <c r="T28" s="134"/>
      <c r="U28" s="134"/>
      <c r="W28" s="223"/>
      <c r="X28" s="168"/>
    </row>
    <row r="29" spans="1:24" x14ac:dyDescent="0.2">
      <c r="A29" s="131" t="s">
        <v>20</v>
      </c>
      <c r="B29" s="218">
        <f>'Out Years Data Input'!C225/1000</f>
        <v>60</v>
      </c>
      <c r="C29" s="218">
        <f>'Out Years Data Input'!F225/1000</f>
        <v>60</v>
      </c>
      <c r="D29" s="218">
        <f>'Out Years Data Input'!I225/1000</f>
        <v>60</v>
      </c>
      <c r="E29" s="218">
        <f>'Out Years Data Input'!L225/1000</f>
        <v>60</v>
      </c>
      <c r="F29" s="218">
        <f>'Out Years Data Input'!O225/1000</f>
        <v>60</v>
      </c>
      <c r="G29" s="218">
        <f>'Out Years Data Input'!R225/1000</f>
        <v>60</v>
      </c>
      <c r="H29" s="218">
        <f>'Out Years Data Input'!U225/1000</f>
        <v>60</v>
      </c>
      <c r="I29" s="218">
        <f>'Out Years Data Input'!X225/1000</f>
        <v>60</v>
      </c>
      <c r="J29" s="218">
        <f>'Out Years Data Input'!AA225/1000</f>
        <v>60</v>
      </c>
      <c r="K29" s="218">
        <f>'Out Years Data Input'!AD225/1000</f>
        <v>60</v>
      </c>
      <c r="L29" s="218">
        <f>'Out Years Data Input'!AG225/1000</f>
        <v>60</v>
      </c>
      <c r="M29" s="218">
        <f>'Out Years Data Input'!AJ225/1000</f>
        <v>60</v>
      </c>
      <c r="N29" s="134">
        <f>AVERAGE(B29:M29)</f>
        <v>60</v>
      </c>
      <c r="O29" s="219"/>
      <c r="P29" s="219"/>
      <c r="Q29" s="219"/>
      <c r="R29" s="219"/>
      <c r="S29" s="219"/>
      <c r="T29" s="134"/>
      <c r="U29" s="134"/>
      <c r="W29" s="223"/>
      <c r="X29" s="168"/>
    </row>
    <row r="30" spans="1:24" x14ac:dyDescent="0.2">
      <c r="A30" s="131" t="s">
        <v>351</v>
      </c>
      <c r="B30" s="218">
        <f>'Out Years Data Input'!C102/1000</f>
        <v>51.6</v>
      </c>
      <c r="C30" s="218">
        <f>'Out Years Data Input'!F102/1000</f>
        <v>52.2</v>
      </c>
      <c r="D30" s="218">
        <f>'Out Years Data Input'!I102/1000</f>
        <v>56.4</v>
      </c>
      <c r="E30" s="218">
        <f>'Out Years Data Input'!L102/1000</f>
        <v>49.2</v>
      </c>
      <c r="F30" s="218">
        <f>'Out Years Data Input'!O102/1000</f>
        <v>52.2</v>
      </c>
      <c r="G30" s="218">
        <f>'Out Years Data Input'!R102/1000</f>
        <v>55.2</v>
      </c>
      <c r="H30" s="218">
        <f>'Out Years Data Input'!U102/1000</f>
        <v>54.6</v>
      </c>
      <c r="I30" s="218">
        <f>'Out Years Data Input'!X102/1000</f>
        <v>56.4</v>
      </c>
      <c r="J30" s="218">
        <f>'Out Years Data Input'!AA102/1000</f>
        <v>52.2</v>
      </c>
      <c r="K30" s="218">
        <f>'Out Years Data Input'!AD102/1000</f>
        <v>56.4</v>
      </c>
      <c r="L30" s="218">
        <f>'Out Years Data Input'!AG102/1000</f>
        <v>58.8</v>
      </c>
      <c r="M30" s="218">
        <f>'Out Years Data Input'!AJ102/1000</f>
        <v>59.4</v>
      </c>
      <c r="N30" s="134">
        <f>AVERAGE(B30:M30)</f>
        <v>54.54999999999999</v>
      </c>
      <c r="O30" s="219"/>
      <c r="P30" s="219"/>
      <c r="Q30" s="219"/>
      <c r="R30" s="219"/>
      <c r="S30" s="219"/>
      <c r="T30" s="134"/>
      <c r="U30" s="134"/>
      <c r="W30" s="223"/>
      <c r="X30" s="168"/>
    </row>
    <row r="31" spans="1:24" x14ac:dyDescent="0.2">
      <c r="A31" s="131" t="s">
        <v>352</v>
      </c>
      <c r="B31" s="218">
        <v>0</v>
      </c>
      <c r="C31" s="218">
        <v>0</v>
      </c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134">
        <f>AVERAGE(B31:M31)</f>
        <v>0</v>
      </c>
      <c r="O31" s="219"/>
      <c r="P31" s="219"/>
      <c r="Q31" s="219"/>
      <c r="R31" s="219"/>
      <c r="S31" s="219"/>
      <c r="T31" s="134"/>
      <c r="U31" s="134"/>
      <c r="W31" s="223"/>
      <c r="X31" s="168"/>
    </row>
    <row r="32" spans="1:24" x14ac:dyDescent="0.2">
      <c r="A32" s="133" t="s">
        <v>355</v>
      </c>
      <c r="B32" s="314">
        <f>'Out Years Data Input'!C126/1000</f>
        <v>0</v>
      </c>
      <c r="C32" s="314">
        <f>'Out Years Data Input'!F126/1000</f>
        <v>0</v>
      </c>
      <c r="D32" s="314">
        <f>'Out Years Data Input'!I126/1000</f>
        <v>0</v>
      </c>
      <c r="E32" s="314">
        <f>'Out Years Data Input'!L126/1000</f>
        <v>0</v>
      </c>
      <c r="F32" s="314">
        <f>'Out Years Data Input'!O126/1000</f>
        <v>0</v>
      </c>
      <c r="G32" s="314">
        <f>'Out Years Data Input'!R126/1000</f>
        <v>0</v>
      </c>
      <c r="H32" s="314">
        <f>'Out Years Data Input'!U126/1000</f>
        <v>0</v>
      </c>
      <c r="I32" s="314">
        <f>'Out Years Data Input'!X126/1000</f>
        <v>0</v>
      </c>
      <c r="J32" s="314">
        <f>'Out Years Data Input'!AA126/1000</f>
        <v>0</v>
      </c>
      <c r="K32" s="314">
        <f>'Out Years Data Input'!AD126/1000</f>
        <v>0</v>
      </c>
      <c r="L32" s="314">
        <f>'Out Years Data Input'!AG126/1000</f>
        <v>0</v>
      </c>
      <c r="M32" s="314">
        <f>'Out Years Data Input'!AJ126/1000</f>
        <v>0</v>
      </c>
      <c r="N32" s="152">
        <f>AVERAGE(B32:M32)</f>
        <v>0</v>
      </c>
      <c r="O32" s="219"/>
      <c r="P32" s="219"/>
      <c r="Q32" s="219"/>
      <c r="R32" s="219"/>
      <c r="S32" s="219"/>
      <c r="T32" s="144"/>
      <c r="U32" s="144"/>
      <c r="W32" s="223"/>
      <c r="X32" s="168"/>
    </row>
    <row r="33" spans="1:24" x14ac:dyDescent="0.2">
      <c r="A33" s="128" t="s">
        <v>237</v>
      </c>
      <c r="B33" s="134">
        <f>SUM(B30:B32)</f>
        <v>51.6</v>
      </c>
      <c r="C33" s="134">
        <f t="shared" ref="C33:M33" si="3">SUM(C30:C32)</f>
        <v>52.2</v>
      </c>
      <c r="D33" s="134">
        <f t="shared" si="3"/>
        <v>56.4</v>
      </c>
      <c r="E33" s="134">
        <f t="shared" si="3"/>
        <v>49.2</v>
      </c>
      <c r="F33" s="134">
        <f t="shared" si="3"/>
        <v>52.2</v>
      </c>
      <c r="G33" s="134">
        <f t="shared" si="3"/>
        <v>55.2</v>
      </c>
      <c r="H33" s="134">
        <f t="shared" si="3"/>
        <v>54.6</v>
      </c>
      <c r="I33" s="134">
        <f t="shared" si="3"/>
        <v>56.4</v>
      </c>
      <c r="J33" s="134">
        <f t="shared" si="3"/>
        <v>52.2</v>
      </c>
      <c r="K33" s="134">
        <f t="shared" si="3"/>
        <v>56.4</v>
      </c>
      <c r="L33" s="134">
        <f t="shared" si="3"/>
        <v>58.8</v>
      </c>
      <c r="M33" s="134">
        <f t="shared" si="3"/>
        <v>59.4</v>
      </c>
      <c r="N33" s="220">
        <f>AVERAGE(B33:M33)</f>
        <v>54.54999999999999</v>
      </c>
      <c r="O33" s="220"/>
      <c r="P33" s="220"/>
      <c r="Q33" s="220"/>
      <c r="R33" s="220"/>
      <c r="S33" s="221"/>
      <c r="T33" s="134"/>
      <c r="U33" s="134"/>
      <c r="W33" s="223"/>
      <c r="X33" s="168"/>
    </row>
    <row r="34" spans="1:24" x14ac:dyDescent="0.2">
      <c r="A34" s="12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17"/>
      <c r="Q34" s="217"/>
      <c r="R34" s="217"/>
      <c r="S34" s="217"/>
      <c r="T34" s="134"/>
      <c r="U34" s="134"/>
      <c r="W34" s="223"/>
      <c r="X34" s="168"/>
    </row>
    <row r="35" spans="1:24" x14ac:dyDescent="0.2">
      <c r="A35" s="128" t="s">
        <v>356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4"/>
      <c r="O35" s="134"/>
      <c r="P35" s="129"/>
      <c r="Q35" s="129"/>
      <c r="R35" s="129"/>
      <c r="S35" s="129"/>
      <c r="T35" s="134"/>
      <c r="U35" s="134"/>
      <c r="W35" s="223"/>
      <c r="X35" s="168"/>
    </row>
    <row r="36" spans="1:24" x14ac:dyDescent="0.2">
      <c r="A36" s="131" t="s">
        <v>20</v>
      </c>
      <c r="B36" s="218">
        <f>'Out Years Data Input'!C226/1000</f>
        <v>211.1</v>
      </c>
      <c r="C36" s="218">
        <f>'Out Years Data Input'!F226/1000</f>
        <v>211.1</v>
      </c>
      <c r="D36" s="218">
        <f>'Out Years Data Input'!I226/1000</f>
        <v>231.1</v>
      </c>
      <c r="E36" s="218">
        <f>'Out Years Data Input'!L226/1000</f>
        <v>231.1</v>
      </c>
      <c r="F36" s="218">
        <f>'Out Years Data Input'!O226/1000</f>
        <v>231.1</v>
      </c>
      <c r="G36" s="218">
        <f>'Out Years Data Input'!R226/1000</f>
        <v>231.1</v>
      </c>
      <c r="H36" s="218">
        <f>'Out Years Data Input'!U226/1000</f>
        <v>231.1</v>
      </c>
      <c r="I36" s="218">
        <f>'Out Years Data Input'!X226/1000</f>
        <v>231.1</v>
      </c>
      <c r="J36" s="218">
        <f>'Out Years Data Input'!AA226/1000</f>
        <v>231.1</v>
      </c>
      <c r="K36" s="218">
        <f>'Out Years Data Input'!AD226/1000</f>
        <v>231.1</v>
      </c>
      <c r="L36" s="218">
        <f>'Out Years Data Input'!AG226/1000</f>
        <v>252.6</v>
      </c>
      <c r="M36" s="218">
        <f>'Out Years Data Input'!AJ226/1000</f>
        <v>252.6</v>
      </c>
      <c r="N36" s="134">
        <f>AVERAGE(B36:M36)</f>
        <v>231.34999999999994</v>
      </c>
      <c r="O36" s="219"/>
      <c r="P36" s="219"/>
      <c r="Q36" s="219"/>
      <c r="R36" s="219"/>
      <c r="S36" s="219"/>
      <c r="T36" s="134"/>
      <c r="U36" s="134"/>
      <c r="W36" s="223"/>
      <c r="X36" s="168"/>
    </row>
    <row r="37" spans="1:24" x14ac:dyDescent="0.2">
      <c r="A37" s="131" t="s">
        <v>351</v>
      </c>
      <c r="B37" s="218">
        <f>'Out Years Data Input'!C103/1000</f>
        <v>181.54599999999999</v>
      </c>
      <c r="C37" s="218">
        <f>'Out Years Data Input'!F103/1000</f>
        <v>183.65700000000001</v>
      </c>
      <c r="D37" s="218">
        <f>'Out Years Data Input'!I103/1000</f>
        <v>217.23400000000001</v>
      </c>
      <c r="E37" s="218">
        <f>'Out Years Data Input'!L103/1000</f>
        <v>189.50200000000001</v>
      </c>
      <c r="F37" s="218">
        <f>'Out Years Data Input'!O103/1000</f>
        <v>201.05699999999999</v>
      </c>
      <c r="G37" s="218">
        <f>'Out Years Data Input'!R103/1000</f>
        <v>212.61199999999999</v>
      </c>
      <c r="H37" s="218">
        <f>'Out Years Data Input'!U103/1000</f>
        <v>210.30099999999999</v>
      </c>
      <c r="I37" s="218">
        <f>'Out Years Data Input'!X103/1000</f>
        <v>217.23400000000001</v>
      </c>
      <c r="J37" s="218">
        <f>'Out Years Data Input'!AA103/1000</f>
        <v>201.05699999999999</v>
      </c>
      <c r="K37" s="218">
        <f>'Out Years Data Input'!AD103/1000</f>
        <v>217.23400000000001</v>
      </c>
      <c r="L37" s="218">
        <f>'Out Years Data Input'!AG103/1000</f>
        <v>247.548</v>
      </c>
      <c r="M37" s="218">
        <f>'Out Years Data Input'!AJ103/1000</f>
        <v>250.07400000000001</v>
      </c>
      <c r="N37" s="134">
        <f>AVERAGE(B37:M37)</f>
        <v>210.75466666666668</v>
      </c>
      <c r="O37" s="219"/>
      <c r="P37" s="219"/>
      <c r="Q37" s="219"/>
      <c r="R37" s="219"/>
      <c r="S37" s="219"/>
      <c r="T37" s="134"/>
      <c r="U37" s="134"/>
      <c r="W37" s="223"/>
      <c r="X37" s="168"/>
    </row>
    <row r="38" spans="1:24" x14ac:dyDescent="0.2">
      <c r="A38" s="131" t="s">
        <v>352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134">
        <f>AVERAGE(B38:M38)</f>
        <v>0</v>
      </c>
      <c r="O38" s="219"/>
      <c r="P38" s="219"/>
      <c r="Q38" s="219"/>
      <c r="R38" s="219"/>
      <c r="S38" s="219"/>
      <c r="T38" s="134"/>
      <c r="U38" s="134"/>
      <c r="W38" s="223"/>
      <c r="X38" s="168"/>
    </row>
    <row r="39" spans="1:24" x14ac:dyDescent="0.2">
      <c r="A39" s="131" t="s">
        <v>239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134">
        <f>AVERAGE(B39:M39)</f>
        <v>0</v>
      </c>
      <c r="O39" s="219"/>
      <c r="P39" s="219"/>
      <c r="Q39" s="219"/>
      <c r="R39" s="219"/>
      <c r="S39" s="219"/>
      <c r="T39" s="134"/>
      <c r="U39" s="134"/>
      <c r="W39" s="223"/>
      <c r="X39" s="168"/>
    </row>
    <row r="40" spans="1:24" x14ac:dyDescent="0.2">
      <c r="A40" s="133" t="s">
        <v>355</v>
      </c>
      <c r="B40" s="314">
        <f>'Out Years Data Input'!C127/1000</f>
        <v>0</v>
      </c>
      <c r="C40" s="314">
        <f>'Out Years Data Input'!F127/1000</f>
        <v>0</v>
      </c>
      <c r="D40" s="314">
        <f>'Out Years Data Input'!I127/1000</f>
        <v>0</v>
      </c>
      <c r="E40" s="314">
        <f>'Out Years Data Input'!L127/1000</f>
        <v>0</v>
      </c>
      <c r="F40" s="314">
        <f>'Out Years Data Input'!O127/1000</f>
        <v>0</v>
      </c>
      <c r="G40" s="314">
        <f>'Out Years Data Input'!R127/1000</f>
        <v>0</v>
      </c>
      <c r="H40" s="314">
        <f>'Out Years Data Input'!U127/1000</f>
        <v>0</v>
      </c>
      <c r="I40" s="314">
        <f>'Out Years Data Input'!X127/1000</f>
        <v>0</v>
      </c>
      <c r="J40" s="314">
        <f>'Out Years Data Input'!AA127/1000</f>
        <v>0</v>
      </c>
      <c r="K40" s="314">
        <f>'Out Years Data Input'!AD127/1000</f>
        <v>0</v>
      </c>
      <c r="L40" s="314">
        <f>'Out Years Data Input'!AG127/1000</f>
        <v>0</v>
      </c>
      <c r="M40" s="314">
        <f>'Out Years Data Input'!AJ127/1000</f>
        <v>0</v>
      </c>
      <c r="N40" s="143">
        <f>AVERAGE(B40:M40)</f>
        <v>0</v>
      </c>
      <c r="O40" s="219"/>
      <c r="P40" s="219"/>
      <c r="Q40" s="219"/>
      <c r="R40" s="219"/>
      <c r="S40" s="219"/>
      <c r="T40" s="144"/>
      <c r="U40" s="144"/>
      <c r="X40" s="224"/>
    </row>
    <row r="41" spans="1:24" x14ac:dyDescent="0.2">
      <c r="A41" s="128" t="s">
        <v>240</v>
      </c>
      <c r="B41" s="134">
        <f>SUM(B37:B40)</f>
        <v>181.54599999999999</v>
      </c>
      <c r="C41" s="134">
        <f t="shared" ref="C41:N41" si="4">SUM(C37:C40)</f>
        <v>183.65700000000001</v>
      </c>
      <c r="D41" s="134">
        <f t="shared" si="4"/>
        <v>217.23400000000001</v>
      </c>
      <c r="E41" s="134">
        <f t="shared" si="4"/>
        <v>189.50200000000001</v>
      </c>
      <c r="F41" s="134">
        <f t="shared" si="4"/>
        <v>201.05699999999999</v>
      </c>
      <c r="G41" s="134">
        <f t="shared" si="4"/>
        <v>212.61199999999999</v>
      </c>
      <c r="H41" s="134">
        <f t="shared" si="4"/>
        <v>210.30099999999999</v>
      </c>
      <c r="I41" s="134">
        <f t="shared" si="4"/>
        <v>217.23400000000001</v>
      </c>
      <c r="J41" s="134">
        <f t="shared" si="4"/>
        <v>201.05699999999999</v>
      </c>
      <c r="K41" s="134">
        <f t="shared" si="4"/>
        <v>217.23400000000001</v>
      </c>
      <c r="L41" s="134">
        <f t="shared" si="4"/>
        <v>247.548</v>
      </c>
      <c r="M41" s="134">
        <f t="shared" si="4"/>
        <v>250.07400000000001</v>
      </c>
      <c r="N41" s="134">
        <f t="shared" si="4"/>
        <v>210.75466666666668</v>
      </c>
      <c r="O41" s="134"/>
      <c r="P41" s="134"/>
      <c r="Q41" s="134"/>
      <c r="R41" s="134"/>
      <c r="S41" s="219"/>
      <c r="T41" s="134"/>
      <c r="U41" s="134"/>
      <c r="W41" s="225"/>
    </row>
    <row r="42" spans="1:24" s="222" customFormat="1" x14ac:dyDescent="0.15">
      <c r="A42" s="137" t="s">
        <v>357</v>
      </c>
      <c r="B42" s="138">
        <f>SUM(B41+B33+B26+B18)</f>
        <v>1019.7139999999999</v>
      </c>
      <c r="C42" s="138">
        <f t="shared" ref="C42:M42" si="5">SUM(C41+C33+C26+C18)</f>
        <v>1022.067</v>
      </c>
      <c r="D42" s="138">
        <f t="shared" si="5"/>
        <v>998.0139999999999</v>
      </c>
      <c r="E42" s="138">
        <f t="shared" si="5"/>
        <v>910.34799999999996</v>
      </c>
      <c r="F42" s="138">
        <f t="shared" si="5"/>
        <v>910.125</v>
      </c>
      <c r="G42" s="138">
        <f t="shared" si="5"/>
        <v>1072.307</v>
      </c>
      <c r="H42" s="138">
        <f t="shared" si="5"/>
        <v>1101.2380000000001</v>
      </c>
      <c r="I42" s="138">
        <f t="shared" si="5"/>
        <v>1116.9490000000001</v>
      </c>
      <c r="J42" s="138">
        <f t="shared" si="5"/>
        <v>1111.761</v>
      </c>
      <c r="K42" s="138">
        <f t="shared" si="5"/>
        <v>1119.1390000000001</v>
      </c>
      <c r="L42" s="138">
        <f t="shared" si="5"/>
        <v>1075.444</v>
      </c>
      <c r="M42" s="138">
        <f t="shared" si="5"/>
        <v>1071.6489999999999</v>
      </c>
      <c r="N42" s="138">
        <f>SUM(N41+N33+N26+N18)</f>
        <v>1044.0629166666665</v>
      </c>
      <c r="O42" s="226"/>
      <c r="P42" s="226"/>
      <c r="Q42" s="226"/>
      <c r="R42" s="226"/>
      <c r="S42" s="219"/>
      <c r="T42" s="226"/>
      <c r="U42" s="226"/>
      <c r="V42" s="134"/>
      <c r="W42" s="227"/>
      <c r="X42" s="227"/>
    </row>
    <row r="43" spans="1:24" s="222" customFormat="1" x14ac:dyDescent="0.15">
      <c r="A43" s="137" t="s">
        <v>358</v>
      </c>
      <c r="B43" s="138">
        <f>SUM(B14+B21+B29+B36)</f>
        <v>1087.8999999999999</v>
      </c>
      <c r="C43" s="138">
        <f t="shared" ref="C43:M43" si="6">SUM(C14+C21+C29+C36)</f>
        <v>1087.8999999999999</v>
      </c>
      <c r="D43" s="138">
        <f t="shared" si="6"/>
        <v>1087.8999999999999</v>
      </c>
      <c r="E43" s="138">
        <f t="shared" si="6"/>
        <v>1087.8999999999999</v>
      </c>
      <c r="F43" s="138">
        <f t="shared" si="6"/>
        <v>1087.8999999999999</v>
      </c>
      <c r="G43" s="138">
        <f t="shared" si="6"/>
        <v>1167.8999999999999</v>
      </c>
      <c r="H43" s="138">
        <f t="shared" si="6"/>
        <v>1207.8999999999999</v>
      </c>
      <c r="I43" s="138">
        <f t="shared" si="6"/>
        <v>1207.8999999999999</v>
      </c>
      <c r="J43" s="138">
        <f t="shared" si="6"/>
        <v>1207.8999999999999</v>
      </c>
      <c r="K43" s="138">
        <f t="shared" si="6"/>
        <v>1207.8999999999999</v>
      </c>
      <c r="L43" s="138">
        <f t="shared" si="6"/>
        <v>1207.8999999999999</v>
      </c>
      <c r="M43" s="138">
        <f t="shared" si="6"/>
        <v>1207.8999999999999</v>
      </c>
      <c r="N43" s="138">
        <f>SUM(N14+N21+N29+N36)</f>
        <v>1154.5666666666666</v>
      </c>
      <c r="O43" s="226"/>
      <c r="P43" s="226"/>
      <c r="Q43" s="226"/>
      <c r="R43" s="226"/>
      <c r="S43" s="219"/>
      <c r="T43" s="226"/>
      <c r="U43" s="226"/>
      <c r="V43" s="134"/>
    </row>
    <row r="44" spans="1:24" x14ac:dyDescent="0.2">
      <c r="A44" s="141"/>
      <c r="B44" s="228">
        <f>B42/B43</f>
        <v>0.93732328339001758</v>
      </c>
      <c r="C44" s="228">
        <f t="shared" ref="C44:M44" si="7">C42/C43</f>
        <v>0.93948616600790524</v>
      </c>
      <c r="D44" s="228">
        <f t="shared" si="7"/>
        <v>0.91737659711370534</v>
      </c>
      <c r="E44" s="228">
        <f t="shared" si="7"/>
        <v>0.83679382296166938</v>
      </c>
      <c r="F44" s="228">
        <f t="shared" si="7"/>
        <v>0.83658884088611096</v>
      </c>
      <c r="G44" s="228">
        <f t="shared" si="7"/>
        <v>0.91814967034848882</v>
      </c>
      <c r="H44" s="228">
        <f t="shared" si="7"/>
        <v>0.91169633247785431</v>
      </c>
      <c r="I44" s="228">
        <f t="shared" si="7"/>
        <v>0.92470320390760841</v>
      </c>
      <c r="J44" s="228">
        <f t="shared" si="7"/>
        <v>0.92040814636973267</v>
      </c>
      <c r="K44" s="228">
        <f t="shared" si="7"/>
        <v>0.92651626790297226</v>
      </c>
      <c r="L44" s="228">
        <f t="shared" si="7"/>
        <v>0.89034191572150023</v>
      </c>
      <c r="M44" s="228">
        <f t="shared" si="7"/>
        <v>0.88720009934597233</v>
      </c>
      <c r="N44" s="967">
        <f>AVERAGE(B44:M44)</f>
        <v>0.90388202886946145</v>
      </c>
      <c r="O44" s="134"/>
      <c r="P44" s="219"/>
      <c r="Q44" s="219"/>
      <c r="R44" s="219"/>
      <c r="S44" s="219"/>
      <c r="T44" s="134"/>
      <c r="U44" s="134"/>
    </row>
    <row r="45" spans="1:24" ht="15.75" x14ac:dyDescent="0.2">
      <c r="A45" s="125" t="s">
        <v>243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29"/>
      <c r="O45" s="229"/>
      <c r="P45" s="126"/>
      <c r="Q45" s="126"/>
      <c r="R45" s="126"/>
      <c r="S45" s="126"/>
      <c r="T45" s="229"/>
      <c r="U45" s="229"/>
    </row>
    <row r="46" spans="1:24" x14ac:dyDescent="0.2">
      <c r="A46" s="128" t="s">
        <v>244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4"/>
      <c r="O46" s="134"/>
      <c r="P46" s="129"/>
      <c r="Q46" s="129"/>
      <c r="R46" s="129"/>
      <c r="S46" s="129"/>
      <c r="T46" s="134"/>
      <c r="U46" s="134"/>
    </row>
    <row r="47" spans="1:24" x14ac:dyDescent="0.2">
      <c r="A47" s="131" t="s">
        <v>20</v>
      </c>
      <c r="B47" s="218">
        <f>('Out Years Data Input'!C214/1000)+('Out Years Data Input'!C215/1000)</f>
        <v>80</v>
      </c>
      <c r="C47" s="218">
        <f>('Out Years Data Input'!F214/1000)+('Out Years Data Input'!F215/1000)</f>
        <v>80</v>
      </c>
      <c r="D47" s="218">
        <f>('Out Years Data Input'!I214/1000)+('Out Years Data Input'!I215/1000)</f>
        <v>80</v>
      </c>
      <c r="E47" s="218">
        <f>('Out Years Data Input'!L214/1000)+('Out Years Data Input'!L215/1000)</f>
        <v>80</v>
      </c>
      <c r="F47" s="218">
        <f>('Out Years Data Input'!O214/1000)+('Out Years Data Input'!O215/1000)</f>
        <v>80</v>
      </c>
      <c r="G47" s="218">
        <f>('Out Years Data Input'!R214/1000)+('Out Years Data Input'!R215/1000)</f>
        <v>80</v>
      </c>
      <c r="H47" s="218">
        <f>('Out Years Data Input'!U214/1000)+('Out Years Data Input'!U215/1000)</f>
        <v>80</v>
      </c>
      <c r="I47" s="218">
        <f>('Out Years Data Input'!X214/1000)+('Out Years Data Input'!X215/1000)</f>
        <v>80</v>
      </c>
      <c r="J47" s="218">
        <f>('Out Years Data Input'!AA214/1000)+('Out Years Data Input'!AA215/1000)</f>
        <v>80</v>
      </c>
      <c r="K47" s="218">
        <f>('Out Years Data Input'!AD214/1000)+('Out Years Data Input'!AD215/1000)</f>
        <v>80</v>
      </c>
      <c r="L47" s="218">
        <f>('Out Years Data Input'!AG214/1000)+('Out Years Data Input'!AG215/1000)</f>
        <v>80</v>
      </c>
      <c r="M47" s="218">
        <f>('Out Years Data Input'!AJ214/1000)+('Out Years Data Input'!AJ215/1000)</f>
        <v>80</v>
      </c>
      <c r="N47" s="134">
        <f>AVERAGE(B47:M47)</f>
        <v>80</v>
      </c>
      <c r="O47" s="219"/>
      <c r="P47" s="219"/>
      <c r="Q47" s="219"/>
      <c r="R47" s="219"/>
      <c r="S47" s="219"/>
      <c r="T47" s="134"/>
      <c r="U47" s="134"/>
    </row>
    <row r="48" spans="1:24" x14ac:dyDescent="0.2">
      <c r="A48" s="131" t="s">
        <v>351</v>
      </c>
      <c r="B48" s="218">
        <f>('Out Years Data Input'!C91/1000)+('Out Years Data Input'!C92/1000)</f>
        <v>35.200000000000003</v>
      </c>
      <c r="C48" s="218">
        <f>('Out Years Data Input'!F91/1000)+('Out Years Data Input'!F92/1000)</f>
        <v>35.200000000000003</v>
      </c>
      <c r="D48" s="218">
        <f>('Out Years Data Input'!I91/1000)+('Out Years Data Input'!I92/1000)</f>
        <v>35.200000000000003</v>
      </c>
      <c r="E48" s="218">
        <f>('Out Years Data Input'!L91/1000)+('Out Years Data Input'!L92/1000)</f>
        <v>44.8</v>
      </c>
      <c r="F48" s="218">
        <f>('Out Years Data Input'!O91/1000)+('Out Years Data Input'!O92/1000)</f>
        <v>45.6</v>
      </c>
      <c r="G48" s="218">
        <f>('Out Years Data Input'!R91/1000)+('Out Years Data Input'!R92/1000)</f>
        <v>44.8</v>
      </c>
      <c r="H48" s="218">
        <f>('Out Years Data Input'!U91/1000)+('Out Years Data Input'!U92/1000)</f>
        <v>42.4</v>
      </c>
      <c r="I48" s="218">
        <f>('Out Years Data Input'!X91/1000)+('Out Years Data Input'!X92/1000)</f>
        <v>42.4</v>
      </c>
      <c r="J48" s="218">
        <f>('Out Years Data Input'!AA91/1000)+('Out Years Data Input'!AA92/1000)</f>
        <v>39.200000000000003</v>
      </c>
      <c r="K48" s="218">
        <f>('Out Years Data Input'!AD91/1000)+('Out Years Data Input'!AD92/1000)</f>
        <v>41.6</v>
      </c>
      <c r="L48" s="218">
        <f>('Out Years Data Input'!AG91/1000)+('Out Years Data Input'!AG92/1000)</f>
        <v>42.4</v>
      </c>
      <c r="M48" s="218">
        <f>('Out Years Data Input'!AJ91/1000)+('Out Years Data Input'!AJ92/1000)</f>
        <v>44</v>
      </c>
      <c r="N48" s="134">
        <f>AVERAGE(B48:M48)</f>
        <v>41.066666666666663</v>
      </c>
      <c r="O48" s="219"/>
      <c r="P48" s="219"/>
      <c r="Q48" s="219"/>
      <c r="R48" s="219"/>
      <c r="S48" s="219"/>
      <c r="T48" s="134"/>
      <c r="U48" s="134"/>
    </row>
    <row r="49" spans="1:21" x14ac:dyDescent="0.2">
      <c r="A49" s="131" t="s">
        <v>352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134">
        <f>AVERAGE(B49:M49)</f>
        <v>0</v>
      </c>
      <c r="O49" s="219"/>
      <c r="P49" s="219"/>
      <c r="Q49" s="219"/>
      <c r="R49" s="219"/>
      <c r="S49" s="219"/>
      <c r="T49" s="134"/>
      <c r="U49" s="134"/>
    </row>
    <row r="50" spans="1:21" x14ac:dyDescent="0.2">
      <c r="A50" s="133" t="s">
        <v>355</v>
      </c>
      <c r="B50" s="314">
        <f>('Out Years Data Input'!C115/1000)+('Out Years Data Input'!C116/1000)</f>
        <v>0</v>
      </c>
      <c r="C50" s="314">
        <f>('Out Years Data Input'!F115/1000)+('Out Years Data Input'!F116/1000)</f>
        <v>0</v>
      </c>
      <c r="D50" s="314">
        <f>('Out Years Data Input'!I115/1000)+('Out Years Data Input'!I116/1000)</f>
        <v>0</v>
      </c>
      <c r="E50" s="314">
        <f>('Out Years Data Input'!L115/1000)+('Out Years Data Input'!L116/1000)</f>
        <v>0</v>
      </c>
      <c r="F50" s="314">
        <f>('Out Years Data Input'!O115/1000)+('Out Years Data Input'!O116/1000)</f>
        <v>0</v>
      </c>
      <c r="G50" s="314">
        <f>('Out Years Data Input'!R115/1000)+('Out Years Data Input'!R116/1000)</f>
        <v>0</v>
      </c>
      <c r="H50" s="314">
        <f>('Out Years Data Input'!U115/1000)+('Out Years Data Input'!U116/1000)</f>
        <v>0</v>
      </c>
      <c r="I50" s="314">
        <f>('Out Years Data Input'!X115/1000)+('Out Years Data Input'!X116/1000)</f>
        <v>0</v>
      </c>
      <c r="J50" s="314">
        <f>('Out Years Data Input'!AA115/1000)+('Out Years Data Input'!AA116/1000)</f>
        <v>0</v>
      </c>
      <c r="K50" s="314">
        <f>('Out Years Data Input'!AD115/1000)+('Out Years Data Input'!AD116/1000)</f>
        <v>0</v>
      </c>
      <c r="L50" s="314">
        <f>('Out Years Data Input'!AG115/1000)+('Out Years Data Input'!AG116/1000)</f>
        <v>0</v>
      </c>
      <c r="M50" s="314">
        <f>('Out Years Data Input'!AJ115/1000)+('Out Years Data Input'!AJ116/1000)</f>
        <v>0</v>
      </c>
      <c r="N50" s="143">
        <f>AVERAGE(B50:M50)</f>
        <v>0</v>
      </c>
      <c r="O50" s="219"/>
      <c r="P50" s="219"/>
      <c r="Q50" s="219"/>
      <c r="R50" s="219"/>
      <c r="S50" s="219"/>
      <c r="T50" s="144"/>
      <c r="U50" s="144"/>
    </row>
    <row r="51" spans="1:21" x14ac:dyDescent="0.2">
      <c r="A51" s="128" t="s">
        <v>245</v>
      </c>
      <c r="B51" s="134">
        <f t="shared" ref="B51:M51" si="8">SUM(B48:B50)</f>
        <v>35.200000000000003</v>
      </c>
      <c r="C51" s="134">
        <f t="shared" si="8"/>
        <v>35.200000000000003</v>
      </c>
      <c r="D51" s="134">
        <f t="shared" si="8"/>
        <v>35.200000000000003</v>
      </c>
      <c r="E51" s="134">
        <f t="shared" si="8"/>
        <v>44.8</v>
      </c>
      <c r="F51" s="134">
        <f t="shared" si="8"/>
        <v>45.6</v>
      </c>
      <c r="G51" s="134">
        <f t="shared" si="8"/>
        <v>44.8</v>
      </c>
      <c r="H51" s="134">
        <f t="shared" si="8"/>
        <v>42.4</v>
      </c>
      <c r="I51" s="134">
        <f t="shared" si="8"/>
        <v>42.4</v>
      </c>
      <c r="J51" s="134">
        <f t="shared" si="8"/>
        <v>39.200000000000003</v>
      </c>
      <c r="K51" s="134">
        <f t="shared" si="8"/>
        <v>41.6</v>
      </c>
      <c r="L51" s="134">
        <f t="shared" si="8"/>
        <v>42.4</v>
      </c>
      <c r="M51" s="134">
        <f t="shared" si="8"/>
        <v>44</v>
      </c>
      <c r="N51" s="220">
        <f>AVERAGE(B51:M51)</f>
        <v>41.066666666666663</v>
      </c>
      <c r="O51" s="134"/>
      <c r="P51" s="134"/>
      <c r="Q51" s="134"/>
      <c r="R51" s="134"/>
      <c r="S51" s="217"/>
      <c r="T51" s="134"/>
      <c r="U51" s="134"/>
    </row>
    <row r="52" spans="1:21" x14ac:dyDescent="0.2">
      <c r="A52" s="128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217"/>
      <c r="Q52" s="217"/>
      <c r="R52" s="217"/>
      <c r="S52" s="217"/>
      <c r="T52" s="134"/>
      <c r="U52" s="134"/>
    </row>
    <row r="53" spans="1:21" x14ac:dyDescent="0.2">
      <c r="A53" s="128" t="s">
        <v>246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4"/>
      <c r="O53" s="134"/>
      <c r="P53" s="129"/>
      <c r="Q53" s="129"/>
      <c r="R53" s="129"/>
      <c r="S53" s="129"/>
      <c r="T53" s="134"/>
      <c r="U53" s="134"/>
    </row>
    <row r="54" spans="1:21" x14ac:dyDescent="0.2">
      <c r="A54" s="131" t="s">
        <v>20</v>
      </c>
      <c r="B54" s="218">
        <f>'Out Years Data Input'!C211/1000</f>
        <v>635.21400000000006</v>
      </c>
      <c r="C54" s="218">
        <f>'Out Years Data Input'!F211/1000</f>
        <v>635.21400000000006</v>
      </c>
      <c r="D54" s="218">
        <f>'Out Years Data Input'!I211/1000</f>
        <v>590.21400000000006</v>
      </c>
      <c r="E54" s="218">
        <f>'Out Years Data Input'!L211/1000</f>
        <v>590.21400000000006</v>
      </c>
      <c r="F54" s="218">
        <f>'Out Years Data Input'!O211/1000</f>
        <v>576.827</v>
      </c>
      <c r="G54" s="218">
        <f>'Out Years Data Input'!R211/1000</f>
        <v>581.04700000000003</v>
      </c>
      <c r="H54" s="218">
        <f>'Out Years Data Input'!U211/1000</f>
        <v>585.61699999999996</v>
      </c>
      <c r="I54" s="218">
        <f>'Out Years Data Input'!X211/1000</f>
        <v>582.39099999999996</v>
      </c>
      <c r="J54" s="218">
        <f>'Out Years Data Input'!AA211/1000</f>
        <v>576.04700000000003</v>
      </c>
      <c r="K54" s="218">
        <f>'Out Years Data Input'!AD211/1000</f>
        <v>552</v>
      </c>
      <c r="L54" s="218">
        <f>'Out Years Data Input'!AG211/1000</f>
        <v>597</v>
      </c>
      <c r="M54" s="218">
        <f>'Out Years Data Input'!AJ211/1000</f>
        <v>597</v>
      </c>
      <c r="N54" s="134">
        <f>AVERAGE(B54:M54)</f>
        <v>591.56541666666669</v>
      </c>
      <c r="O54" s="219"/>
      <c r="P54" s="219"/>
      <c r="Q54" s="219"/>
      <c r="R54" s="219"/>
      <c r="S54" s="219"/>
      <c r="T54" s="134"/>
      <c r="U54" s="134"/>
    </row>
    <row r="55" spans="1:21" x14ac:dyDescent="0.2">
      <c r="A55" s="131" t="s">
        <v>351</v>
      </c>
      <c r="B55" s="218">
        <f>'Out Years Data Input'!C88/1000</f>
        <v>244.29400000000001</v>
      </c>
      <c r="C55" s="218">
        <f>'Out Years Data Input'!F88/1000</f>
        <v>255.59399999999999</v>
      </c>
      <c r="D55" s="218">
        <f>'Out Years Data Input'!I88/1000</f>
        <v>233.29400000000001</v>
      </c>
      <c r="E55" s="218">
        <f>'Out Years Data Input'!L88/1000</f>
        <v>306.62</v>
      </c>
      <c r="F55" s="218">
        <f>'Out Years Data Input'!O88/1000</f>
        <v>308.791</v>
      </c>
      <c r="G55" s="218">
        <f>'Out Years Data Input'!R88/1000</f>
        <v>301.48599999999999</v>
      </c>
      <c r="H55" s="218">
        <f>'Out Years Data Input'!U88/1000</f>
        <v>287.577</v>
      </c>
      <c r="I55" s="218">
        <f>'Out Years Data Input'!X88/1000</f>
        <v>296.46699999999998</v>
      </c>
      <c r="J55" s="218">
        <f>'Out Years Data Input'!AA88/1000</f>
        <v>262.06299999999999</v>
      </c>
      <c r="K55" s="218">
        <f>'Out Years Data Input'!AD88/1000</f>
        <v>276.44</v>
      </c>
      <c r="L55" s="218">
        <f>'Out Years Data Input'!AG88/1000</f>
        <v>302.61</v>
      </c>
      <c r="M55" s="218">
        <f>'Out Years Data Input'!AJ88/1000</f>
        <v>301.05</v>
      </c>
      <c r="N55" s="134">
        <f>AVERAGE(B55:M55)</f>
        <v>281.35716666666673</v>
      </c>
      <c r="O55" s="219"/>
      <c r="P55" s="219"/>
      <c r="Q55" s="219"/>
      <c r="R55" s="219"/>
      <c r="S55" s="219"/>
      <c r="T55" s="134"/>
      <c r="U55" s="134"/>
    </row>
    <row r="56" spans="1:21" x14ac:dyDescent="0.2">
      <c r="A56" s="131" t="s">
        <v>352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134">
        <f>AVERAGE(B56:M56)</f>
        <v>0</v>
      </c>
      <c r="O56" s="219"/>
      <c r="P56" s="219"/>
      <c r="Q56" s="219"/>
      <c r="R56" s="219"/>
      <c r="S56" s="219"/>
      <c r="T56" s="134"/>
      <c r="U56" s="134"/>
    </row>
    <row r="57" spans="1:21" x14ac:dyDescent="0.2">
      <c r="A57" s="131" t="s">
        <v>247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134">
        <f>AVERAGE(B57:M57)</f>
        <v>0</v>
      </c>
      <c r="O57" s="219"/>
      <c r="P57" s="219"/>
      <c r="Q57" s="219"/>
      <c r="R57" s="219"/>
      <c r="S57" s="219"/>
      <c r="T57" s="134"/>
      <c r="U57" s="134"/>
    </row>
    <row r="58" spans="1:21" x14ac:dyDescent="0.2">
      <c r="A58" s="133" t="s">
        <v>355</v>
      </c>
      <c r="B58" s="314">
        <f>'Out Years Data Input'!C112/1000</f>
        <v>35.200000000000003</v>
      </c>
      <c r="C58" s="314">
        <f>'Out Years Data Input'!F112/1000</f>
        <v>23.9</v>
      </c>
      <c r="D58" s="314">
        <f>'Out Years Data Input'!I112/1000</f>
        <v>26.4</v>
      </c>
      <c r="E58" s="314">
        <f>'Out Years Data Input'!L112/1000</f>
        <v>23.9</v>
      </c>
      <c r="F58" s="314">
        <f>'Out Years Data Input'!O112/1000</f>
        <v>20</v>
      </c>
      <c r="G58" s="314">
        <f>'Out Years Data Input'!R112/1000</f>
        <v>23.9</v>
      </c>
      <c r="H58" s="314">
        <f>'Out Years Data Input'!U112/1000</f>
        <v>22.8</v>
      </c>
      <c r="I58" s="314">
        <f>'Out Years Data Input'!X112/1000</f>
        <v>12.2</v>
      </c>
      <c r="J58" s="314">
        <f>'Out Years Data Input'!AA112/1000</f>
        <v>20.2</v>
      </c>
      <c r="K58" s="314">
        <f>'Out Years Data Input'!AD112/1000</f>
        <v>10.6</v>
      </c>
      <c r="L58" s="314">
        <f>'Out Years Data Input'!AG112/1000</f>
        <v>13.8</v>
      </c>
      <c r="M58" s="314">
        <f>'Out Years Data Input'!AJ112/1000</f>
        <v>27.3</v>
      </c>
      <c r="N58" s="143">
        <f>AVERAGE(B58:M58)</f>
        <v>21.683333333333334</v>
      </c>
      <c r="O58" s="219"/>
      <c r="P58" s="219"/>
      <c r="Q58" s="219"/>
      <c r="R58" s="219"/>
      <c r="S58" s="219"/>
      <c r="T58" s="144"/>
      <c r="U58" s="144"/>
    </row>
    <row r="59" spans="1:21" x14ac:dyDescent="0.2">
      <c r="A59" s="128" t="s">
        <v>248</v>
      </c>
      <c r="B59" s="134">
        <f t="shared" ref="B59:N59" si="9">SUM(B55:B58)</f>
        <v>279.49400000000003</v>
      </c>
      <c r="C59" s="134">
        <f t="shared" si="9"/>
        <v>279.49399999999997</v>
      </c>
      <c r="D59" s="134">
        <f t="shared" si="9"/>
        <v>259.69400000000002</v>
      </c>
      <c r="E59" s="134">
        <f t="shared" si="9"/>
        <v>330.52</v>
      </c>
      <c r="F59" s="134">
        <f t="shared" si="9"/>
        <v>328.791</v>
      </c>
      <c r="G59" s="134">
        <f t="shared" si="9"/>
        <v>325.38599999999997</v>
      </c>
      <c r="H59" s="134">
        <f t="shared" si="9"/>
        <v>310.37700000000001</v>
      </c>
      <c r="I59" s="134">
        <f t="shared" si="9"/>
        <v>308.66699999999997</v>
      </c>
      <c r="J59" s="134">
        <f t="shared" si="9"/>
        <v>282.26299999999998</v>
      </c>
      <c r="K59" s="134">
        <f t="shared" si="9"/>
        <v>287.04000000000002</v>
      </c>
      <c r="L59" s="134">
        <f t="shared" si="9"/>
        <v>316.41000000000003</v>
      </c>
      <c r="M59" s="134">
        <f t="shared" si="9"/>
        <v>328.35</v>
      </c>
      <c r="N59" s="134">
        <f t="shared" si="9"/>
        <v>303.04050000000007</v>
      </c>
      <c r="O59" s="134"/>
      <c r="P59" s="134"/>
      <c r="Q59" s="134"/>
      <c r="R59" s="134"/>
      <c r="S59" s="217"/>
      <c r="T59" s="134"/>
      <c r="U59" s="134"/>
    </row>
    <row r="60" spans="1:21" x14ac:dyDescent="0.2">
      <c r="A60" s="128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217"/>
      <c r="Q60" s="217"/>
      <c r="R60" s="217"/>
      <c r="S60" s="217"/>
      <c r="T60" s="134"/>
      <c r="U60" s="134"/>
    </row>
    <row r="61" spans="1:21" x14ac:dyDescent="0.2">
      <c r="A61" s="128" t="s">
        <v>249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4"/>
      <c r="O61" s="134"/>
      <c r="P61" s="129"/>
      <c r="Q61" s="129"/>
      <c r="R61" s="129"/>
      <c r="S61" s="129"/>
      <c r="T61" s="134"/>
      <c r="U61" s="134"/>
    </row>
    <row r="62" spans="1:21" x14ac:dyDescent="0.2">
      <c r="A62" s="131" t="s">
        <v>20</v>
      </c>
      <c r="B62" s="218">
        <f>'Out Years Data Input'!C212/1000</f>
        <v>0</v>
      </c>
      <c r="C62" s="218">
        <f>'Out Years Data Input'!F212/1000</f>
        <v>0</v>
      </c>
      <c r="D62" s="218">
        <f>'Out Years Data Input'!I212/1000</f>
        <v>0</v>
      </c>
      <c r="E62" s="218">
        <f>'Out Years Data Input'!L212/1000</f>
        <v>0</v>
      </c>
      <c r="F62" s="218">
        <f>'Out Years Data Input'!O212/1000</f>
        <v>0</v>
      </c>
      <c r="G62" s="218">
        <f>'Out Years Data Input'!R212/1000</f>
        <v>0</v>
      </c>
      <c r="H62" s="218">
        <f>'Out Years Data Input'!U212/1000</f>
        <v>0</v>
      </c>
      <c r="I62" s="218">
        <f>'Out Years Data Input'!X212/1000</f>
        <v>0</v>
      </c>
      <c r="J62" s="218">
        <f>'Out Years Data Input'!AA212/1000</f>
        <v>0</v>
      </c>
      <c r="K62" s="218">
        <f>'Out Years Data Input'!AD212/1000</f>
        <v>0</v>
      </c>
      <c r="L62" s="218">
        <f>'Out Years Data Input'!AG212/1000</f>
        <v>0</v>
      </c>
      <c r="M62" s="218">
        <f>'Out Years Data Input'!AJ212/1000</f>
        <v>0</v>
      </c>
      <c r="N62" s="134">
        <f>AVERAGE(B62:M62)</f>
        <v>0</v>
      </c>
      <c r="O62" s="219"/>
      <c r="P62" s="219"/>
      <c r="Q62" s="219"/>
      <c r="R62" s="219"/>
      <c r="S62" s="219"/>
      <c r="T62" s="134"/>
      <c r="U62" s="134"/>
    </row>
    <row r="63" spans="1:21" x14ac:dyDescent="0.2">
      <c r="A63" s="131" t="s">
        <v>351</v>
      </c>
      <c r="B63" s="218">
        <f>'Out Years Data Input'!C89/1000</f>
        <v>0</v>
      </c>
      <c r="C63" s="218">
        <f>'Out Years Data Input'!F89/1000</f>
        <v>0</v>
      </c>
      <c r="D63" s="218">
        <f>'Out Years Data Input'!I89/1000</f>
        <v>0</v>
      </c>
      <c r="E63" s="218">
        <f>'Out Years Data Input'!L89/1000</f>
        <v>0</v>
      </c>
      <c r="F63" s="218">
        <f>'Out Years Data Input'!O89/1000</f>
        <v>0</v>
      </c>
      <c r="G63" s="218">
        <f>'Out Years Data Input'!R89/1000</f>
        <v>0</v>
      </c>
      <c r="H63" s="218">
        <f>'Out Years Data Input'!U89/1000</f>
        <v>0</v>
      </c>
      <c r="I63" s="218">
        <f>'Out Years Data Input'!X89/1000</f>
        <v>0</v>
      </c>
      <c r="J63" s="218">
        <f>'Out Years Data Input'!AA89/1000</f>
        <v>0</v>
      </c>
      <c r="K63" s="218">
        <f>'Out Years Data Input'!AD89/1000</f>
        <v>0</v>
      </c>
      <c r="L63" s="218">
        <f>'Out Years Data Input'!AG89/1000</f>
        <v>0</v>
      </c>
      <c r="M63" s="218">
        <f>'Out Years Data Input'!AJ89/1000</f>
        <v>0</v>
      </c>
      <c r="N63" s="134">
        <f>AVERAGE(B63:M63)</f>
        <v>0</v>
      </c>
      <c r="O63" s="219"/>
      <c r="P63" s="219"/>
      <c r="Q63" s="219"/>
      <c r="R63" s="219"/>
      <c r="S63" s="219"/>
      <c r="T63" s="134"/>
      <c r="U63" s="134"/>
    </row>
    <row r="64" spans="1:21" x14ac:dyDescent="0.2">
      <c r="A64" s="131" t="s">
        <v>352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134">
        <f>AVERAGE(B64:M64)</f>
        <v>0</v>
      </c>
      <c r="O64" s="219"/>
      <c r="P64" s="219"/>
      <c r="Q64" s="219"/>
      <c r="R64" s="219"/>
      <c r="S64" s="219"/>
      <c r="T64" s="134"/>
      <c r="U64" s="134"/>
    </row>
    <row r="65" spans="1:21" x14ac:dyDescent="0.2">
      <c r="A65" s="133" t="s">
        <v>355</v>
      </c>
      <c r="B65" s="314">
        <f>'Out Years Data Input'!C113/1000</f>
        <v>0</v>
      </c>
      <c r="C65" s="314">
        <f>'Out Years Data Input'!F113/1000</f>
        <v>0</v>
      </c>
      <c r="D65" s="314">
        <f>'Out Years Data Input'!I113/1000</f>
        <v>0</v>
      </c>
      <c r="E65" s="314">
        <f>'Out Years Data Input'!L113/1000</f>
        <v>0</v>
      </c>
      <c r="F65" s="314">
        <f>'Out Years Data Input'!O113/1000</f>
        <v>0</v>
      </c>
      <c r="G65" s="314">
        <f>'Out Years Data Input'!R113/1000</f>
        <v>0</v>
      </c>
      <c r="H65" s="314">
        <f>'Out Years Data Input'!U113/1000</f>
        <v>0</v>
      </c>
      <c r="I65" s="314">
        <f>'Out Years Data Input'!X113/1000</f>
        <v>0</v>
      </c>
      <c r="J65" s="314">
        <f>'Out Years Data Input'!AA113/1000</f>
        <v>0</v>
      </c>
      <c r="K65" s="314">
        <f>'Out Years Data Input'!AD113/1000</f>
        <v>0</v>
      </c>
      <c r="L65" s="314">
        <f>'Out Years Data Input'!AG113/1000</f>
        <v>0</v>
      </c>
      <c r="M65" s="314">
        <f>'Out Years Data Input'!AJ113/1000</f>
        <v>0</v>
      </c>
      <c r="N65" s="152">
        <f>AVERAGE(B65:M65)</f>
        <v>0</v>
      </c>
      <c r="O65" s="219"/>
      <c r="P65" s="219"/>
      <c r="Q65" s="219"/>
      <c r="R65" s="219"/>
      <c r="S65" s="219"/>
      <c r="T65" s="144"/>
      <c r="U65" s="144"/>
    </row>
    <row r="66" spans="1:21" x14ac:dyDescent="0.2">
      <c r="A66" s="128" t="s">
        <v>250</v>
      </c>
      <c r="B66" s="134">
        <f t="shared" ref="B66:M66" si="10">SUM(B63:B65)</f>
        <v>0</v>
      </c>
      <c r="C66" s="134">
        <f t="shared" si="10"/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  <c r="I66" s="134">
        <f t="shared" si="10"/>
        <v>0</v>
      </c>
      <c r="J66" s="134">
        <f t="shared" si="10"/>
        <v>0</v>
      </c>
      <c r="K66" s="134">
        <f t="shared" si="10"/>
        <v>0</v>
      </c>
      <c r="L66" s="134">
        <f t="shared" si="10"/>
        <v>0</v>
      </c>
      <c r="M66" s="134">
        <f t="shared" si="10"/>
        <v>0</v>
      </c>
      <c r="N66" s="220">
        <f>AVERAGE(B66:M66)</f>
        <v>0</v>
      </c>
      <c r="O66" s="134"/>
      <c r="P66" s="134"/>
      <c r="Q66" s="134"/>
      <c r="R66" s="134"/>
      <c r="S66" s="217"/>
      <c r="T66" s="134"/>
      <c r="U66" s="134"/>
    </row>
    <row r="67" spans="1:21" x14ac:dyDescent="0.2">
      <c r="A67" s="128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217"/>
      <c r="Q67" s="217"/>
      <c r="R67" s="217"/>
      <c r="S67" s="217"/>
      <c r="T67" s="134"/>
      <c r="U67" s="134"/>
    </row>
    <row r="68" spans="1:21" x14ac:dyDescent="0.2">
      <c r="A68" s="128" t="s">
        <v>251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4"/>
      <c r="O68" s="134"/>
      <c r="P68" s="129"/>
      <c r="Q68" s="129"/>
      <c r="R68" s="129"/>
      <c r="S68" s="129"/>
      <c r="T68" s="134"/>
      <c r="U68" s="134"/>
    </row>
    <row r="69" spans="1:21" x14ac:dyDescent="0.2">
      <c r="A69" s="131" t="s">
        <v>20</v>
      </c>
      <c r="B69" s="218">
        <f>'Out Years Data Input'!C213/1000</f>
        <v>80</v>
      </c>
      <c r="C69" s="218">
        <f>'Out Years Data Input'!F213/1000</f>
        <v>80</v>
      </c>
      <c r="D69" s="218">
        <f>'Out Years Data Input'!I213/1000</f>
        <v>80</v>
      </c>
      <c r="E69" s="218">
        <f>'Out Years Data Input'!L213/1000</f>
        <v>80</v>
      </c>
      <c r="F69" s="218">
        <f>'Out Years Data Input'!O213/1000</f>
        <v>80</v>
      </c>
      <c r="G69" s="218">
        <f>'Out Years Data Input'!R213/1000</f>
        <v>80</v>
      </c>
      <c r="H69" s="218">
        <f>'Out Years Data Input'!U213/1000</f>
        <v>80</v>
      </c>
      <c r="I69" s="218">
        <f>'Out Years Data Input'!X213/1000</f>
        <v>80</v>
      </c>
      <c r="J69" s="218">
        <f>'Out Years Data Input'!AA213/1000</f>
        <v>80</v>
      </c>
      <c r="K69" s="218">
        <f>'Out Years Data Input'!AD213/1000</f>
        <v>80</v>
      </c>
      <c r="L69" s="218">
        <f>'Out Years Data Input'!AG213/1000</f>
        <v>80</v>
      </c>
      <c r="M69" s="218">
        <f>'Out Years Data Input'!AJ213/1000</f>
        <v>80</v>
      </c>
      <c r="N69" s="134">
        <f>AVERAGE(B69:M69)</f>
        <v>80</v>
      </c>
      <c r="O69" s="219"/>
      <c r="P69" s="219"/>
      <c r="Q69" s="219"/>
      <c r="R69" s="219"/>
      <c r="S69" s="219"/>
      <c r="T69" s="134"/>
      <c r="U69" s="134"/>
    </row>
    <row r="70" spans="1:21" x14ac:dyDescent="0.2">
      <c r="A70" s="131" t="s">
        <v>351</v>
      </c>
      <c r="B70" s="218">
        <f>'Out Years Data Input'!C90/1000</f>
        <v>54.9</v>
      </c>
      <c r="C70" s="218">
        <f>'Out Years Data Input'!F90/1000</f>
        <v>59</v>
      </c>
      <c r="D70" s="218">
        <f>'Out Years Data Input'!I90/1000</f>
        <v>54.3</v>
      </c>
      <c r="E70" s="218">
        <f>'Out Years Data Input'!L90/1000</f>
        <v>65.599999999999994</v>
      </c>
      <c r="F70" s="218">
        <f>'Out Years Data Input'!O90/1000</f>
        <v>61</v>
      </c>
      <c r="G70" s="218">
        <f>'Out Years Data Input'!R90/1000</f>
        <v>47.4</v>
      </c>
      <c r="H70" s="218">
        <f>'Out Years Data Input'!U90/1000</f>
        <v>71.7</v>
      </c>
      <c r="I70" s="218">
        <f>'Out Years Data Input'!X90/1000</f>
        <v>63</v>
      </c>
      <c r="J70" s="218">
        <f>'Out Years Data Input'!AA90/1000</f>
        <v>70.3</v>
      </c>
      <c r="K70" s="218">
        <f>'Out Years Data Input'!AD90/1000</f>
        <v>50.4</v>
      </c>
      <c r="L70" s="218">
        <f>'Out Years Data Input'!AG90/1000</f>
        <v>58.6</v>
      </c>
      <c r="M70" s="218">
        <f>'Out Years Data Input'!AJ90/1000</f>
        <v>44.2</v>
      </c>
      <c r="N70" s="134">
        <f>AVERAGE(B70:M70)</f>
        <v>58.366666666666667</v>
      </c>
      <c r="O70" s="219"/>
      <c r="P70" s="219"/>
      <c r="Q70" s="219"/>
      <c r="R70" s="219"/>
      <c r="S70" s="219"/>
      <c r="T70" s="134"/>
      <c r="U70" s="134"/>
    </row>
    <row r="71" spans="1:21" x14ac:dyDescent="0.2">
      <c r="A71" s="131" t="s">
        <v>352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134">
        <f>AVERAGE(B71:M71)</f>
        <v>0</v>
      </c>
      <c r="O71" s="219"/>
      <c r="P71" s="219"/>
      <c r="Q71" s="219"/>
      <c r="R71" s="219"/>
      <c r="S71" s="219"/>
      <c r="T71" s="134"/>
      <c r="U71" s="134"/>
    </row>
    <row r="72" spans="1:21" x14ac:dyDescent="0.2">
      <c r="A72" s="133" t="s">
        <v>355</v>
      </c>
      <c r="B72" s="314">
        <f>'Out Years Data Input'!C114/1000</f>
        <v>1.9</v>
      </c>
      <c r="C72" s="314">
        <f>'Out Years Data Input'!F114/1000</f>
        <v>1.8</v>
      </c>
      <c r="D72" s="314">
        <f>'Out Years Data Input'!I114/1000</f>
        <v>2.5</v>
      </c>
      <c r="E72" s="314">
        <f>'Out Years Data Input'!L114/1000</f>
        <v>8</v>
      </c>
      <c r="F72" s="314">
        <f>'Out Years Data Input'!O114/1000</f>
        <v>7</v>
      </c>
      <c r="G72" s="314">
        <f>'Out Years Data Input'!R114/1000</f>
        <v>20.6</v>
      </c>
      <c r="H72" s="314">
        <f>'Out Years Data Input'!U114/1000</f>
        <v>1.9</v>
      </c>
      <c r="I72" s="314">
        <f>'Out Years Data Input'!X114/1000</f>
        <v>1.8</v>
      </c>
      <c r="J72" s="314">
        <f>'Out Years Data Input'!AA114/1000</f>
        <v>2.5</v>
      </c>
      <c r="K72" s="314">
        <f>'Out Years Data Input'!AD114/1000</f>
        <v>8</v>
      </c>
      <c r="L72" s="314">
        <f>'Out Years Data Input'!AG114/1000</f>
        <v>7</v>
      </c>
      <c r="M72" s="314">
        <f>'Out Years Data Input'!AJ114/1000</f>
        <v>20.6</v>
      </c>
      <c r="N72" s="143">
        <f>AVERAGE(B72:M72)</f>
        <v>6.9666666666666659</v>
      </c>
      <c r="O72" s="219"/>
      <c r="P72" s="219"/>
      <c r="Q72" s="219"/>
      <c r="R72" s="219"/>
      <c r="S72" s="219"/>
      <c r="T72" s="144"/>
      <c r="U72" s="144"/>
    </row>
    <row r="73" spans="1:21" x14ac:dyDescent="0.2">
      <c r="A73" s="128" t="s">
        <v>252</v>
      </c>
      <c r="B73" s="220">
        <f t="shared" ref="B73:N73" si="11">SUM(B70:B72)</f>
        <v>56.8</v>
      </c>
      <c r="C73" s="134">
        <f t="shared" si="11"/>
        <v>60.8</v>
      </c>
      <c r="D73" s="134">
        <f t="shared" si="11"/>
        <v>56.8</v>
      </c>
      <c r="E73" s="134">
        <f t="shared" si="11"/>
        <v>73.599999999999994</v>
      </c>
      <c r="F73" s="134">
        <f t="shared" si="11"/>
        <v>68</v>
      </c>
      <c r="G73" s="134">
        <f t="shared" si="11"/>
        <v>68</v>
      </c>
      <c r="H73" s="134">
        <f t="shared" si="11"/>
        <v>73.600000000000009</v>
      </c>
      <c r="I73" s="134">
        <f t="shared" si="11"/>
        <v>64.8</v>
      </c>
      <c r="J73" s="134">
        <f t="shared" si="11"/>
        <v>72.8</v>
      </c>
      <c r="K73" s="134">
        <f t="shared" si="11"/>
        <v>58.4</v>
      </c>
      <c r="L73" s="134">
        <f t="shared" si="11"/>
        <v>65.599999999999994</v>
      </c>
      <c r="M73" s="134">
        <f t="shared" si="11"/>
        <v>64.800000000000011</v>
      </c>
      <c r="N73" s="134">
        <f t="shared" si="11"/>
        <v>65.333333333333329</v>
      </c>
      <c r="O73" s="230"/>
      <c r="P73" s="230"/>
      <c r="Q73" s="230"/>
      <c r="R73" s="230"/>
      <c r="S73" s="230"/>
      <c r="T73" s="230"/>
      <c r="U73" s="230"/>
    </row>
    <row r="74" spans="1:21" x14ac:dyDescent="0.2">
      <c r="A74" s="137" t="s">
        <v>359</v>
      </c>
      <c r="B74" s="144">
        <f>SUM(B51+B59+B66+B73)</f>
        <v>371.49400000000003</v>
      </c>
      <c r="C74" s="138">
        <f t="shared" ref="C74:N74" si="12">SUM(C51+C59+C66+C73)</f>
        <v>375.49399999999997</v>
      </c>
      <c r="D74" s="138">
        <f t="shared" si="12"/>
        <v>351.69400000000002</v>
      </c>
      <c r="E74" s="138">
        <f t="shared" si="12"/>
        <v>448.91999999999996</v>
      </c>
      <c r="F74" s="138">
        <f t="shared" si="12"/>
        <v>442.39100000000002</v>
      </c>
      <c r="G74" s="138">
        <f t="shared" si="12"/>
        <v>438.18599999999998</v>
      </c>
      <c r="H74" s="138">
        <f t="shared" si="12"/>
        <v>426.37700000000001</v>
      </c>
      <c r="I74" s="138">
        <f t="shared" si="12"/>
        <v>415.86699999999996</v>
      </c>
      <c r="J74" s="138">
        <f t="shared" si="12"/>
        <v>394.26299999999998</v>
      </c>
      <c r="K74" s="138">
        <f t="shared" si="12"/>
        <v>387.04</v>
      </c>
      <c r="L74" s="138">
        <f t="shared" si="12"/>
        <v>424.40999999999997</v>
      </c>
      <c r="M74" s="138">
        <f t="shared" si="12"/>
        <v>437.15000000000003</v>
      </c>
      <c r="N74" s="138">
        <f t="shared" si="12"/>
        <v>409.44050000000004</v>
      </c>
      <c r="O74" s="231"/>
      <c r="P74" s="231"/>
      <c r="Q74" s="231"/>
      <c r="R74" s="231"/>
      <c r="S74" s="231"/>
      <c r="T74" s="231"/>
      <c r="U74" s="231"/>
    </row>
    <row r="75" spans="1:21" x14ac:dyDescent="0.2">
      <c r="A75" s="137" t="s">
        <v>360</v>
      </c>
      <c r="B75" s="138">
        <f>SUM(B47+B54+B62+B69)</f>
        <v>795.21400000000006</v>
      </c>
      <c r="C75" s="138">
        <f t="shared" ref="C75:N75" si="13">SUM(C47+C54+C62+C69)</f>
        <v>795.21400000000006</v>
      </c>
      <c r="D75" s="138">
        <f t="shared" si="13"/>
        <v>750.21400000000006</v>
      </c>
      <c r="E75" s="138">
        <f t="shared" si="13"/>
        <v>750.21400000000006</v>
      </c>
      <c r="F75" s="138">
        <f t="shared" si="13"/>
        <v>736.827</v>
      </c>
      <c r="G75" s="138">
        <f t="shared" si="13"/>
        <v>741.04700000000003</v>
      </c>
      <c r="H75" s="138">
        <f t="shared" si="13"/>
        <v>745.61699999999996</v>
      </c>
      <c r="I75" s="138">
        <f t="shared" si="13"/>
        <v>742.39099999999996</v>
      </c>
      <c r="J75" s="138">
        <f t="shared" si="13"/>
        <v>736.04700000000003</v>
      </c>
      <c r="K75" s="138">
        <f t="shared" si="13"/>
        <v>712</v>
      </c>
      <c r="L75" s="138">
        <f t="shared" si="13"/>
        <v>757</v>
      </c>
      <c r="M75" s="138">
        <f t="shared" si="13"/>
        <v>757</v>
      </c>
      <c r="N75" s="138">
        <f t="shared" si="13"/>
        <v>751.56541666666669</v>
      </c>
      <c r="O75" s="231"/>
      <c r="P75" s="231"/>
      <c r="Q75" s="231"/>
      <c r="R75" s="231"/>
      <c r="S75" s="231"/>
      <c r="T75" s="231"/>
      <c r="U75" s="231"/>
    </row>
    <row r="76" spans="1:21" x14ac:dyDescent="0.2">
      <c r="A76" s="128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219"/>
      <c r="Q76" s="219"/>
      <c r="R76" s="219"/>
      <c r="S76" s="219"/>
      <c r="T76" s="152"/>
      <c r="U76" s="152"/>
    </row>
    <row r="77" spans="1:21" ht="15.75" x14ac:dyDescent="0.2">
      <c r="A77" s="125" t="s">
        <v>255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34"/>
      <c r="O77" s="134"/>
      <c r="P77" s="219"/>
      <c r="Q77" s="219"/>
      <c r="R77" s="219"/>
      <c r="S77" s="219"/>
      <c r="T77" s="134"/>
      <c r="U77" s="134"/>
    </row>
    <row r="78" spans="1:21" x14ac:dyDescent="0.2">
      <c r="A78" s="128" t="s">
        <v>600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4"/>
      <c r="O78" s="134"/>
      <c r="P78" s="129"/>
      <c r="Q78" s="129"/>
      <c r="R78" s="129"/>
      <c r="S78" s="129"/>
      <c r="T78" s="134"/>
      <c r="U78" s="134"/>
    </row>
    <row r="79" spans="1:21" x14ac:dyDescent="0.2">
      <c r="A79" s="131" t="s">
        <v>361</v>
      </c>
      <c r="B79" s="218">
        <f>'Out Years Data Input'!C217/1000</f>
        <v>333</v>
      </c>
      <c r="C79" s="218">
        <f>'Out Years Data Input'!F217/1000</f>
        <v>333</v>
      </c>
      <c r="D79" s="218">
        <f>'Out Years Data Input'!I217/1000</f>
        <v>333</v>
      </c>
      <c r="E79" s="218">
        <f>'Out Years Data Input'!L217/1000</f>
        <v>333</v>
      </c>
      <c r="F79" s="218">
        <f>'Out Years Data Input'!O217/1000</f>
        <v>333</v>
      </c>
      <c r="G79" s="218">
        <f>'Out Years Data Input'!R217/1000</f>
        <v>333</v>
      </c>
      <c r="H79" s="218">
        <f>'Out Years Data Input'!U217/1000</f>
        <v>362</v>
      </c>
      <c r="I79" s="218">
        <f>'Out Years Data Input'!X217/1000</f>
        <v>362</v>
      </c>
      <c r="J79" s="218">
        <f>'Out Years Data Input'!AA217/1000</f>
        <v>362</v>
      </c>
      <c r="K79" s="218">
        <f>'Out Years Data Input'!AD217/1000</f>
        <v>333</v>
      </c>
      <c r="L79" s="218">
        <f>'Out Years Data Input'!AG217/1000</f>
        <v>333</v>
      </c>
      <c r="M79" s="218">
        <f>'Out Years Data Input'!AJ217/1000</f>
        <v>333</v>
      </c>
      <c r="N79" s="134">
        <f>AVERAGE(B79:M79)</f>
        <v>340.25</v>
      </c>
      <c r="O79" s="219"/>
      <c r="P79" s="219"/>
      <c r="Q79" s="219"/>
      <c r="R79" s="219"/>
      <c r="S79" s="219"/>
      <c r="T79" s="134"/>
      <c r="U79" s="134"/>
    </row>
    <row r="80" spans="1:21" x14ac:dyDescent="0.2">
      <c r="A80" s="131" t="s">
        <v>231</v>
      </c>
      <c r="B80" s="218">
        <f>'Out Years Data Input'!C94/1000</f>
        <v>166.57</v>
      </c>
      <c r="C80" s="218">
        <f>'Out Years Data Input'!F94/1000</f>
        <v>273.14</v>
      </c>
      <c r="D80" s="218">
        <f>'Out Years Data Input'!I94/1000</f>
        <v>277.39999999999998</v>
      </c>
      <c r="E80" s="218">
        <f>'Out Years Data Input'!L94/1000</f>
        <v>188.06</v>
      </c>
      <c r="F80" s="218">
        <f>'Out Years Data Input'!O94/1000</f>
        <v>166.65</v>
      </c>
      <c r="G80" s="218">
        <f>'Out Years Data Input'!R94/1000</f>
        <v>185</v>
      </c>
      <c r="H80" s="218">
        <f>'Out Years Data Input'!U94/1000</f>
        <v>124.92</v>
      </c>
      <c r="I80" s="218">
        <f>'Out Years Data Input'!X94/1000</f>
        <v>239.72</v>
      </c>
      <c r="J80" s="218">
        <f>'Out Years Data Input'!AA94/1000</f>
        <v>171.02</v>
      </c>
      <c r="K80" s="218">
        <f>'Out Years Data Input'!AD94/1000</f>
        <v>223.75</v>
      </c>
      <c r="L80" s="218">
        <f>'Out Years Data Input'!AG94/1000</f>
        <v>283.69</v>
      </c>
      <c r="M80" s="218">
        <f>'Out Years Data Input'!AJ94/1000</f>
        <v>297.5</v>
      </c>
      <c r="N80" s="134">
        <f>AVERAGE(B80:M80)</f>
        <v>216.45166666666668</v>
      </c>
      <c r="O80" s="219"/>
      <c r="P80" s="219"/>
      <c r="Q80" s="219"/>
      <c r="R80" s="219"/>
      <c r="S80" s="219"/>
      <c r="T80" s="134"/>
      <c r="U80" s="134"/>
    </row>
    <row r="81" spans="1:22" x14ac:dyDescent="0.2">
      <c r="A81" s="131" t="s">
        <v>352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134">
        <f>AVERAGE(B81:M81)</f>
        <v>0</v>
      </c>
      <c r="O81" s="219"/>
      <c r="P81" s="219"/>
      <c r="Q81" s="219"/>
      <c r="R81" s="219"/>
      <c r="S81" s="219"/>
      <c r="T81" s="134"/>
      <c r="U81" s="134"/>
    </row>
    <row r="82" spans="1:22" x14ac:dyDescent="0.2">
      <c r="A82" s="133" t="s">
        <v>17</v>
      </c>
      <c r="B82" s="314">
        <f>'Out Years Data Input'!C118/1000</f>
        <v>129.80000000000001</v>
      </c>
      <c r="C82" s="314">
        <f>'Out Years Data Input'!F118/1000</f>
        <v>53.2</v>
      </c>
      <c r="D82" s="314">
        <f>'Out Years Data Input'!I118/1000</f>
        <v>55.6</v>
      </c>
      <c r="E82" s="314">
        <f>'Out Years Data Input'!L118/1000</f>
        <v>85</v>
      </c>
      <c r="F82" s="314">
        <f>'Out Years Data Input'!O118/1000</f>
        <v>116.4</v>
      </c>
      <c r="G82" s="314">
        <f>'Out Years Data Input'!R118/1000</f>
        <v>148</v>
      </c>
      <c r="H82" s="314">
        <f>'Out Years Data Input'!U118/1000</f>
        <v>114</v>
      </c>
      <c r="I82" s="314">
        <f>'Out Years Data Input'!X118/1000</f>
        <v>107.8</v>
      </c>
      <c r="J82" s="314">
        <f>'Out Years Data Input'!AA118/1000</f>
        <v>86</v>
      </c>
      <c r="K82" s="314">
        <f>'Out Years Data Input'!AD118/1000</f>
        <v>26</v>
      </c>
      <c r="L82" s="314">
        <f>'Out Years Data Input'!AG118/1000</f>
        <v>26</v>
      </c>
      <c r="M82" s="314">
        <f>'Out Years Data Input'!AJ118/1000</f>
        <v>102.1</v>
      </c>
      <c r="N82" s="152">
        <f>AVERAGE(B82:M82)</f>
        <v>87.49166666666666</v>
      </c>
      <c r="O82" s="219"/>
      <c r="P82" s="219"/>
      <c r="Q82" s="219"/>
      <c r="R82" s="219"/>
      <c r="S82" s="219"/>
      <c r="T82" s="144"/>
      <c r="U82" s="144"/>
    </row>
    <row r="83" spans="1:22" x14ac:dyDescent="0.2">
      <c r="A83" s="128" t="s">
        <v>362</v>
      </c>
      <c r="B83" s="134">
        <f t="shared" ref="B83:M83" si="14">SUM(B80:B82)</f>
        <v>296.37</v>
      </c>
      <c r="C83" s="134">
        <f t="shared" si="14"/>
        <v>326.33999999999997</v>
      </c>
      <c r="D83" s="134">
        <f t="shared" si="14"/>
        <v>333</v>
      </c>
      <c r="E83" s="134">
        <f t="shared" si="14"/>
        <v>273.06</v>
      </c>
      <c r="F83" s="134">
        <f t="shared" si="14"/>
        <v>283.05</v>
      </c>
      <c r="G83" s="134">
        <f t="shared" si="14"/>
        <v>333</v>
      </c>
      <c r="H83" s="134">
        <f t="shared" si="14"/>
        <v>238.92000000000002</v>
      </c>
      <c r="I83" s="134">
        <f t="shared" si="14"/>
        <v>347.52</v>
      </c>
      <c r="J83" s="134">
        <f t="shared" si="14"/>
        <v>257.02</v>
      </c>
      <c r="K83" s="134">
        <f t="shared" si="14"/>
        <v>249.75</v>
      </c>
      <c r="L83" s="134">
        <f t="shared" si="14"/>
        <v>309.69</v>
      </c>
      <c r="M83" s="134">
        <f t="shared" si="14"/>
        <v>399.6</v>
      </c>
      <c r="N83" s="220">
        <f>AVERAGE(B83:M83)</f>
        <v>303.94333333333333</v>
      </c>
      <c r="O83" s="134"/>
      <c r="P83" s="134"/>
      <c r="Q83" s="134"/>
      <c r="R83" s="134"/>
      <c r="S83" s="134"/>
      <c r="T83" s="134"/>
      <c r="U83" s="134"/>
    </row>
    <row r="84" spans="1:22" x14ac:dyDescent="0.2">
      <c r="A84" s="128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17"/>
      <c r="Q84" s="217"/>
      <c r="R84" s="217"/>
      <c r="S84" s="217"/>
      <c r="T84" s="134"/>
      <c r="U84" s="134"/>
    </row>
    <row r="85" spans="1:22" x14ac:dyDescent="0.2">
      <c r="A85" s="128" t="s">
        <v>256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4"/>
      <c r="O85" s="134"/>
      <c r="P85" s="129"/>
      <c r="Q85" s="129"/>
      <c r="R85" s="129"/>
      <c r="S85" s="129"/>
      <c r="T85" s="134"/>
      <c r="U85" s="134"/>
    </row>
    <row r="86" spans="1:22" x14ac:dyDescent="0.2">
      <c r="A86" s="131" t="s">
        <v>361</v>
      </c>
      <c r="B86" s="218">
        <f>'Out Years Data Input'!C219/1000</f>
        <v>259</v>
      </c>
      <c r="C86" s="218">
        <f>'Out Years Data Input'!F219/1000</f>
        <v>259</v>
      </c>
      <c r="D86" s="218">
        <f>'Out Years Data Input'!I219/1000</f>
        <v>259</v>
      </c>
      <c r="E86" s="218">
        <f>'Out Years Data Input'!L219/1000</f>
        <v>259</v>
      </c>
      <c r="F86" s="218">
        <f>'Out Years Data Input'!O219/1000</f>
        <v>259</v>
      </c>
      <c r="G86" s="218">
        <f>'Out Years Data Input'!R219/1000</f>
        <v>259</v>
      </c>
      <c r="H86" s="218">
        <f>'Out Years Data Input'!U219/1000</f>
        <v>259</v>
      </c>
      <c r="I86" s="218">
        <f>'Out Years Data Input'!X219/1000</f>
        <v>259</v>
      </c>
      <c r="J86" s="218">
        <f>'Out Years Data Input'!AA219/1000</f>
        <v>259</v>
      </c>
      <c r="K86" s="218">
        <f>'Out Years Data Input'!AD219/1000</f>
        <v>259</v>
      </c>
      <c r="L86" s="218">
        <f>'Out Years Data Input'!AG219/1000</f>
        <v>259</v>
      </c>
      <c r="M86" s="218">
        <f>'Out Years Data Input'!AJ219/1000</f>
        <v>259</v>
      </c>
      <c r="N86" s="134">
        <f>AVERAGE(B86:M86)</f>
        <v>259</v>
      </c>
      <c r="O86" s="219"/>
      <c r="P86" s="219"/>
      <c r="Q86" s="219"/>
      <c r="R86" s="219"/>
      <c r="S86" s="219"/>
      <c r="T86" s="134"/>
      <c r="U86" s="134"/>
    </row>
    <row r="87" spans="1:22" x14ac:dyDescent="0.2">
      <c r="A87" s="131" t="s">
        <v>231</v>
      </c>
      <c r="B87" s="218">
        <f>'Out Years Data Input'!C96/1000</f>
        <v>201.09</v>
      </c>
      <c r="C87" s="218">
        <f>'Out Years Data Input'!F96/1000</f>
        <v>195.32</v>
      </c>
      <c r="D87" s="218">
        <f>'Out Years Data Input'!I96/1000</f>
        <v>185.33</v>
      </c>
      <c r="E87" s="218">
        <f>'Out Years Data Input'!L96/1000</f>
        <v>176.27</v>
      </c>
      <c r="F87" s="218">
        <f>'Out Years Data Input'!O96/1000</f>
        <v>172.62</v>
      </c>
      <c r="G87" s="218">
        <f>'Out Years Data Input'!R96/1000</f>
        <v>168.96</v>
      </c>
      <c r="H87" s="218">
        <f>'Out Years Data Input'!U96/1000</f>
        <v>212.56</v>
      </c>
      <c r="I87" s="218">
        <f>'Out Years Data Input'!X96/1000</f>
        <v>189.24</v>
      </c>
      <c r="J87" s="218">
        <f>'Out Years Data Input'!AA96/1000</f>
        <v>212.95</v>
      </c>
      <c r="K87" s="218">
        <f>'Out Years Data Input'!AD96/1000</f>
        <v>174.56</v>
      </c>
      <c r="L87" s="218">
        <f>'Out Years Data Input'!AG96/1000</f>
        <v>169.38</v>
      </c>
      <c r="M87" s="218">
        <f>'Out Years Data Input'!AJ96/1000</f>
        <v>159.24</v>
      </c>
      <c r="N87" s="134">
        <f>AVERAGE(B87:M87)</f>
        <v>184.79333333333329</v>
      </c>
      <c r="O87" s="219"/>
      <c r="P87" s="219"/>
      <c r="Q87" s="219"/>
      <c r="R87" s="219"/>
      <c r="S87" s="219"/>
      <c r="T87" s="134"/>
      <c r="U87" s="134"/>
    </row>
    <row r="88" spans="1:22" x14ac:dyDescent="0.2">
      <c r="A88" s="131" t="s">
        <v>352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8">
        <v>0</v>
      </c>
      <c r="H88" s="218">
        <v>0</v>
      </c>
      <c r="I88" s="218">
        <v>0</v>
      </c>
      <c r="J88" s="218">
        <v>0</v>
      </c>
      <c r="K88" s="218">
        <v>0</v>
      </c>
      <c r="L88" s="218">
        <v>0</v>
      </c>
      <c r="M88" s="218">
        <v>0</v>
      </c>
      <c r="N88" s="134">
        <f>AVERAGE(B88:M88)</f>
        <v>0</v>
      </c>
      <c r="O88" s="219"/>
      <c r="P88" s="219"/>
      <c r="Q88" s="219"/>
      <c r="R88" s="219"/>
      <c r="S88" s="219"/>
      <c r="T88" s="134"/>
      <c r="U88" s="134"/>
    </row>
    <row r="89" spans="1:22" x14ac:dyDescent="0.2">
      <c r="A89" s="133" t="s">
        <v>17</v>
      </c>
      <c r="B89" s="314">
        <f>'Out Years Data Input'!C120/1000</f>
        <v>8.6999999999999993</v>
      </c>
      <c r="C89" s="314">
        <f>'Out Years Data Input'!F120/1000</f>
        <v>6.7</v>
      </c>
      <c r="D89" s="314">
        <f>'Out Years Data Input'!I120/1000</f>
        <v>14.1</v>
      </c>
      <c r="E89" s="314">
        <f>'Out Years Data Input'!L120/1000</f>
        <v>12.8</v>
      </c>
      <c r="F89" s="314">
        <f>'Out Years Data Input'!O120/1000</f>
        <v>29.4</v>
      </c>
      <c r="G89" s="314">
        <f>'Out Years Data Input'!R120/1000</f>
        <v>22.7</v>
      </c>
      <c r="H89" s="314">
        <f>'Out Years Data Input'!U120/1000</f>
        <v>5</v>
      </c>
      <c r="I89" s="314">
        <f>'Out Years Data Input'!X120/1000</f>
        <v>7.6</v>
      </c>
      <c r="J89" s="314">
        <f>'Out Years Data Input'!AA120/1000</f>
        <v>7.2</v>
      </c>
      <c r="K89" s="314">
        <f>'Out Years Data Input'!AD120/1000</f>
        <v>43</v>
      </c>
      <c r="L89" s="314">
        <f>'Out Years Data Input'!AG120/1000</f>
        <v>43</v>
      </c>
      <c r="M89" s="314">
        <f>'Out Years Data Input'!AJ120/1000</f>
        <v>11.7</v>
      </c>
      <c r="N89" s="143">
        <f>AVERAGE(B89:M89)</f>
        <v>17.658333333333331</v>
      </c>
      <c r="O89" s="219"/>
      <c r="P89" s="219"/>
      <c r="Q89" s="219"/>
      <c r="R89" s="219"/>
      <c r="S89" s="219"/>
      <c r="T89" s="144"/>
      <c r="U89" s="144"/>
    </row>
    <row r="90" spans="1:22" s="222" customFormat="1" x14ac:dyDescent="0.15">
      <c r="A90" s="128" t="s">
        <v>257</v>
      </c>
      <c r="B90" s="220">
        <f>SUM(B87:B89)</f>
        <v>209.79</v>
      </c>
      <c r="C90" s="220">
        <f t="shared" ref="C90:N90" si="15">SUM(C87:C89)</f>
        <v>202.01999999999998</v>
      </c>
      <c r="D90" s="220">
        <f t="shared" si="15"/>
        <v>199.43</v>
      </c>
      <c r="E90" s="220">
        <f t="shared" si="15"/>
        <v>189.07000000000002</v>
      </c>
      <c r="F90" s="220">
        <f t="shared" si="15"/>
        <v>202.02</v>
      </c>
      <c r="G90" s="220">
        <f t="shared" si="15"/>
        <v>191.66</v>
      </c>
      <c r="H90" s="220">
        <f t="shared" si="15"/>
        <v>217.56</v>
      </c>
      <c r="I90" s="220">
        <f t="shared" si="15"/>
        <v>196.84</v>
      </c>
      <c r="J90" s="220">
        <f t="shared" si="15"/>
        <v>220.14999999999998</v>
      </c>
      <c r="K90" s="220">
        <f t="shared" si="15"/>
        <v>217.56</v>
      </c>
      <c r="L90" s="220">
        <f t="shared" si="15"/>
        <v>212.38</v>
      </c>
      <c r="M90" s="220">
        <f t="shared" si="15"/>
        <v>170.94</v>
      </c>
      <c r="N90" s="220">
        <f t="shared" si="15"/>
        <v>202.45166666666663</v>
      </c>
      <c r="O90" s="230"/>
      <c r="P90" s="230"/>
      <c r="Q90" s="230"/>
      <c r="R90" s="230"/>
      <c r="S90" s="217"/>
      <c r="T90" s="230"/>
      <c r="U90" s="230"/>
      <c r="V90" s="134"/>
    </row>
    <row r="91" spans="1:22" s="222" customFormat="1" x14ac:dyDescent="0.15">
      <c r="A91" s="137" t="s">
        <v>363</v>
      </c>
      <c r="B91" s="144">
        <f>SUM(B83+B90)</f>
        <v>506.15999999999997</v>
      </c>
      <c r="C91" s="144">
        <f t="shared" ref="C91:N91" si="16">SUM(C83+C90)</f>
        <v>528.3599999999999</v>
      </c>
      <c r="D91" s="144">
        <f t="shared" si="16"/>
        <v>532.43000000000006</v>
      </c>
      <c r="E91" s="144">
        <f t="shared" si="16"/>
        <v>462.13</v>
      </c>
      <c r="F91" s="144">
        <f t="shared" si="16"/>
        <v>485.07000000000005</v>
      </c>
      <c r="G91" s="144">
        <f t="shared" si="16"/>
        <v>524.66</v>
      </c>
      <c r="H91" s="144">
        <f t="shared" si="16"/>
        <v>456.48</v>
      </c>
      <c r="I91" s="144">
        <f t="shared" si="16"/>
        <v>544.36</v>
      </c>
      <c r="J91" s="144">
        <f t="shared" si="16"/>
        <v>477.16999999999996</v>
      </c>
      <c r="K91" s="144">
        <f t="shared" si="16"/>
        <v>467.31</v>
      </c>
      <c r="L91" s="144">
        <f t="shared" si="16"/>
        <v>522.06999999999994</v>
      </c>
      <c r="M91" s="144">
        <f t="shared" si="16"/>
        <v>570.54</v>
      </c>
      <c r="N91" s="144">
        <f t="shared" si="16"/>
        <v>506.39499999999998</v>
      </c>
      <c r="O91" s="232"/>
      <c r="P91" s="232"/>
      <c r="Q91" s="232"/>
      <c r="R91" s="232"/>
      <c r="S91" s="232"/>
      <c r="T91" s="230"/>
      <c r="U91" s="230"/>
      <c r="V91" s="134"/>
    </row>
    <row r="92" spans="1:22" s="222" customFormat="1" x14ac:dyDescent="0.15">
      <c r="A92" s="137" t="s">
        <v>364</v>
      </c>
      <c r="B92" s="138">
        <f>SUM(B79+B86)</f>
        <v>592</v>
      </c>
      <c r="C92" s="138">
        <f t="shared" ref="C92:N92" si="17">SUM(C79+C86)</f>
        <v>592</v>
      </c>
      <c r="D92" s="138">
        <f t="shared" si="17"/>
        <v>592</v>
      </c>
      <c r="E92" s="138">
        <f t="shared" si="17"/>
        <v>592</v>
      </c>
      <c r="F92" s="138">
        <f t="shared" si="17"/>
        <v>592</v>
      </c>
      <c r="G92" s="138">
        <f t="shared" si="17"/>
        <v>592</v>
      </c>
      <c r="H92" s="138">
        <f t="shared" si="17"/>
        <v>621</v>
      </c>
      <c r="I92" s="138">
        <f t="shared" si="17"/>
        <v>621</v>
      </c>
      <c r="J92" s="138">
        <f t="shared" si="17"/>
        <v>621</v>
      </c>
      <c r="K92" s="138">
        <f t="shared" si="17"/>
        <v>592</v>
      </c>
      <c r="L92" s="138">
        <f t="shared" si="17"/>
        <v>592</v>
      </c>
      <c r="M92" s="138">
        <f t="shared" si="17"/>
        <v>592</v>
      </c>
      <c r="N92" s="138">
        <f t="shared" si="17"/>
        <v>599.25</v>
      </c>
      <c r="O92" s="232"/>
      <c r="P92" s="232"/>
      <c r="Q92" s="232"/>
      <c r="R92" s="232"/>
      <c r="S92" s="232"/>
      <c r="T92" s="230"/>
      <c r="U92" s="230"/>
      <c r="V92" s="134"/>
    </row>
    <row r="93" spans="1:22" s="222" customFormat="1" x14ac:dyDescent="0.15">
      <c r="A93" s="128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233"/>
      <c r="Q93" s="233"/>
      <c r="R93" s="233"/>
      <c r="S93" s="233"/>
      <c r="T93" s="152"/>
      <c r="U93" s="152"/>
      <c r="V93" s="134"/>
    </row>
    <row r="94" spans="1:22" ht="15.75" x14ac:dyDescent="0.2">
      <c r="A94" s="125" t="s">
        <v>261</v>
      </c>
      <c r="B94" s="149"/>
      <c r="C94" s="149"/>
      <c r="D94" s="149"/>
      <c r="E94" s="149"/>
      <c r="F94" s="234"/>
      <c r="G94" s="149"/>
      <c r="H94" s="235"/>
      <c r="I94" s="149"/>
      <c r="J94" s="149"/>
      <c r="K94" s="149"/>
      <c r="L94" s="149"/>
      <c r="M94" s="149"/>
      <c r="N94" s="236"/>
      <c r="O94" s="236"/>
      <c r="P94" s="237"/>
      <c r="Q94" s="237"/>
      <c r="R94" s="237"/>
      <c r="S94" s="237"/>
      <c r="T94" s="236"/>
      <c r="U94" s="236"/>
    </row>
    <row r="95" spans="1:22" x14ac:dyDescent="0.2">
      <c r="A95" s="128" t="s">
        <v>365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4"/>
      <c r="O95" s="134"/>
      <c r="P95" s="129"/>
      <c r="Q95" s="129"/>
      <c r="R95" s="129"/>
      <c r="S95" s="129"/>
      <c r="T95" s="134"/>
      <c r="U95" s="134"/>
    </row>
    <row r="96" spans="1:22" x14ac:dyDescent="0.2">
      <c r="A96" s="131" t="s">
        <v>20</v>
      </c>
      <c r="B96" s="218">
        <f>'Out Years Data Input'!C223/1000</f>
        <v>497.5</v>
      </c>
      <c r="C96" s="218">
        <f>'Out Years Data Input'!F223/1000</f>
        <v>497.5</v>
      </c>
      <c r="D96" s="218">
        <f>'Out Years Data Input'!I223/1000</f>
        <v>477.5</v>
      </c>
      <c r="E96" s="218">
        <f>'Out Years Data Input'!L223/1000</f>
        <v>477.5</v>
      </c>
      <c r="F96" s="218">
        <f>'Out Years Data Input'!O223/1000</f>
        <v>477.5</v>
      </c>
      <c r="G96" s="218">
        <f>'Out Years Data Input'!R223/1000</f>
        <v>477.5</v>
      </c>
      <c r="H96" s="218">
        <f>'Out Years Data Input'!U223/1000</f>
        <v>477.5</v>
      </c>
      <c r="I96" s="218">
        <f>'Out Years Data Input'!X223/1000</f>
        <v>477.5</v>
      </c>
      <c r="J96" s="218">
        <f>'Out Years Data Input'!AA223/1000</f>
        <v>477.5</v>
      </c>
      <c r="K96" s="218">
        <f>'Out Years Data Input'!AD223/1000</f>
        <v>477.5</v>
      </c>
      <c r="L96" s="218">
        <f>'Out Years Data Input'!AG223/1000</f>
        <v>456</v>
      </c>
      <c r="M96" s="218">
        <f>'Out Years Data Input'!AJ223/1000</f>
        <v>456</v>
      </c>
      <c r="N96" s="134">
        <f>AVERAGE(B96:M96)</f>
        <v>477.25</v>
      </c>
      <c r="O96" s="219"/>
      <c r="P96" s="219"/>
      <c r="Q96" s="219"/>
      <c r="R96" s="219"/>
      <c r="S96" s="219"/>
      <c r="T96" s="134"/>
      <c r="U96" s="134"/>
    </row>
    <row r="97" spans="1:22" x14ac:dyDescent="0.2">
      <c r="A97" s="131" t="s">
        <v>231</v>
      </c>
      <c r="B97" s="218">
        <f>'Out Years Data Input'!C100/1000</f>
        <v>477.6</v>
      </c>
      <c r="C97" s="218">
        <f>'Out Years Data Input'!F100/1000</f>
        <v>487.55</v>
      </c>
      <c r="D97" s="218">
        <f>'Out Years Data Input'!I100/1000</f>
        <v>453.625</v>
      </c>
      <c r="E97" s="218">
        <f>'Out Years Data Input'!L100/1000</f>
        <v>439.3</v>
      </c>
      <c r="F97" s="218">
        <f>'Out Years Data Input'!O100/1000</f>
        <v>410.65</v>
      </c>
      <c r="G97" s="218">
        <f>'Out Years Data Input'!R100/1000</f>
        <v>405.875</v>
      </c>
      <c r="H97" s="218">
        <f>'Out Years Data Input'!U100/1000</f>
        <v>453.625</v>
      </c>
      <c r="I97" s="218">
        <f>'Out Years Data Input'!X100/1000</f>
        <v>429.75</v>
      </c>
      <c r="J97" s="218">
        <f>'Out Years Data Input'!AA100/1000</f>
        <v>434.52499999999998</v>
      </c>
      <c r="K97" s="218">
        <f>'Out Years Data Input'!AD100/1000</f>
        <v>439.3</v>
      </c>
      <c r="L97" s="218">
        <f>'Out Years Data Input'!AG100/1000</f>
        <v>414.96</v>
      </c>
      <c r="M97" s="218">
        <f>'Out Years Data Input'!AJ100/1000</f>
        <v>419.52</v>
      </c>
      <c r="N97" s="134">
        <f>AVERAGE(B97:M97)</f>
        <v>438.85666666666674</v>
      </c>
      <c r="O97" s="219"/>
      <c r="P97" s="219"/>
      <c r="Q97" s="219"/>
      <c r="R97" s="219"/>
      <c r="S97" s="219"/>
      <c r="T97" s="134"/>
      <c r="U97" s="134"/>
    </row>
    <row r="98" spans="1:22" x14ac:dyDescent="0.2">
      <c r="A98" s="131" t="s">
        <v>18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134">
        <f>AVERAGE(B98:M98)</f>
        <v>0</v>
      </c>
      <c r="O98" s="219"/>
      <c r="P98" s="219"/>
      <c r="Q98" s="219"/>
      <c r="R98" s="219"/>
      <c r="S98" s="219"/>
      <c r="T98" s="134"/>
      <c r="U98" s="134"/>
    </row>
    <row r="99" spans="1:22" x14ac:dyDescent="0.2">
      <c r="A99" s="238" t="s">
        <v>17</v>
      </c>
      <c r="B99" s="314">
        <f>'Out Years Data Input'!C124/1000</f>
        <v>0</v>
      </c>
      <c r="C99" s="314">
        <f>'Out Years Data Input'!F124/1000</f>
        <v>0</v>
      </c>
      <c r="D99" s="314">
        <f>'Out Years Data Input'!I124/1000</f>
        <v>0</v>
      </c>
      <c r="E99" s="314">
        <f>'Out Years Data Input'!L124/1000</f>
        <v>0</v>
      </c>
      <c r="F99" s="314">
        <f>'Out Years Data Input'!O124/1000</f>
        <v>0</v>
      </c>
      <c r="G99" s="314">
        <f>'Out Years Data Input'!R124/1000</f>
        <v>0</v>
      </c>
      <c r="H99" s="314">
        <f>'Out Years Data Input'!U124/1000</f>
        <v>0</v>
      </c>
      <c r="I99" s="314">
        <f>'Out Years Data Input'!X124/1000</f>
        <v>0</v>
      </c>
      <c r="J99" s="314">
        <f>'Out Years Data Input'!AA124/1000</f>
        <v>0</v>
      </c>
      <c r="K99" s="314">
        <f>'Out Years Data Input'!AD124/1000</f>
        <v>0</v>
      </c>
      <c r="L99" s="314">
        <f>'Out Years Data Input'!AG124/1000</f>
        <v>0</v>
      </c>
      <c r="M99" s="314">
        <f>'Out Years Data Input'!AJ124/1000</f>
        <v>0</v>
      </c>
      <c r="N99" s="152">
        <f>AVERAGE(B99:M99)</f>
        <v>0</v>
      </c>
      <c r="O99" s="219"/>
      <c r="P99" s="219"/>
      <c r="Q99" s="219"/>
      <c r="R99" s="219"/>
      <c r="S99" s="219"/>
      <c r="T99" s="144"/>
      <c r="U99" s="144"/>
    </row>
    <row r="100" spans="1:22" x14ac:dyDescent="0.2">
      <c r="A100" s="239" t="s">
        <v>366</v>
      </c>
      <c r="B100" s="220">
        <f>SUM(B97:B99)</f>
        <v>477.6</v>
      </c>
      <c r="C100" s="220">
        <f t="shared" ref="C100:N100" si="18">SUM(C97:C99)</f>
        <v>487.55</v>
      </c>
      <c r="D100" s="220">
        <f t="shared" si="18"/>
        <v>453.625</v>
      </c>
      <c r="E100" s="220">
        <f t="shared" si="18"/>
        <v>439.3</v>
      </c>
      <c r="F100" s="220">
        <f t="shared" si="18"/>
        <v>410.65</v>
      </c>
      <c r="G100" s="220">
        <f t="shared" si="18"/>
        <v>405.875</v>
      </c>
      <c r="H100" s="220">
        <f t="shared" si="18"/>
        <v>453.625</v>
      </c>
      <c r="I100" s="220">
        <f t="shared" si="18"/>
        <v>429.75</v>
      </c>
      <c r="J100" s="220">
        <f t="shared" si="18"/>
        <v>434.52499999999998</v>
      </c>
      <c r="K100" s="220">
        <f t="shared" si="18"/>
        <v>439.3</v>
      </c>
      <c r="L100" s="220">
        <f t="shared" si="18"/>
        <v>414.96</v>
      </c>
      <c r="M100" s="220">
        <f t="shared" si="18"/>
        <v>419.52</v>
      </c>
      <c r="N100" s="220">
        <f t="shared" si="18"/>
        <v>438.85666666666674</v>
      </c>
      <c r="O100" s="230"/>
      <c r="P100" s="230"/>
      <c r="Q100" s="230"/>
      <c r="R100" s="230"/>
      <c r="S100" s="230"/>
      <c r="T100" s="230"/>
      <c r="U100" s="230"/>
    </row>
    <row r="101" spans="1:22" s="222" customFormat="1" x14ac:dyDescent="0.15">
      <c r="A101" s="137" t="s">
        <v>367</v>
      </c>
      <c r="B101" s="144">
        <f>B96</f>
        <v>497.5</v>
      </c>
      <c r="C101" s="144">
        <f t="shared" ref="C101:N101" si="19">C96</f>
        <v>497.5</v>
      </c>
      <c r="D101" s="144">
        <f t="shared" si="19"/>
        <v>477.5</v>
      </c>
      <c r="E101" s="144">
        <f t="shared" si="19"/>
        <v>477.5</v>
      </c>
      <c r="F101" s="144">
        <f t="shared" si="19"/>
        <v>477.5</v>
      </c>
      <c r="G101" s="144">
        <f t="shared" si="19"/>
        <v>477.5</v>
      </c>
      <c r="H101" s="144">
        <f t="shared" si="19"/>
        <v>477.5</v>
      </c>
      <c r="I101" s="144">
        <f t="shared" si="19"/>
        <v>477.5</v>
      </c>
      <c r="J101" s="144">
        <f t="shared" si="19"/>
        <v>477.5</v>
      </c>
      <c r="K101" s="144">
        <f t="shared" si="19"/>
        <v>477.5</v>
      </c>
      <c r="L101" s="144">
        <f t="shared" si="19"/>
        <v>456</v>
      </c>
      <c r="M101" s="144">
        <f t="shared" si="19"/>
        <v>456</v>
      </c>
      <c r="N101" s="144">
        <f t="shared" si="19"/>
        <v>477.25</v>
      </c>
      <c r="O101" s="231"/>
      <c r="P101" s="231"/>
      <c r="Q101" s="231"/>
      <c r="R101" s="231"/>
      <c r="S101" s="231"/>
      <c r="T101" s="231"/>
      <c r="U101" s="231"/>
      <c r="V101" s="134"/>
    </row>
    <row r="102" spans="1:22" s="222" customFormat="1" x14ac:dyDescent="0.15">
      <c r="A102" s="137" t="s">
        <v>368</v>
      </c>
      <c r="B102" s="144">
        <f>B101+B69+B62+B36+B29</f>
        <v>848.6</v>
      </c>
      <c r="C102" s="144">
        <f t="shared" ref="C102:N102" si="20">C101+C69+C62+C36+C29</f>
        <v>848.6</v>
      </c>
      <c r="D102" s="144">
        <f t="shared" si="20"/>
        <v>848.6</v>
      </c>
      <c r="E102" s="144">
        <f t="shared" si="20"/>
        <v>848.6</v>
      </c>
      <c r="F102" s="144">
        <f t="shared" si="20"/>
        <v>848.6</v>
      </c>
      <c r="G102" s="144">
        <f t="shared" si="20"/>
        <v>848.6</v>
      </c>
      <c r="H102" s="144">
        <f t="shared" si="20"/>
        <v>848.6</v>
      </c>
      <c r="I102" s="144">
        <f t="shared" si="20"/>
        <v>848.6</v>
      </c>
      <c r="J102" s="144">
        <f t="shared" si="20"/>
        <v>848.6</v>
      </c>
      <c r="K102" s="144">
        <f t="shared" si="20"/>
        <v>848.6</v>
      </c>
      <c r="L102" s="144">
        <f t="shared" si="20"/>
        <v>848.6</v>
      </c>
      <c r="M102" s="144">
        <f t="shared" si="20"/>
        <v>848.6</v>
      </c>
      <c r="N102" s="144">
        <f t="shared" si="20"/>
        <v>848.59999999999991</v>
      </c>
      <c r="O102" s="219"/>
      <c r="P102" s="219"/>
      <c r="Q102" s="219"/>
      <c r="R102" s="219"/>
      <c r="S102" s="231"/>
      <c r="T102" s="144"/>
      <c r="U102" s="144"/>
      <c r="V102" s="134"/>
    </row>
    <row r="103" spans="1:22" x14ac:dyDescent="0.2">
      <c r="A103" s="128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34"/>
      <c r="O103" s="134"/>
      <c r="P103" s="219"/>
      <c r="Q103" s="219"/>
      <c r="R103" s="219"/>
      <c r="S103" s="219"/>
      <c r="T103" s="134"/>
      <c r="U103" s="134"/>
    </row>
    <row r="104" spans="1:22" ht="15.75" x14ac:dyDescent="0.2">
      <c r="A104" s="153" t="s">
        <v>267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240"/>
      <c r="O104" s="152"/>
      <c r="P104" s="129"/>
      <c r="Q104" s="129"/>
      <c r="R104" s="129"/>
      <c r="S104" s="129"/>
      <c r="T104" s="240"/>
      <c r="U104" s="240"/>
    </row>
    <row r="105" spans="1:22" x14ac:dyDescent="0.2">
      <c r="A105" s="155" t="s">
        <v>20</v>
      </c>
      <c r="B105" s="156">
        <f>B101+B92+B75+B43</f>
        <v>2972.6139999999996</v>
      </c>
      <c r="C105" s="156">
        <f t="shared" ref="C105:M105" si="21">C101+C92+C75+C43</f>
        <v>2972.6139999999996</v>
      </c>
      <c r="D105" s="156">
        <f t="shared" si="21"/>
        <v>2907.6139999999996</v>
      </c>
      <c r="E105" s="156">
        <f t="shared" si="21"/>
        <v>2907.6139999999996</v>
      </c>
      <c r="F105" s="156">
        <f t="shared" si="21"/>
        <v>2894.2269999999999</v>
      </c>
      <c r="G105" s="156">
        <f t="shared" si="21"/>
        <v>2978.4470000000001</v>
      </c>
      <c r="H105" s="156">
        <f t="shared" si="21"/>
        <v>3052.0169999999998</v>
      </c>
      <c r="I105" s="156">
        <f t="shared" si="21"/>
        <v>3048.7910000000002</v>
      </c>
      <c r="J105" s="156">
        <f t="shared" si="21"/>
        <v>3042.4470000000001</v>
      </c>
      <c r="K105" s="156">
        <f t="shared" si="21"/>
        <v>2989.3999999999996</v>
      </c>
      <c r="L105" s="156">
        <f t="shared" si="21"/>
        <v>3012.8999999999996</v>
      </c>
      <c r="M105" s="156">
        <f t="shared" si="21"/>
        <v>3012.8999999999996</v>
      </c>
      <c r="N105" s="152">
        <f t="shared" ref="N105:N110" si="22">AVERAGE(B105:M105)</f>
        <v>2982.6320833333334</v>
      </c>
      <c r="O105" s="219"/>
      <c r="P105" s="219"/>
      <c r="Q105" s="219"/>
      <c r="R105" s="219"/>
      <c r="S105" s="219"/>
      <c r="T105" s="241"/>
      <c r="U105" s="241"/>
    </row>
    <row r="106" spans="1:22" x14ac:dyDescent="0.2">
      <c r="A106" s="155" t="s">
        <v>231</v>
      </c>
      <c r="B106" s="156">
        <f>B97+B87+B80+B70+B63+B55+B48+B37+B30+B22+B15</f>
        <v>2199.3679999999999</v>
      </c>
      <c r="C106" s="156">
        <f t="shared" ref="C106:M106" si="23">C97+C87+C80+C70+C63+C55+C48+C37+C30+C22+C15</f>
        <v>2327.8710000000001</v>
      </c>
      <c r="D106" s="156">
        <f t="shared" si="23"/>
        <v>2237.163</v>
      </c>
      <c r="E106" s="156">
        <f t="shared" si="23"/>
        <v>2130.998</v>
      </c>
      <c r="F106" s="156">
        <f t="shared" si="23"/>
        <v>2075.4360000000001</v>
      </c>
      <c r="G106" s="156">
        <f t="shared" si="23"/>
        <v>2225.828</v>
      </c>
      <c r="H106" s="156">
        <f t="shared" si="23"/>
        <v>2294.02</v>
      </c>
      <c r="I106" s="156">
        <f t="shared" si="23"/>
        <v>2377.5260000000003</v>
      </c>
      <c r="J106" s="156">
        <f t="shared" si="23"/>
        <v>2301.819</v>
      </c>
      <c r="K106" s="156">
        <f t="shared" si="23"/>
        <v>2325.1889999999999</v>
      </c>
      <c r="L106" s="156">
        <f t="shared" si="23"/>
        <v>2347.0839999999998</v>
      </c>
      <c r="M106" s="156">
        <f t="shared" si="23"/>
        <v>2337.1590000000001</v>
      </c>
      <c r="N106" s="152">
        <f t="shared" si="22"/>
        <v>2264.9550833333328</v>
      </c>
      <c r="O106" s="219"/>
      <c r="P106" s="219"/>
      <c r="Q106" s="219"/>
      <c r="R106" s="219"/>
      <c r="S106" s="219"/>
      <c r="T106" s="241"/>
      <c r="U106" s="241"/>
    </row>
    <row r="107" spans="1:22" x14ac:dyDescent="0.2">
      <c r="A107" s="155" t="s">
        <v>18</v>
      </c>
      <c r="B107" s="156">
        <f>B98+B88+B81+B71+B64+B56+B49+B38+B31+B23+B16</f>
        <v>0</v>
      </c>
      <c r="C107" s="156">
        <f t="shared" ref="C107:M107" si="24">C98+C88+C81+C71+C64+C56+C49+C38+C31+C23+C16</f>
        <v>0</v>
      </c>
      <c r="D107" s="156">
        <f t="shared" si="24"/>
        <v>0</v>
      </c>
      <c r="E107" s="156">
        <f t="shared" si="24"/>
        <v>0</v>
      </c>
      <c r="F107" s="156">
        <f t="shared" si="24"/>
        <v>0</v>
      </c>
      <c r="G107" s="156">
        <f t="shared" si="24"/>
        <v>0</v>
      </c>
      <c r="H107" s="156">
        <f t="shared" si="24"/>
        <v>0</v>
      </c>
      <c r="I107" s="156">
        <f t="shared" si="24"/>
        <v>0</v>
      </c>
      <c r="J107" s="156">
        <f t="shared" si="24"/>
        <v>0</v>
      </c>
      <c r="K107" s="156">
        <f t="shared" si="24"/>
        <v>0</v>
      </c>
      <c r="L107" s="156">
        <f t="shared" si="24"/>
        <v>0</v>
      </c>
      <c r="M107" s="156">
        <f t="shared" si="24"/>
        <v>0</v>
      </c>
      <c r="N107" s="152">
        <f t="shared" si="22"/>
        <v>0</v>
      </c>
      <c r="O107" s="219"/>
      <c r="P107" s="219"/>
      <c r="Q107" s="219"/>
      <c r="R107" s="219"/>
      <c r="S107" s="219"/>
      <c r="T107" s="241"/>
      <c r="U107" s="241"/>
    </row>
    <row r="108" spans="1:22" x14ac:dyDescent="0.2">
      <c r="A108" s="155" t="s">
        <v>269</v>
      </c>
      <c r="B108" s="156">
        <f>B39+B24</f>
        <v>0</v>
      </c>
      <c r="C108" s="156">
        <f t="shared" ref="C108:M108" si="25">C39+C24</f>
        <v>0</v>
      </c>
      <c r="D108" s="156">
        <f t="shared" si="25"/>
        <v>0</v>
      </c>
      <c r="E108" s="156">
        <f t="shared" si="25"/>
        <v>0</v>
      </c>
      <c r="F108" s="156">
        <f t="shared" si="25"/>
        <v>0</v>
      </c>
      <c r="G108" s="156">
        <f t="shared" si="25"/>
        <v>0</v>
      </c>
      <c r="H108" s="156">
        <f t="shared" si="25"/>
        <v>0</v>
      </c>
      <c r="I108" s="156">
        <f t="shared" si="25"/>
        <v>0</v>
      </c>
      <c r="J108" s="156">
        <f t="shared" si="25"/>
        <v>0</v>
      </c>
      <c r="K108" s="156">
        <f t="shared" si="25"/>
        <v>0</v>
      </c>
      <c r="L108" s="156">
        <f t="shared" si="25"/>
        <v>0</v>
      </c>
      <c r="M108" s="156">
        <f t="shared" si="25"/>
        <v>0</v>
      </c>
      <c r="N108" s="152">
        <f t="shared" si="22"/>
        <v>0</v>
      </c>
      <c r="O108" s="219"/>
      <c r="P108" s="219"/>
      <c r="Q108" s="219"/>
      <c r="R108" s="219"/>
      <c r="S108" s="219"/>
      <c r="T108" s="241"/>
      <c r="U108" s="241"/>
    </row>
    <row r="109" spans="1:22" x14ac:dyDescent="0.2">
      <c r="A109" s="155" t="s">
        <v>601</v>
      </c>
      <c r="B109" s="156">
        <f>B57</f>
        <v>0</v>
      </c>
      <c r="C109" s="156">
        <f t="shared" ref="C109:M109" si="26">C57</f>
        <v>0</v>
      </c>
      <c r="D109" s="156">
        <f t="shared" si="26"/>
        <v>0</v>
      </c>
      <c r="E109" s="156">
        <f t="shared" si="26"/>
        <v>0</v>
      </c>
      <c r="F109" s="156">
        <f t="shared" si="26"/>
        <v>0</v>
      </c>
      <c r="G109" s="156">
        <f t="shared" si="26"/>
        <v>0</v>
      </c>
      <c r="H109" s="156">
        <f t="shared" si="26"/>
        <v>0</v>
      </c>
      <c r="I109" s="156">
        <f t="shared" si="26"/>
        <v>0</v>
      </c>
      <c r="J109" s="156">
        <f t="shared" si="26"/>
        <v>0</v>
      </c>
      <c r="K109" s="156">
        <f t="shared" si="26"/>
        <v>0</v>
      </c>
      <c r="L109" s="156">
        <f t="shared" si="26"/>
        <v>0</v>
      </c>
      <c r="M109" s="156">
        <f t="shared" si="26"/>
        <v>0</v>
      </c>
      <c r="N109" s="152">
        <f t="shared" si="22"/>
        <v>0</v>
      </c>
      <c r="O109" s="219"/>
      <c r="P109" s="219"/>
      <c r="Q109" s="219"/>
      <c r="R109" s="219"/>
      <c r="S109" s="219"/>
      <c r="T109" s="241"/>
      <c r="U109" s="241"/>
    </row>
    <row r="110" spans="1:22" x14ac:dyDescent="0.2">
      <c r="A110" s="242" t="s">
        <v>17</v>
      </c>
      <c r="B110" s="158">
        <f>B99+B89+B82+B72+B65+B58+B50+B40+B32+B25+B17</f>
        <v>175.60000000000002</v>
      </c>
      <c r="C110" s="158">
        <f t="shared" ref="C110:M110" si="27">C99+C89+C82+C72+C65+C58+C50+C40+C32+C25+C17</f>
        <v>85.6</v>
      </c>
      <c r="D110" s="158">
        <f t="shared" si="27"/>
        <v>98.6</v>
      </c>
      <c r="E110" s="158">
        <f t="shared" si="27"/>
        <v>129.69999999999999</v>
      </c>
      <c r="F110" s="158">
        <f t="shared" si="27"/>
        <v>172.8</v>
      </c>
      <c r="G110" s="158">
        <f t="shared" si="27"/>
        <v>215.2</v>
      </c>
      <c r="H110" s="158">
        <f t="shared" si="27"/>
        <v>143.70000000000002</v>
      </c>
      <c r="I110" s="158">
        <f t="shared" si="27"/>
        <v>129.39999999999998</v>
      </c>
      <c r="J110" s="158">
        <f t="shared" si="27"/>
        <v>115.9</v>
      </c>
      <c r="K110" s="158">
        <f t="shared" si="27"/>
        <v>87.6</v>
      </c>
      <c r="L110" s="158">
        <f t="shared" si="27"/>
        <v>89.8</v>
      </c>
      <c r="M110" s="158">
        <f t="shared" si="27"/>
        <v>161.70000000000002</v>
      </c>
      <c r="N110" s="231">
        <f t="shared" si="22"/>
        <v>133.79999999999998</v>
      </c>
      <c r="O110" s="219"/>
      <c r="P110" s="219"/>
      <c r="Q110" s="219"/>
      <c r="R110" s="219"/>
      <c r="S110" s="219"/>
      <c r="T110" s="241"/>
      <c r="U110" s="241"/>
    </row>
    <row r="111" spans="1:22" x14ac:dyDescent="0.2">
      <c r="A111" s="239" t="s">
        <v>271</v>
      </c>
      <c r="B111" s="143">
        <f>SUM(B106:B110)</f>
        <v>2374.9679999999998</v>
      </c>
      <c r="C111" s="143">
        <f t="shared" ref="C111:N111" si="28">SUM(C106:C110)</f>
        <v>2413.471</v>
      </c>
      <c r="D111" s="143">
        <f t="shared" si="28"/>
        <v>2335.7629999999999</v>
      </c>
      <c r="E111" s="143">
        <f t="shared" si="28"/>
        <v>2260.6979999999999</v>
      </c>
      <c r="F111" s="143">
        <f t="shared" si="28"/>
        <v>2248.2360000000003</v>
      </c>
      <c r="G111" s="143">
        <f t="shared" si="28"/>
        <v>2441.0279999999998</v>
      </c>
      <c r="H111" s="143">
        <f t="shared" si="28"/>
        <v>2437.7199999999998</v>
      </c>
      <c r="I111" s="143">
        <f t="shared" si="28"/>
        <v>2506.9260000000004</v>
      </c>
      <c r="J111" s="143">
        <f t="shared" si="28"/>
        <v>2417.7190000000001</v>
      </c>
      <c r="K111" s="143">
        <f t="shared" si="28"/>
        <v>2412.7889999999998</v>
      </c>
      <c r="L111" s="143">
        <f t="shared" si="28"/>
        <v>2436.884</v>
      </c>
      <c r="M111" s="143">
        <f t="shared" si="28"/>
        <v>2498.8589999999999</v>
      </c>
      <c r="N111" s="143">
        <f t="shared" si="28"/>
        <v>2398.755083333333</v>
      </c>
      <c r="O111" s="230"/>
      <c r="P111" s="230"/>
      <c r="Q111" s="230"/>
      <c r="R111" s="230"/>
      <c r="S111" s="230"/>
      <c r="T111" s="230"/>
      <c r="U111" s="230"/>
    </row>
    <row r="112" spans="1:22" x14ac:dyDescent="0.2">
      <c r="A112" s="137" t="s">
        <v>270</v>
      </c>
      <c r="B112" s="144">
        <f>B105</f>
        <v>2972.6139999999996</v>
      </c>
      <c r="C112" s="144">
        <f t="shared" ref="C112:M112" si="29">C105</f>
        <v>2972.6139999999996</v>
      </c>
      <c r="D112" s="144">
        <f t="shared" si="29"/>
        <v>2907.6139999999996</v>
      </c>
      <c r="E112" s="144">
        <f t="shared" si="29"/>
        <v>2907.6139999999996</v>
      </c>
      <c r="F112" s="144">
        <f t="shared" si="29"/>
        <v>2894.2269999999999</v>
      </c>
      <c r="G112" s="144">
        <f t="shared" si="29"/>
        <v>2978.4470000000001</v>
      </c>
      <c r="H112" s="144">
        <f t="shared" si="29"/>
        <v>3052.0169999999998</v>
      </c>
      <c r="I112" s="144">
        <f t="shared" si="29"/>
        <v>3048.7910000000002</v>
      </c>
      <c r="J112" s="144">
        <f t="shared" si="29"/>
        <v>3042.4470000000001</v>
      </c>
      <c r="K112" s="144">
        <f t="shared" si="29"/>
        <v>2989.3999999999996</v>
      </c>
      <c r="L112" s="144">
        <f t="shared" si="29"/>
        <v>3012.8999999999996</v>
      </c>
      <c r="M112" s="144">
        <f t="shared" si="29"/>
        <v>3012.8999999999996</v>
      </c>
      <c r="N112" s="144">
        <f>N105</f>
        <v>2982.6320833333334</v>
      </c>
      <c r="O112" s="231"/>
      <c r="P112" s="231"/>
      <c r="Q112" s="231"/>
      <c r="R112" s="231"/>
      <c r="S112" s="231"/>
      <c r="T112" s="231"/>
      <c r="U112" s="231"/>
    </row>
    <row r="113" spans="1:21" x14ac:dyDescent="0.2">
      <c r="A113" s="137" t="s">
        <v>369</v>
      </c>
      <c r="B113" s="143">
        <f>B83+B74+B42</f>
        <v>1687.578</v>
      </c>
      <c r="C113" s="143">
        <f t="shared" ref="C113:M113" si="30">C83+C74+C42</f>
        <v>1723.9009999999998</v>
      </c>
      <c r="D113" s="143">
        <f t="shared" si="30"/>
        <v>1682.7079999999999</v>
      </c>
      <c r="E113" s="143">
        <f t="shared" si="30"/>
        <v>1632.328</v>
      </c>
      <c r="F113" s="143">
        <f t="shared" si="30"/>
        <v>1635.566</v>
      </c>
      <c r="G113" s="143">
        <f t="shared" si="30"/>
        <v>1843.4929999999999</v>
      </c>
      <c r="H113" s="143">
        <f t="shared" si="30"/>
        <v>1766.5350000000001</v>
      </c>
      <c r="I113" s="143">
        <f t="shared" si="30"/>
        <v>1880.336</v>
      </c>
      <c r="J113" s="143">
        <f t="shared" si="30"/>
        <v>1763.0439999999999</v>
      </c>
      <c r="K113" s="143">
        <f t="shared" si="30"/>
        <v>1755.9290000000001</v>
      </c>
      <c r="L113" s="143">
        <f t="shared" si="30"/>
        <v>1809.5439999999999</v>
      </c>
      <c r="M113" s="143">
        <f t="shared" si="30"/>
        <v>1908.3989999999999</v>
      </c>
      <c r="N113" s="143">
        <f>N83+N74+N42</f>
        <v>1757.4467499999998</v>
      </c>
      <c r="O113" s="230"/>
      <c r="P113" s="230"/>
      <c r="Q113" s="230"/>
      <c r="R113" s="230"/>
      <c r="S113" s="230"/>
      <c r="T113" s="230"/>
      <c r="U113" s="230"/>
    </row>
    <row r="114" spans="1:21" x14ac:dyDescent="0.2">
      <c r="A114" s="141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233"/>
      <c r="Q114" s="233"/>
      <c r="R114" s="233"/>
      <c r="S114" s="233"/>
      <c r="T114" s="152"/>
      <c r="U114" s="152"/>
    </row>
    <row r="115" spans="1:21" x14ac:dyDescent="0.2">
      <c r="A115" s="210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34"/>
      <c r="O115" s="134"/>
      <c r="P115" s="219"/>
      <c r="Q115" s="219"/>
      <c r="R115" s="219"/>
      <c r="S115" s="219"/>
      <c r="T115" s="134"/>
      <c r="U115" s="134"/>
    </row>
    <row r="116" spans="1:21" x14ac:dyDescent="0.2">
      <c r="A116" s="128" t="s">
        <v>370</v>
      </c>
      <c r="B116" s="145">
        <f t="shared" ref="B116:M116" si="31">B357/B1</f>
        <v>57.023960000000002</v>
      </c>
      <c r="C116" s="145">
        <f t="shared" si="31"/>
        <v>57.216169999999998</v>
      </c>
      <c r="D116" s="145">
        <f t="shared" si="31"/>
        <v>55.592400000000005</v>
      </c>
      <c r="E116" s="145">
        <f t="shared" si="31"/>
        <v>52.470559999999992</v>
      </c>
      <c r="F116" s="145">
        <f t="shared" si="31"/>
        <v>52.318600000000004</v>
      </c>
      <c r="G116" s="145">
        <f t="shared" si="31"/>
        <v>60.722770000000004</v>
      </c>
      <c r="H116" s="145">
        <f t="shared" si="31"/>
        <v>62.090130000000002</v>
      </c>
      <c r="I116" s="145">
        <f t="shared" si="31"/>
        <v>62.694400000000002</v>
      </c>
      <c r="J116" s="145">
        <f t="shared" si="31"/>
        <v>62.18657000000001</v>
      </c>
      <c r="K116" s="145">
        <f t="shared" si="31"/>
        <v>62.379880000000007</v>
      </c>
      <c r="L116" s="145">
        <f t="shared" si="31"/>
        <v>59.993119999999998</v>
      </c>
      <c r="M116" s="145">
        <f t="shared" si="31"/>
        <v>59.883360000000003</v>
      </c>
      <c r="N116" s="152">
        <f>AVERAGE(B116:M116)</f>
        <v>58.714326666666665</v>
      </c>
      <c r="O116" s="243"/>
      <c r="P116" s="243"/>
      <c r="Q116" s="243"/>
      <c r="R116" s="243"/>
      <c r="S116" s="219"/>
      <c r="T116" s="134"/>
      <c r="U116" s="134"/>
    </row>
    <row r="117" spans="1:21" x14ac:dyDescent="0.2">
      <c r="A117" s="128" t="s">
        <v>371</v>
      </c>
      <c r="B117" s="145">
        <f t="shared" ref="B117:M117" si="32">B358/B1</f>
        <v>-29.274835838709677</v>
      </c>
      <c r="C117" s="145">
        <f t="shared" si="32"/>
        <v>-29.92726557142857</v>
      </c>
      <c r="D117" s="145">
        <f t="shared" si="32"/>
        <v>-29.254227096774194</v>
      </c>
      <c r="E117" s="145">
        <f t="shared" si="32"/>
        <v>-28.065024333333334</v>
      </c>
      <c r="F117" s="145">
        <f t="shared" si="32"/>
        <v>-28.13000677419355</v>
      </c>
      <c r="G117" s="145">
        <f t="shared" si="32"/>
        <v>-37.507613666666664</v>
      </c>
      <c r="H117" s="145">
        <f t="shared" si="32"/>
        <v>-35.918691387096771</v>
      </c>
      <c r="I117" s="145">
        <f t="shared" si="32"/>
        <v>-38.473152096774193</v>
      </c>
      <c r="J117" s="145">
        <f t="shared" si="32"/>
        <v>-36.076510333333331</v>
      </c>
      <c r="K117" s="145">
        <f t="shared" si="32"/>
        <v>-35.931601870967746</v>
      </c>
      <c r="L117" s="145">
        <f t="shared" si="32"/>
        <v>-36.855331999999997</v>
      </c>
      <c r="M117" s="145">
        <f t="shared" si="32"/>
        <v>-38.933440354838709</v>
      </c>
      <c r="N117" s="152">
        <f>AVERAGE(B117:M117)</f>
        <v>-33.695641777009726</v>
      </c>
      <c r="O117" s="243"/>
      <c r="P117" s="243"/>
      <c r="Q117" s="243"/>
      <c r="R117" s="243"/>
      <c r="S117" s="219"/>
      <c r="T117" s="134"/>
      <c r="U117" s="134"/>
    </row>
    <row r="118" spans="1:21" x14ac:dyDescent="0.2">
      <c r="A118" s="128" t="s">
        <v>372</v>
      </c>
      <c r="B118" s="244">
        <f>B361</f>
        <v>2.62</v>
      </c>
      <c r="C118" s="244">
        <f t="shared" ref="C118:M118" si="33">C361</f>
        <v>2.62</v>
      </c>
      <c r="D118" s="244">
        <f t="shared" si="33"/>
        <v>2.56</v>
      </c>
      <c r="E118" s="244">
        <f t="shared" si="33"/>
        <v>2.4500000000000002</v>
      </c>
      <c r="F118" s="244">
        <f t="shared" si="33"/>
        <v>2.48</v>
      </c>
      <c r="G118" s="244">
        <f t="shared" si="33"/>
        <v>2.5299999999999998</v>
      </c>
      <c r="H118" s="244">
        <f t="shared" si="33"/>
        <v>2.57</v>
      </c>
      <c r="I118" s="244">
        <f t="shared" si="33"/>
        <v>2.61</v>
      </c>
      <c r="J118" s="244">
        <f t="shared" si="33"/>
        <v>2.61</v>
      </c>
      <c r="K118" s="244">
        <f t="shared" si="33"/>
        <v>2.62</v>
      </c>
      <c r="L118" s="244">
        <f t="shared" si="33"/>
        <v>2.84</v>
      </c>
      <c r="M118" s="244">
        <f t="shared" si="33"/>
        <v>3</v>
      </c>
      <c r="N118" s="713">
        <f>AVERAGE(B118:M118)</f>
        <v>2.625833333333333</v>
      </c>
      <c r="O118" s="246"/>
      <c r="P118" s="246"/>
      <c r="Q118" s="246"/>
      <c r="R118" s="246"/>
      <c r="S118" s="247"/>
      <c r="T118" s="245"/>
      <c r="U118" s="245"/>
    </row>
    <row r="119" spans="1:21" x14ac:dyDescent="0.2">
      <c r="A119" s="128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5"/>
      <c r="O119" s="245"/>
      <c r="P119" s="248"/>
      <c r="Q119" s="248"/>
      <c r="R119" s="219"/>
      <c r="S119" s="247"/>
      <c r="T119" s="245"/>
      <c r="U119" s="245"/>
    </row>
    <row r="120" spans="1:21" x14ac:dyDescent="0.2">
      <c r="A120" s="128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5"/>
      <c r="O120" s="245"/>
      <c r="P120" s="248"/>
      <c r="Q120" s="248"/>
      <c r="R120" s="219"/>
      <c r="S120" s="247"/>
      <c r="T120" s="245"/>
      <c r="U120" s="245"/>
    </row>
    <row r="121" spans="1:21" ht="15.75" x14ac:dyDescent="0.2">
      <c r="A121" s="215" t="s">
        <v>373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4"/>
      <c r="O121" s="134"/>
      <c r="P121" s="129"/>
      <c r="Q121" s="129"/>
      <c r="R121" s="129"/>
      <c r="S121" s="129"/>
      <c r="T121" s="134"/>
      <c r="U121" s="134"/>
    </row>
    <row r="122" spans="1:21" x14ac:dyDescent="0.2">
      <c r="A122" s="128" t="s">
        <v>374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4"/>
      <c r="O122" s="134"/>
      <c r="P122" s="129"/>
      <c r="Q122" s="129"/>
      <c r="R122" s="129"/>
      <c r="S122" s="129"/>
      <c r="T122" s="134"/>
      <c r="U122" s="134"/>
    </row>
    <row r="123" spans="1:21" x14ac:dyDescent="0.2">
      <c r="A123" s="131" t="s">
        <v>20</v>
      </c>
      <c r="B123" s="249">
        <f>B191/B14/B$1</f>
        <v>0.26410289995518027</v>
      </c>
      <c r="C123" s="249">
        <f t="shared" ref="C123:M123" si="34">C191/C14/C$1</f>
        <v>0.26410277882087868</v>
      </c>
      <c r="D123" s="249">
        <f t="shared" si="34"/>
        <v>0.26333983864419214</v>
      </c>
      <c r="E123" s="249">
        <f t="shared" si="34"/>
        <v>0.26333970767356885</v>
      </c>
      <c r="F123" s="249">
        <f t="shared" si="34"/>
        <v>0.26333983864419214</v>
      </c>
      <c r="G123" s="249">
        <f t="shared" si="34"/>
        <v>0.26220491270807955</v>
      </c>
      <c r="H123" s="249">
        <f t="shared" si="34"/>
        <v>0.26220596207090746</v>
      </c>
      <c r="I123" s="249">
        <f t="shared" si="34"/>
        <v>0.26219585975665655</v>
      </c>
      <c r="J123" s="249">
        <f t="shared" si="34"/>
        <v>0.26219756557044255</v>
      </c>
      <c r="K123" s="249">
        <f t="shared" si="34"/>
        <v>0.26220504367870284</v>
      </c>
      <c r="L123" s="249">
        <f t="shared" si="34"/>
        <v>0.26780416402760859</v>
      </c>
      <c r="M123" s="249">
        <f t="shared" si="34"/>
        <v>0.26779202847301348</v>
      </c>
      <c r="N123" s="250">
        <f>AVERAGE(B123:M123)</f>
        <v>0.26373588333528525</v>
      </c>
      <c r="O123" s="250"/>
      <c r="P123" s="250"/>
      <c r="Q123" s="251"/>
      <c r="R123" s="251"/>
      <c r="S123" s="251"/>
      <c r="T123" s="250"/>
      <c r="U123" s="250"/>
    </row>
    <row r="124" spans="1:21" x14ac:dyDescent="0.2">
      <c r="A124" s="131" t="s">
        <v>351</v>
      </c>
      <c r="B124" s="249">
        <f t="shared" ref="B124:M126" si="35">B192/B15/B$1</f>
        <v>2.0783410890635817E-2</v>
      </c>
      <c r="C124" s="249">
        <f t="shared" si="35"/>
        <v>2.0783366089411899E-2</v>
      </c>
      <c r="D124" s="249">
        <f t="shared" si="35"/>
        <v>2.0782091076971439E-2</v>
      </c>
      <c r="E124" s="249">
        <f t="shared" si="35"/>
        <v>2.0782047994529564E-2</v>
      </c>
      <c r="F124" s="249">
        <f t="shared" si="35"/>
        <v>2.0782077621085481E-2</v>
      </c>
      <c r="G124" s="249">
        <f t="shared" si="35"/>
        <v>2.0782063427617629E-2</v>
      </c>
      <c r="H124" s="249">
        <f t="shared" si="35"/>
        <v>2.0782049324591524E-2</v>
      </c>
      <c r="I124" s="249">
        <f t="shared" si="35"/>
        <v>2.0782091076971439E-2</v>
      </c>
      <c r="J124" s="249">
        <f t="shared" si="35"/>
        <v>2.0782004039531909E-2</v>
      </c>
      <c r="K124" s="249">
        <f t="shared" si="35"/>
        <v>2.0782069248534221E-2</v>
      </c>
      <c r="L124" s="249">
        <f t="shared" si="35"/>
        <v>2.0782098872841871E-2</v>
      </c>
      <c r="M124" s="249">
        <f t="shared" si="35"/>
        <v>2.0782104174033766E-2</v>
      </c>
      <c r="N124" s="250">
        <f>AVERAGE(B124:M124)</f>
        <v>2.0782289486396377E-2</v>
      </c>
      <c r="O124" s="250"/>
      <c r="P124" s="250"/>
      <c r="Q124" s="251"/>
      <c r="R124" s="251"/>
      <c r="S124" s="251"/>
      <c r="T124" s="250"/>
      <c r="U124" s="250"/>
    </row>
    <row r="125" spans="1:21" x14ac:dyDescent="0.2">
      <c r="A125" s="131" t="s">
        <v>352</v>
      </c>
      <c r="B125" s="249" t="e">
        <f t="shared" si="35"/>
        <v>#DIV/0!</v>
      </c>
      <c r="C125" s="249" t="e">
        <f t="shared" si="35"/>
        <v>#DIV/0!</v>
      </c>
      <c r="D125" s="249" t="e">
        <f t="shared" si="35"/>
        <v>#DIV/0!</v>
      </c>
      <c r="E125" s="249" t="e">
        <f t="shared" si="35"/>
        <v>#DIV/0!</v>
      </c>
      <c r="F125" s="249" t="e">
        <f t="shared" si="35"/>
        <v>#DIV/0!</v>
      </c>
      <c r="G125" s="249" t="e">
        <f t="shared" si="35"/>
        <v>#DIV/0!</v>
      </c>
      <c r="H125" s="249" t="e">
        <f t="shared" si="35"/>
        <v>#DIV/0!</v>
      </c>
      <c r="I125" s="249" t="e">
        <f t="shared" si="35"/>
        <v>#DIV/0!</v>
      </c>
      <c r="J125" s="249" t="e">
        <f t="shared" si="35"/>
        <v>#DIV/0!</v>
      </c>
      <c r="K125" s="249" t="e">
        <f t="shared" si="35"/>
        <v>#DIV/0!</v>
      </c>
      <c r="L125" s="249" t="e">
        <f t="shared" si="35"/>
        <v>#DIV/0!</v>
      </c>
      <c r="M125" s="249" t="e">
        <f t="shared" si="35"/>
        <v>#DIV/0!</v>
      </c>
      <c r="N125" s="250" t="e">
        <f>AVERAGE(B125:M125)</f>
        <v>#DIV/0!</v>
      </c>
      <c r="O125" s="250"/>
      <c r="P125" s="250"/>
      <c r="Q125" s="251"/>
      <c r="R125" s="251"/>
      <c r="S125" s="251"/>
      <c r="T125" s="250"/>
      <c r="U125" s="250"/>
    </row>
    <row r="126" spans="1:21" x14ac:dyDescent="0.2">
      <c r="A126" s="131" t="s">
        <v>355</v>
      </c>
      <c r="B126" s="249" t="e">
        <f t="shared" si="35"/>
        <v>#DIV/0!</v>
      </c>
      <c r="C126" s="249" t="e">
        <f t="shared" si="35"/>
        <v>#DIV/0!</v>
      </c>
      <c r="D126" s="249" t="e">
        <f t="shared" si="35"/>
        <v>#DIV/0!</v>
      </c>
      <c r="E126" s="249" t="e">
        <f t="shared" si="35"/>
        <v>#DIV/0!</v>
      </c>
      <c r="F126" s="249" t="e">
        <f t="shared" si="35"/>
        <v>#DIV/0!</v>
      </c>
      <c r="G126" s="249" t="e">
        <f t="shared" si="35"/>
        <v>#DIV/0!</v>
      </c>
      <c r="H126" s="249" t="e">
        <f t="shared" si="35"/>
        <v>#DIV/0!</v>
      </c>
      <c r="I126" s="249" t="e">
        <f t="shared" si="35"/>
        <v>#DIV/0!</v>
      </c>
      <c r="J126" s="249" t="e">
        <f t="shared" si="35"/>
        <v>#DIV/0!</v>
      </c>
      <c r="K126" s="249" t="e">
        <f t="shared" si="35"/>
        <v>#DIV/0!</v>
      </c>
      <c r="L126" s="249" t="e">
        <f t="shared" si="35"/>
        <v>#DIV/0!</v>
      </c>
      <c r="M126" s="249" t="e">
        <f t="shared" si="35"/>
        <v>#DIV/0!</v>
      </c>
      <c r="N126" s="250" t="e">
        <f>AVERAGE(B126:M126)</f>
        <v>#DIV/0!</v>
      </c>
      <c r="O126" s="250"/>
      <c r="P126" s="250"/>
      <c r="Q126" s="251"/>
      <c r="R126" s="251"/>
      <c r="S126" s="251"/>
      <c r="T126" s="250"/>
      <c r="U126" s="250"/>
    </row>
    <row r="127" spans="1:21" x14ac:dyDescent="0.2">
      <c r="A127" s="131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217"/>
      <c r="R127" s="217"/>
      <c r="S127" s="217"/>
      <c r="T127" s="134"/>
      <c r="U127" s="134"/>
    </row>
    <row r="128" spans="1:21" x14ac:dyDescent="0.2">
      <c r="A128" s="128" t="s">
        <v>233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29"/>
      <c r="R128" s="129"/>
      <c r="S128" s="129"/>
      <c r="T128" s="130"/>
      <c r="U128" s="130"/>
    </row>
    <row r="129" spans="1:21" x14ac:dyDescent="0.2">
      <c r="A129" s="131" t="s">
        <v>20</v>
      </c>
      <c r="B129" s="249">
        <f>B198/B21/B$1</f>
        <v>0.25488508174386926</v>
      </c>
      <c r="C129" s="249">
        <f t="shared" ref="C129:M129" si="36">C198/C21/C$1</f>
        <v>0.24656229336966398</v>
      </c>
      <c r="D129" s="249">
        <f t="shared" si="36"/>
        <v>0.24692960944595821</v>
      </c>
      <c r="E129" s="249">
        <f t="shared" si="36"/>
        <v>0.2461192098092643</v>
      </c>
      <c r="F129" s="249">
        <f t="shared" si="36"/>
        <v>0.246119186370162</v>
      </c>
      <c r="G129" s="249">
        <f t="shared" si="36"/>
        <v>0.27071013084853296</v>
      </c>
      <c r="H129" s="249">
        <f t="shared" si="36"/>
        <v>0.27591130235019606</v>
      </c>
      <c r="I129" s="249">
        <f t="shared" si="36"/>
        <v>0.27634804731663903</v>
      </c>
      <c r="J129" s="249">
        <f t="shared" si="36"/>
        <v>0.27591129753914989</v>
      </c>
      <c r="K129" s="249">
        <f t="shared" si="36"/>
        <v>0.27576572069471506</v>
      </c>
      <c r="L129" s="249">
        <f t="shared" si="36"/>
        <v>0.28187673343605546</v>
      </c>
      <c r="M129" s="249">
        <f t="shared" si="36"/>
        <v>0.28275939410507478</v>
      </c>
      <c r="N129" s="250">
        <f>AVERAGE(B129:M129)</f>
        <v>0.26499150058577342</v>
      </c>
      <c r="O129" s="250"/>
      <c r="P129" s="250"/>
      <c r="Q129" s="251"/>
      <c r="R129" s="251"/>
      <c r="S129" s="251"/>
      <c r="T129" s="250"/>
      <c r="U129" s="250"/>
    </row>
    <row r="130" spans="1:21" x14ac:dyDescent="0.2">
      <c r="A130" s="131" t="s">
        <v>351</v>
      </c>
      <c r="B130" s="249">
        <f t="shared" ref="B130:M132" si="37">B199/B22/B$1</f>
        <v>2.849996506672256E-2</v>
      </c>
      <c r="C130" s="249">
        <f t="shared" si="37"/>
        <v>2.8499961898171316E-2</v>
      </c>
      <c r="D130" s="249">
        <f t="shared" si="37"/>
        <v>2.8499995116853687E-2</v>
      </c>
      <c r="E130" s="249">
        <f t="shared" si="37"/>
        <v>2.8500016819726179E-2</v>
      </c>
      <c r="F130" s="249">
        <f t="shared" si="37"/>
        <v>2.849999511685369E-2</v>
      </c>
      <c r="G130" s="249">
        <f t="shared" si="37"/>
        <v>2.8499963605297537E-2</v>
      </c>
      <c r="H130" s="249">
        <f t="shared" si="37"/>
        <v>2.8500018900538489E-2</v>
      </c>
      <c r="I130" s="249">
        <f t="shared" si="37"/>
        <v>2.8499991203684256E-2</v>
      </c>
      <c r="J130" s="249">
        <f t="shared" si="37"/>
        <v>2.8499982244948686E-2</v>
      </c>
      <c r="K130" s="249">
        <f t="shared" si="37"/>
        <v>2.8500027612694524E-2</v>
      </c>
      <c r="L130" s="249">
        <f t="shared" si="37"/>
        <v>2.8499986483929391E-2</v>
      </c>
      <c r="M130" s="249">
        <f t="shared" si="37"/>
        <v>2.8499996449695739E-2</v>
      </c>
      <c r="N130" s="250">
        <f>AVERAGE(B130:M130)</f>
        <v>2.8499991709926339E-2</v>
      </c>
      <c r="O130" s="250"/>
      <c r="P130" s="250"/>
      <c r="Q130" s="251"/>
      <c r="R130" s="251"/>
      <c r="S130" s="251"/>
      <c r="T130" s="250"/>
      <c r="U130" s="250"/>
    </row>
    <row r="131" spans="1:21" x14ac:dyDescent="0.2">
      <c r="A131" s="131" t="s">
        <v>352</v>
      </c>
      <c r="B131" s="249" t="e">
        <f t="shared" si="37"/>
        <v>#DIV/0!</v>
      </c>
      <c r="C131" s="249" t="e">
        <f t="shared" si="37"/>
        <v>#DIV/0!</v>
      </c>
      <c r="D131" s="249" t="e">
        <f t="shared" si="37"/>
        <v>#DIV/0!</v>
      </c>
      <c r="E131" s="249" t="e">
        <f t="shared" si="37"/>
        <v>#DIV/0!</v>
      </c>
      <c r="F131" s="249" t="e">
        <f t="shared" si="37"/>
        <v>#DIV/0!</v>
      </c>
      <c r="G131" s="249" t="e">
        <f t="shared" si="37"/>
        <v>#DIV/0!</v>
      </c>
      <c r="H131" s="249" t="e">
        <f t="shared" si="37"/>
        <v>#DIV/0!</v>
      </c>
      <c r="I131" s="249" t="e">
        <f t="shared" si="37"/>
        <v>#DIV/0!</v>
      </c>
      <c r="J131" s="249" t="e">
        <f t="shared" si="37"/>
        <v>#DIV/0!</v>
      </c>
      <c r="K131" s="249" t="e">
        <f t="shared" si="37"/>
        <v>#DIV/0!</v>
      </c>
      <c r="L131" s="249" t="e">
        <f t="shared" si="37"/>
        <v>#DIV/0!</v>
      </c>
      <c r="M131" s="249" t="e">
        <f t="shared" si="37"/>
        <v>#DIV/0!</v>
      </c>
      <c r="N131" s="250" t="e">
        <f>AVERAGE(B131:M131)</f>
        <v>#DIV/0!</v>
      </c>
      <c r="O131" s="250"/>
      <c r="P131" s="250"/>
      <c r="Q131" s="251"/>
      <c r="R131" s="251"/>
      <c r="S131" s="251"/>
      <c r="T131" s="250"/>
      <c r="U131" s="250"/>
    </row>
    <row r="132" spans="1:21" x14ac:dyDescent="0.2">
      <c r="A132" s="131" t="s">
        <v>355</v>
      </c>
      <c r="B132" s="249" t="e">
        <f t="shared" si="37"/>
        <v>#DIV/0!</v>
      </c>
      <c r="C132" s="249" t="e">
        <f t="shared" si="37"/>
        <v>#DIV/0!</v>
      </c>
      <c r="D132" s="249" t="e">
        <f t="shared" si="37"/>
        <v>#DIV/0!</v>
      </c>
      <c r="E132" s="249" t="e">
        <f t="shared" si="37"/>
        <v>#DIV/0!</v>
      </c>
      <c r="F132" s="249" t="e">
        <f t="shared" si="37"/>
        <v>#DIV/0!</v>
      </c>
      <c r="G132" s="249" t="e">
        <f t="shared" si="37"/>
        <v>#DIV/0!</v>
      </c>
      <c r="H132" s="249" t="e">
        <f t="shared" si="37"/>
        <v>#DIV/0!</v>
      </c>
      <c r="I132" s="249" t="e">
        <f t="shared" si="37"/>
        <v>#DIV/0!</v>
      </c>
      <c r="J132" s="249" t="e">
        <f t="shared" si="37"/>
        <v>#DIV/0!</v>
      </c>
      <c r="K132" s="249" t="e">
        <f t="shared" si="37"/>
        <v>#DIV/0!</v>
      </c>
      <c r="L132" s="249" t="e">
        <f t="shared" si="37"/>
        <v>#DIV/0!</v>
      </c>
      <c r="M132" s="249" t="e">
        <f t="shared" si="37"/>
        <v>#DIV/0!</v>
      </c>
      <c r="N132" s="250" t="e">
        <f>AVERAGE(B132:M132)</f>
        <v>#DIV/0!</v>
      </c>
      <c r="O132" s="250"/>
      <c r="P132" s="250"/>
      <c r="Q132" s="251"/>
      <c r="R132" s="251"/>
      <c r="S132" s="251"/>
      <c r="T132" s="250"/>
      <c r="U132" s="250"/>
    </row>
    <row r="133" spans="1:21" x14ac:dyDescent="0.2">
      <c r="A133" s="131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217"/>
      <c r="R133" s="217"/>
      <c r="S133" s="217"/>
      <c r="T133" s="134"/>
      <c r="U133" s="134"/>
    </row>
    <row r="134" spans="1:21" x14ac:dyDescent="0.2">
      <c r="A134" s="128" t="s">
        <v>375</v>
      </c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29"/>
      <c r="R134" s="129"/>
      <c r="S134" s="129"/>
      <c r="T134" s="130"/>
      <c r="U134" s="130"/>
    </row>
    <row r="135" spans="1:21" x14ac:dyDescent="0.2">
      <c r="A135" s="131" t="s">
        <v>20</v>
      </c>
      <c r="B135" s="249">
        <f>B206/B29/B$1</f>
        <v>0.16408999999999999</v>
      </c>
      <c r="C135" s="249">
        <f t="shared" ref="C135:M135" si="38">C206/C29/C$1</f>
        <v>0.16390500000000002</v>
      </c>
      <c r="D135" s="249">
        <f t="shared" si="38"/>
        <v>0.16260999999999998</v>
      </c>
      <c r="E135" s="249">
        <f t="shared" si="38"/>
        <v>0.16483</v>
      </c>
      <c r="F135" s="249">
        <f t="shared" si="38"/>
        <v>0.163905</v>
      </c>
      <c r="G135" s="249">
        <f t="shared" si="38"/>
        <v>0.16297999999999999</v>
      </c>
      <c r="H135" s="249">
        <f t="shared" si="38"/>
        <v>0.16316500000000003</v>
      </c>
      <c r="I135" s="249">
        <f t="shared" si="38"/>
        <v>0.16260999999999998</v>
      </c>
      <c r="J135" s="249">
        <f t="shared" si="38"/>
        <v>0.16390500000000002</v>
      </c>
      <c r="K135" s="249">
        <f t="shared" si="38"/>
        <v>0.16260999999999998</v>
      </c>
      <c r="L135" s="249">
        <f t="shared" si="38"/>
        <v>0.16186999999999999</v>
      </c>
      <c r="M135" s="249">
        <f t="shared" si="38"/>
        <v>0.161685</v>
      </c>
      <c r="N135" s="250">
        <f>AVERAGE(B135:M135)</f>
        <v>0.16318041666666666</v>
      </c>
      <c r="O135" s="250"/>
      <c r="P135" s="250"/>
      <c r="Q135" s="251"/>
      <c r="R135" s="251"/>
      <c r="S135" s="251"/>
      <c r="T135" s="250"/>
      <c r="U135" s="250"/>
    </row>
    <row r="136" spans="1:21" x14ac:dyDescent="0.2">
      <c r="A136" s="131" t="s">
        <v>351</v>
      </c>
      <c r="B136" s="249">
        <f t="shared" ref="B136:M138" si="39">B207/B30/B$1</f>
        <v>1.8500250062515631E-2</v>
      </c>
      <c r="C136" s="249">
        <f t="shared" si="39"/>
        <v>1.8500273672687466E-2</v>
      </c>
      <c r="D136" s="249">
        <f t="shared" si="39"/>
        <v>1.8499771219400597E-2</v>
      </c>
      <c r="E136" s="249">
        <f t="shared" si="39"/>
        <v>1.8499999999999999E-2</v>
      </c>
      <c r="F136" s="249">
        <f t="shared" si="39"/>
        <v>1.8500185391175379E-2</v>
      </c>
      <c r="G136" s="249">
        <f t="shared" si="39"/>
        <v>1.8499999999999999E-2</v>
      </c>
      <c r="H136" s="249">
        <f t="shared" si="39"/>
        <v>1.8499940919295757E-2</v>
      </c>
      <c r="I136" s="249">
        <f t="shared" si="39"/>
        <v>1.8499771219400597E-2</v>
      </c>
      <c r="J136" s="249">
        <f t="shared" si="39"/>
        <v>1.8499999999999999E-2</v>
      </c>
      <c r="K136" s="249">
        <f t="shared" si="39"/>
        <v>1.8499771219400597E-2</v>
      </c>
      <c r="L136" s="249">
        <f t="shared" si="39"/>
        <v>1.8500000000000003E-2</v>
      </c>
      <c r="M136" s="249">
        <f t="shared" si="39"/>
        <v>1.850005430650592E-2</v>
      </c>
      <c r="N136" s="250">
        <f>AVERAGE(B136:M136)</f>
        <v>1.850000150086516E-2</v>
      </c>
      <c r="O136" s="250"/>
      <c r="P136" s="250"/>
      <c r="Q136" s="251"/>
      <c r="R136" s="251"/>
      <c r="S136" s="251"/>
      <c r="T136" s="250"/>
      <c r="U136" s="250"/>
    </row>
    <row r="137" spans="1:21" x14ac:dyDescent="0.2">
      <c r="A137" s="131" t="s">
        <v>352</v>
      </c>
      <c r="B137" s="249" t="e">
        <f t="shared" si="39"/>
        <v>#DIV/0!</v>
      </c>
      <c r="C137" s="249" t="e">
        <f t="shared" si="39"/>
        <v>#DIV/0!</v>
      </c>
      <c r="D137" s="249" t="e">
        <f t="shared" si="39"/>
        <v>#DIV/0!</v>
      </c>
      <c r="E137" s="249" t="e">
        <f t="shared" si="39"/>
        <v>#DIV/0!</v>
      </c>
      <c r="F137" s="249" t="e">
        <f t="shared" si="39"/>
        <v>#DIV/0!</v>
      </c>
      <c r="G137" s="249" t="e">
        <f t="shared" si="39"/>
        <v>#DIV/0!</v>
      </c>
      <c r="H137" s="249" t="e">
        <f t="shared" si="39"/>
        <v>#DIV/0!</v>
      </c>
      <c r="I137" s="249" t="e">
        <f t="shared" si="39"/>
        <v>#DIV/0!</v>
      </c>
      <c r="J137" s="249" t="e">
        <f t="shared" si="39"/>
        <v>#DIV/0!</v>
      </c>
      <c r="K137" s="249" t="e">
        <f t="shared" si="39"/>
        <v>#DIV/0!</v>
      </c>
      <c r="L137" s="249" t="e">
        <f t="shared" si="39"/>
        <v>#DIV/0!</v>
      </c>
      <c r="M137" s="249" t="e">
        <f t="shared" si="39"/>
        <v>#DIV/0!</v>
      </c>
      <c r="N137" s="250" t="e">
        <f>AVERAGE(B137:M137)</f>
        <v>#DIV/0!</v>
      </c>
      <c r="O137" s="250"/>
      <c r="P137" s="250"/>
      <c r="Q137" s="251"/>
      <c r="R137" s="251"/>
      <c r="S137" s="251"/>
      <c r="T137" s="250"/>
      <c r="U137" s="250"/>
    </row>
    <row r="138" spans="1:21" x14ac:dyDescent="0.2">
      <c r="A138" s="131" t="s">
        <v>355</v>
      </c>
      <c r="B138" s="249" t="e">
        <f t="shared" si="39"/>
        <v>#DIV/0!</v>
      </c>
      <c r="C138" s="249" t="e">
        <f t="shared" si="39"/>
        <v>#DIV/0!</v>
      </c>
      <c r="D138" s="249" t="e">
        <f t="shared" si="39"/>
        <v>#DIV/0!</v>
      </c>
      <c r="E138" s="249" t="e">
        <f t="shared" si="39"/>
        <v>#DIV/0!</v>
      </c>
      <c r="F138" s="249" t="e">
        <f t="shared" si="39"/>
        <v>#DIV/0!</v>
      </c>
      <c r="G138" s="249" t="e">
        <f t="shared" si="39"/>
        <v>#DIV/0!</v>
      </c>
      <c r="H138" s="249" t="e">
        <f t="shared" si="39"/>
        <v>#DIV/0!</v>
      </c>
      <c r="I138" s="249" t="e">
        <f t="shared" si="39"/>
        <v>#DIV/0!</v>
      </c>
      <c r="J138" s="249" t="e">
        <f t="shared" si="39"/>
        <v>#DIV/0!</v>
      </c>
      <c r="K138" s="249" t="e">
        <f t="shared" si="39"/>
        <v>#DIV/0!</v>
      </c>
      <c r="L138" s="249" t="e">
        <f t="shared" si="39"/>
        <v>#DIV/0!</v>
      </c>
      <c r="M138" s="249" t="e">
        <f t="shared" si="39"/>
        <v>#DIV/0!</v>
      </c>
      <c r="N138" s="250" t="e">
        <f>AVERAGE(B138:M138)</f>
        <v>#DIV/0!</v>
      </c>
      <c r="O138" s="250"/>
      <c r="P138" s="250"/>
      <c r="Q138" s="251"/>
      <c r="R138" s="251"/>
      <c r="S138" s="251"/>
      <c r="T138" s="250"/>
      <c r="U138" s="250"/>
    </row>
    <row r="139" spans="1:21" x14ac:dyDescent="0.2">
      <c r="A139" s="13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217"/>
      <c r="R139" s="217"/>
      <c r="S139" s="217"/>
      <c r="T139" s="134"/>
      <c r="U139" s="134"/>
    </row>
    <row r="140" spans="1:21" x14ac:dyDescent="0.2">
      <c r="A140" s="128" t="s">
        <v>356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29"/>
      <c r="R140" s="129"/>
      <c r="S140" s="129"/>
      <c r="T140" s="130"/>
      <c r="U140" s="130"/>
    </row>
    <row r="141" spans="1:21" x14ac:dyDescent="0.2">
      <c r="A141" s="131" t="s">
        <v>20</v>
      </c>
      <c r="B141" s="249">
        <f>B213/B36/B$1</f>
        <v>0.31158329701563242</v>
      </c>
      <c r="C141" s="249">
        <f t="shared" ref="C141:M141" si="40">C213/C36/C$1</f>
        <v>0.31138904784462346</v>
      </c>
      <c r="D141" s="249">
        <f t="shared" si="40"/>
        <v>0.31503758546083943</v>
      </c>
      <c r="E141" s="249">
        <f t="shared" si="40"/>
        <v>0.33277913457377756</v>
      </c>
      <c r="F141" s="249">
        <f t="shared" si="40"/>
        <v>0.33189194288186935</v>
      </c>
      <c r="G141" s="249">
        <f t="shared" si="40"/>
        <v>0.33100475118996103</v>
      </c>
      <c r="H141" s="249">
        <f t="shared" si="40"/>
        <v>0.33118218952834272</v>
      </c>
      <c r="I141" s="249">
        <f t="shared" si="40"/>
        <v>0.33064987451319772</v>
      </c>
      <c r="J141" s="249">
        <f t="shared" si="40"/>
        <v>0.3318919428818693</v>
      </c>
      <c r="K141" s="249">
        <f t="shared" si="40"/>
        <v>0.33064987451319772</v>
      </c>
      <c r="L141" s="249">
        <f t="shared" si="40"/>
        <v>0.38756045130641331</v>
      </c>
      <c r="M141" s="249">
        <f t="shared" si="40"/>
        <v>0.38737632620744261</v>
      </c>
      <c r="N141" s="250">
        <f>AVERAGE(B141:M141)</f>
        <v>0.33608303482643054</v>
      </c>
      <c r="O141" s="250"/>
      <c r="P141" s="250"/>
      <c r="Q141" s="251"/>
      <c r="R141" s="251"/>
      <c r="S141" s="251"/>
      <c r="T141" s="250"/>
      <c r="U141" s="250"/>
    </row>
    <row r="142" spans="1:21" x14ac:dyDescent="0.2">
      <c r="A142" s="131" t="s">
        <v>351</v>
      </c>
      <c r="B142" s="249">
        <f t="shared" ref="B142:M144" si="41">B214/B37/B$1</f>
        <v>1.8500065565894081E-2</v>
      </c>
      <c r="C142" s="249">
        <f t="shared" si="41"/>
        <v>1.8499936605426731E-2</v>
      </c>
      <c r="D142" s="249">
        <f t="shared" si="41"/>
        <v>1.8500044696858776E-2</v>
      </c>
      <c r="E142" s="249">
        <f t="shared" si="41"/>
        <v>1.8500068600859097E-2</v>
      </c>
      <c r="F142" s="249">
        <f t="shared" si="41"/>
        <v>1.8499969596168123E-2</v>
      </c>
      <c r="G142" s="249">
        <f t="shared" si="41"/>
        <v>1.8500053305238337E-2</v>
      </c>
      <c r="H142" s="249">
        <f t="shared" si="41"/>
        <v>1.8500057751324486E-2</v>
      </c>
      <c r="I142" s="249">
        <f t="shared" si="41"/>
        <v>1.8500044696858776E-2</v>
      </c>
      <c r="J142" s="249">
        <f t="shared" si="41"/>
        <v>1.8500060513519385E-2</v>
      </c>
      <c r="K142" s="249">
        <f t="shared" si="41"/>
        <v>1.8500044696858776E-2</v>
      </c>
      <c r="L142" s="249">
        <f t="shared" si="41"/>
        <v>1.8499981148437206E-2</v>
      </c>
      <c r="M142" s="249">
        <f t="shared" si="41"/>
        <v>1.8499943371600717E-2</v>
      </c>
      <c r="N142" s="250">
        <f>AVERAGE(B142:M142)</f>
        <v>1.8500022545753707E-2</v>
      </c>
      <c r="O142" s="250"/>
      <c r="P142" s="250"/>
      <c r="Q142" s="251"/>
      <c r="R142" s="251"/>
      <c r="S142" s="251"/>
      <c r="T142" s="250"/>
      <c r="U142" s="250"/>
    </row>
    <row r="143" spans="1:21" x14ac:dyDescent="0.2">
      <c r="A143" s="131" t="s">
        <v>352</v>
      </c>
      <c r="B143" s="249" t="e">
        <f t="shared" si="41"/>
        <v>#DIV/0!</v>
      </c>
      <c r="C143" s="249" t="e">
        <f t="shared" si="41"/>
        <v>#DIV/0!</v>
      </c>
      <c r="D143" s="249" t="e">
        <f t="shared" si="41"/>
        <v>#DIV/0!</v>
      </c>
      <c r="E143" s="249" t="e">
        <f t="shared" si="41"/>
        <v>#DIV/0!</v>
      </c>
      <c r="F143" s="249" t="e">
        <f t="shared" si="41"/>
        <v>#DIV/0!</v>
      </c>
      <c r="G143" s="249" t="e">
        <f t="shared" si="41"/>
        <v>#DIV/0!</v>
      </c>
      <c r="H143" s="249" t="e">
        <f t="shared" si="41"/>
        <v>#DIV/0!</v>
      </c>
      <c r="I143" s="249" t="e">
        <f t="shared" si="41"/>
        <v>#DIV/0!</v>
      </c>
      <c r="J143" s="249" t="e">
        <f t="shared" si="41"/>
        <v>#DIV/0!</v>
      </c>
      <c r="K143" s="249" t="e">
        <f t="shared" si="41"/>
        <v>#DIV/0!</v>
      </c>
      <c r="L143" s="249" t="e">
        <f t="shared" si="41"/>
        <v>#DIV/0!</v>
      </c>
      <c r="M143" s="249" t="e">
        <f t="shared" si="41"/>
        <v>#DIV/0!</v>
      </c>
      <c r="N143" s="250" t="e">
        <f>AVERAGE(B143:M143)</f>
        <v>#DIV/0!</v>
      </c>
      <c r="O143" s="250"/>
      <c r="P143" s="250"/>
      <c r="Q143" s="251"/>
      <c r="R143" s="251"/>
      <c r="S143" s="251"/>
      <c r="T143" s="250"/>
      <c r="U143" s="250"/>
    </row>
    <row r="144" spans="1:21" x14ac:dyDescent="0.2">
      <c r="A144" s="131" t="s">
        <v>355</v>
      </c>
      <c r="B144" s="249" t="e">
        <f t="shared" si="41"/>
        <v>#DIV/0!</v>
      </c>
      <c r="C144" s="249" t="e">
        <f t="shared" si="41"/>
        <v>#DIV/0!</v>
      </c>
      <c r="D144" s="249" t="e">
        <f t="shared" si="41"/>
        <v>#DIV/0!</v>
      </c>
      <c r="E144" s="249" t="e">
        <f t="shared" si="41"/>
        <v>#DIV/0!</v>
      </c>
      <c r="F144" s="249" t="e">
        <f t="shared" si="41"/>
        <v>#DIV/0!</v>
      </c>
      <c r="G144" s="249" t="e">
        <f t="shared" si="41"/>
        <v>#DIV/0!</v>
      </c>
      <c r="H144" s="249" t="e">
        <f t="shared" si="41"/>
        <v>#DIV/0!</v>
      </c>
      <c r="I144" s="249" t="e">
        <f t="shared" si="41"/>
        <v>#DIV/0!</v>
      </c>
      <c r="J144" s="249" t="e">
        <f t="shared" si="41"/>
        <v>#DIV/0!</v>
      </c>
      <c r="K144" s="249" t="e">
        <f t="shared" si="41"/>
        <v>#DIV/0!</v>
      </c>
      <c r="L144" s="249" t="e">
        <f t="shared" si="41"/>
        <v>#DIV/0!</v>
      </c>
      <c r="M144" s="249" t="e">
        <f t="shared" si="41"/>
        <v>#DIV/0!</v>
      </c>
      <c r="N144" s="250" t="e">
        <f>AVERAGE(B144:M144)</f>
        <v>#DIV/0!</v>
      </c>
      <c r="O144" s="250"/>
      <c r="P144" s="250"/>
      <c r="Q144" s="251"/>
      <c r="R144" s="251"/>
      <c r="S144" s="251"/>
      <c r="T144" s="250"/>
      <c r="U144" s="250"/>
    </row>
    <row r="145" spans="1:21" x14ac:dyDescent="0.2">
      <c r="A145" s="131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217"/>
      <c r="R145" s="217"/>
      <c r="S145" s="217"/>
      <c r="T145" s="134"/>
      <c r="U145" s="134"/>
    </row>
    <row r="146" spans="1:21" x14ac:dyDescent="0.2">
      <c r="A146" s="128" t="s">
        <v>376</v>
      </c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29"/>
      <c r="R146" s="129"/>
      <c r="S146" s="129"/>
      <c r="T146" s="130"/>
      <c r="U146" s="130"/>
    </row>
    <row r="147" spans="1:21" x14ac:dyDescent="0.2">
      <c r="A147" s="131" t="s">
        <v>20</v>
      </c>
      <c r="B147" s="249">
        <f>B225/B47/B$1</f>
        <v>2.5000000000000001E-2</v>
      </c>
      <c r="C147" s="249">
        <f t="shared" ref="C147:M147" si="42">C225/C47/C$1</f>
        <v>2.4999999999999998E-2</v>
      </c>
      <c r="D147" s="249">
        <f t="shared" si="42"/>
        <v>2.5000000000000001E-2</v>
      </c>
      <c r="E147" s="249">
        <f t="shared" si="42"/>
        <v>2.5000000000000001E-2</v>
      </c>
      <c r="F147" s="249">
        <f t="shared" si="42"/>
        <v>2.5000000000000001E-2</v>
      </c>
      <c r="G147" s="249">
        <f t="shared" si="42"/>
        <v>2.5000000000000001E-2</v>
      </c>
      <c r="H147" s="249">
        <f t="shared" si="42"/>
        <v>2.5000000000000001E-2</v>
      </c>
      <c r="I147" s="249">
        <f t="shared" si="42"/>
        <v>2.5000000000000001E-2</v>
      </c>
      <c r="J147" s="249">
        <f t="shared" si="42"/>
        <v>2.5000000000000001E-2</v>
      </c>
      <c r="K147" s="249">
        <f t="shared" si="42"/>
        <v>2.5000000000000001E-2</v>
      </c>
      <c r="L147" s="249">
        <f t="shared" si="42"/>
        <v>2.5000000000000001E-2</v>
      </c>
      <c r="M147" s="249">
        <f t="shared" si="42"/>
        <v>2.5000000000000001E-2</v>
      </c>
      <c r="N147" s="250">
        <f>AVERAGE(B147:M147)</f>
        <v>2.4999999999999998E-2</v>
      </c>
      <c r="O147" s="250"/>
      <c r="P147" s="250"/>
      <c r="Q147" s="251"/>
      <c r="R147" s="251"/>
      <c r="S147" s="251"/>
      <c r="T147" s="250"/>
      <c r="U147" s="250"/>
    </row>
    <row r="148" spans="1:21" x14ac:dyDescent="0.2">
      <c r="A148" s="131" t="s">
        <v>351</v>
      </c>
      <c r="B148" s="249">
        <f t="shared" ref="B148:M150" si="43">B226/B48/B$1</f>
        <v>9.1999633431085037E-3</v>
      </c>
      <c r="C148" s="249">
        <f t="shared" si="43"/>
        <v>9.200487012987011E-3</v>
      </c>
      <c r="D148" s="249">
        <f t="shared" si="43"/>
        <v>9.1999633431085037E-3</v>
      </c>
      <c r="E148" s="249">
        <f t="shared" si="43"/>
        <v>9.2001488095238091E-3</v>
      </c>
      <c r="F148" s="249">
        <f t="shared" si="43"/>
        <v>9.1999151103565376E-3</v>
      </c>
      <c r="G148" s="249">
        <f t="shared" si="43"/>
        <v>9.2001488095238091E-3</v>
      </c>
      <c r="H148" s="249">
        <f t="shared" si="43"/>
        <v>9.1996348143639686E-3</v>
      </c>
      <c r="I148" s="249">
        <f t="shared" si="43"/>
        <v>9.1996348143639686E-3</v>
      </c>
      <c r="J148" s="249">
        <f t="shared" si="43"/>
        <v>9.1998299319727903E-3</v>
      </c>
      <c r="K148" s="249">
        <f t="shared" si="43"/>
        <v>9.1997518610421828E-3</v>
      </c>
      <c r="L148" s="249">
        <f t="shared" si="43"/>
        <v>9.1996855345911951E-3</v>
      </c>
      <c r="M148" s="249">
        <f t="shared" si="43"/>
        <v>9.2001466275659811E-3</v>
      </c>
      <c r="N148" s="250">
        <f>AVERAGE(B148:M148)</f>
        <v>9.1999425010423543E-3</v>
      </c>
      <c r="O148" s="250"/>
      <c r="P148" s="250"/>
      <c r="Q148" s="251"/>
      <c r="R148" s="251"/>
      <c r="S148" s="251"/>
      <c r="T148" s="250"/>
      <c r="U148" s="250"/>
    </row>
    <row r="149" spans="1:21" x14ac:dyDescent="0.2">
      <c r="A149" s="131" t="s">
        <v>352</v>
      </c>
      <c r="B149" s="249" t="e">
        <f t="shared" si="43"/>
        <v>#DIV/0!</v>
      </c>
      <c r="C149" s="249" t="e">
        <f t="shared" si="43"/>
        <v>#DIV/0!</v>
      </c>
      <c r="D149" s="249" t="e">
        <f t="shared" si="43"/>
        <v>#DIV/0!</v>
      </c>
      <c r="E149" s="249" t="e">
        <f t="shared" si="43"/>
        <v>#DIV/0!</v>
      </c>
      <c r="F149" s="249" t="e">
        <f t="shared" si="43"/>
        <v>#DIV/0!</v>
      </c>
      <c r="G149" s="249" t="e">
        <f t="shared" si="43"/>
        <v>#DIV/0!</v>
      </c>
      <c r="H149" s="249" t="e">
        <f t="shared" si="43"/>
        <v>#DIV/0!</v>
      </c>
      <c r="I149" s="249" t="e">
        <f t="shared" si="43"/>
        <v>#DIV/0!</v>
      </c>
      <c r="J149" s="249" t="e">
        <f t="shared" si="43"/>
        <v>#DIV/0!</v>
      </c>
      <c r="K149" s="249" t="e">
        <f t="shared" si="43"/>
        <v>#DIV/0!</v>
      </c>
      <c r="L149" s="249" t="e">
        <f t="shared" si="43"/>
        <v>#DIV/0!</v>
      </c>
      <c r="M149" s="249" t="e">
        <f t="shared" si="43"/>
        <v>#DIV/0!</v>
      </c>
      <c r="N149" s="250" t="e">
        <f>AVERAGE(B149:M149)</f>
        <v>#DIV/0!</v>
      </c>
      <c r="O149" s="250"/>
      <c r="P149" s="250"/>
      <c r="Q149" s="251"/>
      <c r="R149" s="251"/>
      <c r="S149" s="251"/>
      <c r="T149" s="250"/>
      <c r="U149" s="250"/>
    </row>
    <row r="150" spans="1:21" x14ac:dyDescent="0.2">
      <c r="A150" s="131" t="s">
        <v>355</v>
      </c>
      <c r="B150" s="249" t="e">
        <f t="shared" si="43"/>
        <v>#DIV/0!</v>
      </c>
      <c r="C150" s="249" t="e">
        <f t="shared" si="43"/>
        <v>#DIV/0!</v>
      </c>
      <c r="D150" s="249" t="e">
        <f t="shared" si="43"/>
        <v>#DIV/0!</v>
      </c>
      <c r="E150" s="249" t="e">
        <f t="shared" si="43"/>
        <v>#DIV/0!</v>
      </c>
      <c r="F150" s="249" t="e">
        <f t="shared" si="43"/>
        <v>#DIV/0!</v>
      </c>
      <c r="G150" s="249" t="e">
        <f t="shared" si="43"/>
        <v>#DIV/0!</v>
      </c>
      <c r="H150" s="249" t="e">
        <f t="shared" si="43"/>
        <v>#DIV/0!</v>
      </c>
      <c r="I150" s="249" t="e">
        <f t="shared" si="43"/>
        <v>#DIV/0!</v>
      </c>
      <c r="J150" s="249" t="e">
        <f t="shared" si="43"/>
        <v>#DIV/0!</v>
      </c>
      <c r="K150" s="249" t="e">
        <f t="shared" si="43"/>
        <v>#DIV/0!</v>
      </c>
      <c r="L150" s="249" t="e">
        <f t="shared" si="43"/>
        <v>#DIV/0!</v>
      </c>
      <c r="M150" s="249" t="e">
        <f t="shared" si="43"/>
        <v>#DIV/0!</v>
      </c>
      <c r="N150" s="250" t="e">
        <f>AVERAGE(B150:M150)</f>
        <v>#DIV/0!</v>
      </c>
      <c r="O150" s="250"/>
      <c r="P150" s="250"/>
      <c r="Q150" s="251"/>
      <c r="R150" s="251"/>
      <c r="S150" s="251"/>
      <c r="T150" s="250"/>
      <c r="U150" s="250"/>
    </row>
    <row r="151" spans="1:21" x14ac:dyDescent="0.2">
      <c r="A151" s="131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217"/>
      <c r="R151" s="217"/>
      <c r="S151" s="217"/>
      <c r="T151" s="134"/>
      <c r="U151" s="134"/>
    </row>
    <row r="152" spans="1:21" x14ac:dyDescent="0.2">
      <c r="A152" s="128" t="s">
        <v>377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29"/>
      <c r="R152" s="129"/>
      <c r="S152" s="129"/>
      <c r="T152" s="130"/>
      <c r="U152" s="130"/>
    </row>
    <row r="153" spans="1:21" x14ac:dyDescent="0.2">
      <c r="A153" s="131" t="s">
        <v>20</v>
      </c>
      <c r="B153" s="249">
        <f>B232/B54/B$1</f>
        <v>4.1814112610868148E-2</v>
      </c>
      <c r="C153" s="249">
        <f t="shared" ref="C153:M153" si="44">C232/C54/C$1</f>
        <v>4.1814112610868148E-2</v>
      </c>
      <c r="D153" s="249">
        <f t="shared" si="44"/>
        <v>3.8703029287682086E-2</v>
      </c>
      <c r="E153" s="249">
        <f t="shared" si="44"/>
        <v>3.8300469782146816E-2</v>
      </c>
      <c r="F153" s="249">
        <f t="shared" si="44"/>
        <v>3.7336194755099882E-2</v>
      </c>
      <c r="G153" s="249">
        <f t="shared" si="44"/>
        <v>3.2554655973326317E-2</v>
      </c>
      <c r="H153" s="249">
        <f t="shared" si="44"/>
        <v>3.2749884516506914E-2</v>
      </c>
      <c r="I153" s="249">
        <f t="shared" si="44"/>
        <v>3.2513069564782462E-2</v>
      </c>
      <c r="J153" s="249">
        <f t="shared" si="44"/>
        <v>3.250258999236752E-2</v>
      </c>
      <c r="K153" s="249">
        <f t="shared" si="44"/>
        <v>3.2663460028050491E-2</v>
      </c>
      <c r="L153" s="249">
        <f t="shared" si="44"/>
        <v>3.5836712451144608E-2</v>
      </c>
      <c r="M153" s="249">
        <f t="shared" si="44"/>
        <v>3.5768308207705192E-2</v>
      </c>
      <c r="N153" s="250">
        <f>AVERAGE(B153:M153)</f>
        <v>3.604638331504572E-2</v>
      </c>
      <c r="O153" s="250"/>
      <c r="P153" s="250"/>
      <c r="Q153" s="251"/>
      <c r="R153" s="251"/>
      <c r="S153" s="251"/>
      <c r="T153" s="250"/>
      <c r="U153" s="250"/>
    </row>
    <row r="154" spans="1:21" x14ac:dyDescent="0.2">
      <c r="A154" s="131" t="s">
        <v>231</v>
      </c>
      <c r="B154" s="249">
        <f t="shared" ref="B154:M156" si="45">B233/B55/B$1</f>
        <v>9.2000463745825021E-3</v>
      </c>
      <c r="C154" s="249">
        <f t="shared" si="45"/>
        <v>9.1999979878803328E-3</v>
      </c>
      <c r="D154" s="249">
        <f t="shared" si="45"/>
        <v>9.1999379434560893E-3</v>
      </c>
      <c r="E154" s="249">
        <f t="shared" si="45"/>
        <v>9.1999869545365594E-3</v>
      </c>
      <c r="F154" s="249">
        <f t="shared" si="45"/>
        <v>9.1999798172289187E-3</v>
      </c>
      <c r="G154" s="249">
        <f t="shared" si="45"/>
        <v>9.1999849633703275E-3</v>
      </c>
      <c r="H154" s="249">
        <f t="shared" si="45"/>
        <v>9.2000044420080702E-3</v>
      </c>
      <c r="I154" s="249">
        <f t="shared" si="45"/>
        <v>9.1999577388638277E-3</v>
      </c>
      <c r="J154" s="249">
        <f t="shared" si="45"/>
        <v>9.1999506479993991E-3</v>
      </c>
      <c r="K154" s="249">
        <f t="shared" si="45"/>
        <v>9.2000364075970516E-3</v>
      </c>
      <c r="L154" s="249">
        <f t="shared" si="45"/>
        <v>9.1999603449985125E-3</v>
      </c>
      <c r="M154" s="249">
        <f t="shared" si="45"/>
        <v>9.199950710148886E-3</v>
      </c>
      <c r="N154" s="250">
        <f>AVERAGE(B154:M154)</f>
        <v>9.1999828610558731E-3</v>
      </c>
      <c r="O154" s="250"/>
      <c r="P154" s="250"/>
      <c r="Q154" s="251"/>
      <c r="R154" s="251"/>
      <c r="S154" s="251"/>
      <c r="T154" s="250"/>
      <c r="U154" s="250"/>
    </row>
    <row r="155" spans="1:21" x14ac:dyDescent="0.2">
      <c r="A155" s="131" t="s">
        <v>18</v>
      </c>
      <c r="B155" s="249" t="e">
        <f t="shared" si="45"/>
        <v>#DIV/0!</v>
      </c>
      <c r="C155" s="249" t="e">
        <f t="shared" si="45"/>
        <v>#DIV/0!</v>
      </c>
      <c r="D155" s="249" t="e">
        <f t="shared" si="45"/>
        <v>#DIV/0!</v>
      </c>
      <c r="E155" s="249" t="e">
        <f t="shared" si="45"/>
        <v>#DIV/0!</v>
      </c>
      <c r="F155" s="249" t="e">
        <f t="shared" si="45"/>
        <v>#DIV/0!</v>
      </c>
      <c r="G155" s="249" t="e">
        <f t="shared" si="45"/>
        <v>#DIV/0!</v>
      </c>
      <c r="H155" s="249" t="e">
        <f t="shared" si="45"/>
        <v>#DIV/0!</v>
      </c>
      <c r="I155" s="249" t="e">
        <f t="shared" si="45"/>
        <v>#DIV/0!</v>
      </c>
      <c r="J155" s="249" t="e">
        <f t="shared" si="45"/>
        <v>#DIV/0!</v>
      </c>
      <c r="K155" s="249" t="e">
        <f t="shared" si="45"/>
        <v>#DIV/0!</v>
      </c>
      <c r="L155" s="249" t="e">
        <f t="shared" si="45"/>
        <v>#DIV/0!</v>
      </c>
      <c r="M155" s="249" t="e">
        <f t="shared" si="45"/>
        <v>#DIV/0!</v>
      </c>
      <c r="N155" s="250" t="e">
        <f>AVERAGE(B155:M155)</f>
        <v>#DIV/0!</v>
      </c>
      <c r="O155" s="250"/>
      <c r="P155" s="250"/>
      <c r="Q155" s="251"/>
      <c r="R155" s="251"/>
      <c r="S155" s="251"/>
      <c r="T155" s="250"/>
      <c r="U155" s="250"/>
    </row>
    <row r="156" spans="1:21" x14ac:dyDescent="0.2">
      <c r="A156" s="131" t="s">
        <v>17</v>
      </c>
      <c r="B156" s="249" t="e">
        <f t="shared" si="45"/>
        <v>#DIV/0!</v>
      </c>
      <c r="C156" s="249" t="e">
        <f t="shared" si="45"/>
        <v>#DIV/0!</v>
      </c>
      <c r="D156" s="249" t="e">
        <f t="shared" si="45"/>
        <v>#DIV/0!</v>
      </c>
      <c r="E156" s="249" t="e">
        <f t="shared" si="45"/>
        <v>#DIV/0!</v>
      </c>
      <c r="F156" s="249" t="e">
        <f t="shared" si="45"/>
        <v>#DIV/0!</v>
      </c>
      <c r="G156" s="249" t="e">
        <f t="shared" si="45"/>
        <v>#DIV/0!</v>
      </c>
      <c r="H156" s="249" t="e">
        <f t="shared" si="45"/>
        <v>#DIV/0!</v>
      </c>
      <c r="I156" s="249" t="e">
        <f t="shared" si="45"/>
        <v>#DIV/0!</v>
      </c>
      <c r="J156" s="249" t="e">
        <f t="shared" si="45"/>
        <v>#DIV/0!</v>
      </c>
      <c r="K156" s="249" t="e">
        <f t="shared" si="45"/>
        <v>#DIV/0!</v>
      </c>
      <c r="L156" s="249" t="e">
        <f t="shared" si="45"/>
        <v>#DIV/0!</v>
      </c>
      <c r="M156" s="249" t="e">
        <f t="shared" si="45"/>
        <v>#DIV/0!</v>
      </c>
      <c r="N156" s="250" t="e">
        <f>AVERAGE(B156:M156)</f>
        <v>#DIV/0!</v>
      </c>
      <c r="O156" s="250"/>
      <c r="P156" s="250"/>
      <c r="Q156" s="251"/>
      <c r="R156" s="251"/>
      <c r="S156" s="251"/>
      <c r="T156" s="250"/>
      <c r="U156" s="250"/>
    </row>
    <row r="157" spans="1:21" x14ac:dyDescent="0.2">
      <c r="A157" s="131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217"/>
      <c r="R157" s="217"/>
      <c r="S157" s="217"/>
      <c r="T157" s="134"/>
      <c r="U157" s="134"/>
    </row>
    <row r="158" spans="1:21" x14ac:dyDescent="0.2">
      <c r="A158" s="128" t="s">
        <v>378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29"/>
      <c r="R158" s="129"/>
      <c r="S158" s="129"/>
      <c r="T158" s="130"/>
      <c r="U158" s="130"/>
    </row>
    <row r="159" spans="1:21" x14ac:dyDescent="0.2">
      <c r="A159" s="131" t="s">
        <v>20</v>
      </c>
      <c r="B159" s="249" t="e">
        <f>B240/B62/B$1</f>
        <v>#DIV/0!</v>
      </c>
      <c r="C159" s="249" t="e">
        <f t="shared" ref="C159:M159" si="46">C240/C62/C$1</f>
        <v>#DIV/0!</v>
      </c>
      <c r="D159" s="249" t="e">
        <f t="shared" si="46"/>
        <v>#DIV/0!</v>
      </c>
      <c r="E159" s="249" t="e">
        <f t="shared" si="46"/>
        <v>#DIV/0!</v>
      </c>
      <c r="F159" s="249" t="e">
        <f t="shared" si="46"/>
        <v>#DIV/0!</v>
      </c>
      <c r="G159" s="249" t="e">
        <f t="shared" si="46"/>
        <v>#DIV/0!</v>
      </c>
      <c r="H159" s="249" t="e">
        <f t="shared" si="46"/>
        <v>#DIV/0!</v>
      </c>
      <c r="I159" s="249" t="e">
        <f t="shared" si="46"/>
        <v>#DIV/0!</v>
      </c>
      <c r="J159" s="249" t="e">
        <f t="shared" si="46"/>
        <v>#DIV/0!</v>
      </c>
      <c r="K159" s="249" t="e">
        <f t="shared" si="46"/>
        <v>#DIV/0!</v>
      </c>
      <c r="L159" s="249" t="e">
        <f t="shared" si="46"/>
        <v>#DIV/0!</v>
      </c>
      <c r="M159" s="249" t="e">
        <f t="shared" si="46"/>
        <v>#DIV/0!</v>
      </c>
      <c r="N159" s="250" t="e">
        <f>AVERAGE(B159:M159)</f>
        <v>#DIV/0!</v>
      </c>
      <c r="O159" s="250"/>
      <c r="P159" s="250"/>
      <c r="Q159" s="251"/>
      <c r="R159" s="251"/>
      <c r="S159" s="251"/>
      <c r="T159" s="250"/>
      <c r="U159" s="250"/>
    </row>
    <row r="160" spans="1:21" x14ac:dyDescent="0.2">
      <c r="A160" s="131" t="s">
        <v>231</v>
      </c>
      <c r="B160" s="249" t="e">
        <f t="shared" ref="B160:M162" si="47">B241/B63/B$1</f>
        <v>#DIV/0!</v>
      </c>
      <c r="C160" s="249" t="e">
        <f t="shared" si="47"/>
        <v>#DIV/0!</v>
      </c>
      <c r="D160" s="249" t="e">
        <f t="shared" si="47"/>
        <v>#DIV/0!</v>
      </c>
      <c r="E160" s="249" t="e">
        <f t="shared" si="47"/>
        <v>#DIV/0!</v>
      </c>
      <c r="F160" s="249" t="e">
        <f t="shared" si="47"/>
        <v>#DIV/0!</v>
      </c>
      <c r="G160" s="249" t="e">
        <f t="shared" si="47"/>
        <v>#DIV/0!</v>
      </c>
      <c r="H160" s="249" t="e">
        <f t="shared" si="47"/>
        <v>#DIV/0!</v>
      </c>
      <c r="I160" s="249" t="e">
        <f t="shared" si="47"/>
        <v>#DIV/0!</v>
      </c>
      <c r="J160" s="249" t="e">
        <f t="shared" si="47"/>
        <v>#DIV/0!</v>
      </c>
      <c r="K160" s="249" t="e">
        <f t="shared" si="47"/>
        <v>#DIV/0!</v>
      </c>
      <c r="L160" s="249" t="e">
        <f t="shared" si="47"/>
        <v>#DIV/0!</v>
      </c>
      <c r="M160" s="249" t="e">
        <f t="shared" si="47"/>
        <v>#DIV/0!</v>
      </c>
      <c r="N160" s="250" t="e">
        <f>AVERAGE(B160:M160)</f>
        <v>#DIV/0!</v>
      </c>
      <c r="O160" s="250"/>
      <c r="P160" s="250"/>
      <c r="Q160" s="251"/>
      <c r="R160" s="251"/>
      <c r="S160" s="251"/>
      <c r="T160" s="250"/>
      <c r="U160" s="250"/>
    </row>
    <row r="161" spans="1:21" x14ac:dyDescent="0.2">
      <c r="A161" s="131" t="s">
        <v>18</v>
      </c>
      <c r="B161" s="249" t="e">
        <f t="shared" si="47"/>
        <v>#DIV/0!</v>
      </c>
      <c r="C161" s="249" t="e">
        <f t="shared" si="47"/>
        <v>#DIV/0!</v>
      </c>
      <c r="D161" s="249" t="e">
        <f t="shared" si="47"/>
        <v>#DIV/0!</v>
      </c>
      <c r="E161" s="249" t="e">
        <f t="shared" si="47"/>
        <v>#DIV/0!</v>
      </c>
      <c r="F161" s="249" t="e">
        <f t="shared" si="47"/>
        <v>#DIV/0!</v>
      </c>
      <c r="G161" s="249" t="e">
        <f t="shared" si="47"/>
        <v>#DIV/0!</v>
      </c>
      <c r="H161" s="249" t="e">
        <f t="shared" si="47"/>
        <v>#DIV/0!</v>
      </c>
      <c r="I161" s="249" t="e">
        <f t="shared" si="47"/>
        <v>#DIV/0!</v>
      </c>
      <c r="J161" s="249" t="e">
        <f t="shared" si="47"/>
        <v>#DIV/0!</v>
      </c>
      <c r="K161" s="249" t="e">
        <f t="shared" si="47"/>
        <v>#DIV/0!</v>
      </c>
      <c r="L161" s="249" t="e">
        <f t="shared" si="47"/>
        <v>#DIV/0!</v>
      </c>
      <c r="M161" s="249" t="e">
        <f t="shared" si="47"/>
        <v>#DIV/0!</v>
      </c>
      <c r="N161" s="250" t="e">
        <f>AVERAGE(B161:M161)</f>
        <v>#DIV/0!</v>
      </c>
      <c r="O161" s="250"/>
      <c r="P161" s="250"/>
      <c r="Q161" s="251"/>
      <c r="R161" s="251"/>
      <c r="S161" s="251"/>
      <c r="T161" s="250"/>
      <c r="U161" s="250"/>
    </row>
    <row r="162" spans="1:21" x14ac:dyDescent="0.2">
      <c r="A162" s="131" t="s">
        <v>17</v>
      </c>
      <c r="B162" s="249" t="e">
        <f t="shared" si="47"/>
        <v>#DIV/0!</v>
      </c>
      <c r="C162" s="249" t="e">
        <f t="shared" si="47"/>
        <v>#DIV/0!</v>
      </c>
      <c r="D162" s="249" t="e">
        <f t="shared" si="47"/>
        <v>#DIV/0!</v>
      </c>
      <c r="E162" s="249" t="e">
        <f t="shared" si="47"/>
        <v>#DIV/0!</v>
      </c>
      <c r="F162" s="249" t="e">
        <f t="shared" si="47"/>
        <v>#DIV/0!</v>
      </c>
      <c r="G162" s="249" t="e">
        <f t="shared" si="47"/>
        <v>#DIV/0!</v>
      </c>
      <c r="H162" s="249" t="e">
        <f t="shared" si="47"/>
        <v>#DIV/0!</v>
      </c>
      <c r="I162" s="249" t="e">
        <f t="shared" si="47"/>
        <v>#DIV/0!</v>
      </c>
      <c r="J162" s="249" t="e">
        <f t="shared" si="47"/>
        <v>#DIV/0!</v>
      </c>
      <c r="K162" s="249" t="e">
        <f t="shared" si="47"/>
        <v>#DIV/0!</v>
      </c>
      <c r="L162" s="249" t="e">
        <f t="shared" si="47"/>
        <v>#DIV/0!</v>
      </c>
      <c r="M162" s="249" t="e">
        <f t="shared" si="47"/>
        <v>#DIV/0!</v>
      </c>
      <c r="N162" s="250" t="e">
        <f>AVERAGE(B162:M162)</f>
        <v>#DIV/0!</v>
      </c>
      <c r="O162" s="250"/>
      <c r="P162" s="250"/>
      <c r="Q162" s="251"/>
      <c r="R162" s="251"/>
      <c r="S162" s="251"/>
      <c r="T162" s="250"/>
      <c r="U162" s="250"/>
    </row>
    <row r="163" spans="1:21" x14ac:dyDescent="0.2">
      <c r="A163" s="131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217"/>
      <c r="R163" s="217"/>
      <c r="S163" s="217"/>
      <c r="T163" s="134"/>
      <c r="U163" s="134"/>
    </row>
    <row r="164" spans="1:21" x14ac:dyDescent="0.2">
      <c r="A164" s="128" t="s">
        <v>251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29"/>
      <c r="R164" s="129"/>
      <c r="S164" s="129"/>
      <c r="T164" s="130"/>
      <c r="U164" s="130"/>
    </row>
    <row r="165" spans="1:21" x14ac:dyDescent="0.2">
      <c r="A165" s="131" t="s">
        <v>20</v>
      </c>
      <c r="B165" s="249">
        <f>B247/B69/B$1</f>
        <v>0.137931625</v>
      </c>
      <c r="C165" s="249">
        <f t="shared" ref="C165:M165" si="48">C247/C69/C$1</f>
        <v>0.13740374999999999</v>
      </c>
      <c r="D165" s="249">
        <f t="shared" si="48"/>
        <v>0.138008875</v>
      </c>
      <c r="E165" s="249">
        <f t="shared" si="48"/>
        <v>0.13655399999999998</v>
      </c>
      <c r="F165" s="249">
        <f t="shared" si="48"/>
        <v>0.13714625</v>
      </c>
      <c r="G165" s="249">
        <f t="shared" si="48"/>
        <v>0.13889725</v>
      </c>
      <c r="H165" s="249">
        <f t="shared" si="48"/>
        <v>0.135768625</v>
      </c>
      <c r="I165" s="249">
        <f t="shared" si="48"/>
        <v>0.13688874999999998</v>
      </c>
      <c r="J165" s="249">
        <f t="shared" si="48"/>
        <v>0.135948875</v>
      </c>
      <c r="K165" s="249">
        <f t="shared" si="48"/>
        <v>0.13851100000000002</v>
      </c>
      <c r="L165" s="249">
        <f t="shared" si="48"/>
        <v>0.13745524999999997</v>
      </c>
      <c r="M165" s="249">
        <f t="shared" si="48"/>
        <v>0.14430925</v>
      </c>
      <c r="N165" s="250">
        <f>AVERAGE(B165:M165)</f>
        <v>0.13790195833333332</v>
      </c>
      <c r="O165" s="250"/>
      <c r="P165" s="250"/>
      <c r="Q165" s="251"/>
      <c r="R165" s="251"/>
      <c r="S165" s="251"/>
      <c r="T165" s="250"/>
      <c r="U165" s="250"/>
    </row>
    <row r="166" spans="1:21" x14ac:dyDescent="0.2">
      <c r="A166" s="131" t="s">
        <v>351</v>
      </c>
      <c r="B166" s="249">
        <f t="shared" ref="B166:M168" si="49">B248/B70/B$1</f>
        <v>1.0300252658793115E-2</v>
      </c>
      <c r="C166" s="249">
        <f t="shared" si="49"/>
        <v>1.0300242130750604E-2</v>
      </c>
      <c r="D166" s="249">
        <f t="shared" si="49"/>
        <v>1.0300005940711697E-2</v>
      </c>
      <c r="E166" s="249">
        <f t="shared" si="49"/>
        <v>1.0299796747967481E-2</v>
      </c>
      <c r="F166" s="249">
        <f t="shared" si="49"/>
        <v>1.0299841353781069E-2</v>
      </c>
      <c r="G166" s="249">
        <f t="shared" si="49"/>
        <v>1.0300281293952182E-2</v>
      </c>
      <c r="H166" s="249">
        <f t="shared" si="49"/>
        <v>1.030008548162145E-2</v>
      </c>
      <c r="I166" s="249">
        <f t="shared" si="49"/>
        <v>1.0300051203277009E-2</v>
      </c>
      <c r="J166" s="249">
        <f t="shared" si="49"/>
        <v>1.0300142247510668E-2</v>
      </c>
      <c r="K166" s="249">
        <f t="shared" si="49"/>
        <v>1.0300179211469534E-2</v>
      </c>
      <c r="L166" s="249">
        <f t="shared" si="49"/>
        <v>1.0299772468714448E-2</v>
      </c>
      <c r="M166" s="249">
        <f t="shared" si="49"/>
        <v>1.029995621077215E-2</v>
      </c>
      <c r="N166" s="250">
        <f>AVERAGE(B166:M166)</f>
        <v>1.0300050579110117E-2</v>
      </c>
      <c r="O166" s="250"/>
      <c r="P166" s="250"/>
      <c r="Q166" s="251"/>
      <c r="R166" s="251"/>
      <c r="S166" s="251"/>
      <c r="T166" s="250"/>
      <c r="U166" s="250"/>
    </row>
    <row r="167" spans="1:21" x14ac:dyDescent="0.2">
      <c r="A167" s="131" t="s">
        <v>352</v>
      </c>
      <c r="B167" s="249" t="e">
        <f t="shared" si="49"/>
        <v>#DIV/0!</v>
      </c>
      <c r="C167" s="249" t="e">
        <f t="shared" si="49"/>
        <v>#DIV/0!</v>
      </c>
      <c r="D167" s="249" t="e">
        <f t="shared" si="49"/>
        <v>#DIV/0!</v>
      </c>
      <c r="E167" s="249" t="e">
        <f t="shared" si="49"/>
        <v>#DIV/0!</v>
      </c>
      <c r="F167" s="249" t="e">
        <f t="shared" si="49"/>
        <v>#DIV/0!</v>
      </c>
      <c r="G167" s="249" t="e">
        <f t="shared" si="49"/>
        <v>#DIV/0!</v>
      </c>
      <c r="H167" s="249" t="e">
        <f t="shared" si="49"/>
        <v>#DIV/0!</v>
      </c>
      <c r="I167" s="249" t="e">
        <f t="shared" si="49"/>
        <v>#DIV/0!</v>
      </c>
      <c r="J167" s="249" t="e">
        <f t="shared" si="49"/>
        <v>#DIV/0!</v>
      </c>
      <c r="K167" s="249" t="e">
        <f t="shared" si="49"/>
        <v>#DIV/0!</v>
      </c>
      <c r="L167" s="249" t="e">
        <f t="shared" si="49"/>
        <v>#DIV/0!</v>
      </c>
      <c r="M167" s="249" t="e">
        <f t="shared" si="49"/>
        <v>#DIV/0!</v>
      </c>
      <c r="N167" s="250" t="e">
        <f>AVERAGE(B167:M167)</f>
        <v>#DIV/0!</v>
      </c>
      <c r="O167" s="250"/>
      <c r="P167" s="250"/>
      <c r="Q167" s="251"/>
      <c r="R167" s="251"/>
      <c r="S167" s="251"/>
      <c r="T167" s="250"/>
      <c r="U167" s="250"/>
    </row>
    <row r="168" spans="1:21" x14ac:dyDescent="0.2">
      <c r="A168" s="131" t="s">
        <v>355</v>
      </c>
      <c r="B168" s="249">
        <f t="shared" si="49"/>
        <v>0.02</v>
      </c>
      <c r="C168" s="249">
        <f t="shared" si="49"/>
        <v>1.9999999999999997E-2</v>
      </c>
      <c r="D168" s="249">
        <f t="shared" si="49"/>
        <v>0.02</v>
      </c>
      <c r="E168" s="249">
        <f t="shared" si="49"/>
        <v>0.02</v>
      </c>
      <c r="F168" s="249">
        <f t="shared" si="49"/>
        <v>0.02</v>
      </c>
      <c r="G168" s="249">
        <f t="shared" si="49"/>
        <v>0.02</v>
      </c>
      <c r="H168" s="249">
        <f t="shared" si="49"/>
        <v>0.02</v>
      </c>
      <c r="I168" s="249">
        <f t="shared" si="49"/>
        <v>0.02</v>
      </c>
      <c r="J168" s="249">
        <f t="shared" si="49"/>
        <v>0.02</v>
      </c>
      <c r="K168" s="249">
        <f t="shared" si="49"/>
        <v>0.02</v>
      </c>
      <c r="L168" s="249">
        <f t="shared" si="49"/>
        <v>0.02</v>
      </c>
      <c r="M168" s="249">
        <f t="shared" si="49"/>
        <v>0.02</v>
      </c>
      <c r="N168" s="250">
        <f>AVERAGE(B168:M168)</f>
        <v>1.9999999999999997E-2</v>
      </c>
      <c r="O168" s="250"/>
      <c r="P168" s="250"/>
      <c r="Q168" s="251"/>
      <c r="R168" s="251"/>
      <c r="S168" s="251"/>
      <c r="T168" s="250"/>
      <c r="U168" s="250"/>
    </row>
    <row r="169" spans="1:21" x14ac:dyDescent="0.2">
      <c r="A169" s="131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217"/>
      <c r="R169" s="217"/>
      <c r="S169" s="217"/>
      <c r="T169" s="134"/>
      <c r="U169" s="134"/>
    </row>
    <row r="170" spans="1:21" x14ac:dyDescent="0.2">
      <c r="A170" s="128" t="s">
        <v>54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29"/>
      <c r="R170" s="129"/>
      <c r="S170" s="129"/>
      <c r="T170" s="130"/>
      <c r="U170" s="130"/>
    </row>
    <row r="171" spans="1:21" x14ac:dyDescent="0.2">
      <c r="A171" s="131" t="s">
        <v>20</v>
      </c>
      <c r="B171" s="249">
        <f>B258/B79/B$1</f>
        <v>5.4682798798798803E-2</v>
      </c>
      <c r="C171" s="249">
        <f t="shared" ref="C171:M171" si="50">C258/C79/C$1</f>
        <v>5.3736108108108117E-2</v>
      </c>
      <c r="D171" s="249">
        <f t="shared" si="50"/>
        <v>5.371237237237237E-2</v>
      </c>
      <c r="E171" s="249">
        <f t="shared" si="50"/>
        <v>5.441608408408409E-2</v>
      </c>
      <c r="F171" s="249">
        <f t="shared" si="50"/>
        <v>5.4647627627627621E-2</v>
      </c>
      <c r="G171" s="249">
        <f t="shared" si="50"/>
        <v>5.4600300300300296E-2</v>
      </c>
      <c r="H171" s="249">
        <f t="shared" si="50"/>
        <v>5.689718232044199E-2</v>
      </c>
      <c r="I171" s="249">
        <f t="shared" si="50"/>
        <v>5.6119723756906083E-2</v>
      </c>
      <c r="J171" s="249">
        <f t="shared" si="50"/>
        <v>5.652922651933702E-2</v>
      </c>
      <c r="K171" s="249">
        <f t="shared" si="50"/>
        <v>5.4012912912912922E-2</v>
      </c>
      <c r="L171" s="249">
        <f t="shared" si="50"/>
        <v>5.3591723723723714E-2</v>
      </c>
      <c r="M171" s="249">
        <f t="shared" si="50"/>
        <v>5.3691231231231221E-2</v>
      </c>
      <c r="N171" s="250">
        <f>AVERAGE(B171:M171)</f>
        <v>5.4719774312987017E-2</v>
      </c>
      <c r="O171" s="250"/>
      <c r="P171" s="250"/>
      <c r="Q171" s="251"/>
      <c r="R171" s="251"/>
      <c r="S171" s="251"/>
      <c r="T171" s="250"/>
      <c r="U171" s="250"/>
    </row>
    <row r="172" spans="1:21" x14ac:dyDescent="0.2">
      <c r="A172" s="131" t="s">
        <v>351</v>
      </c>
      <c r="B172" s="249">
        <f t="shared" ref="B172:M174" si="51">B259/B80/B$1</f>
        <v>3.2000495771418395E-3</v>
      </c>
      <c r="C172" s="249">
        <f t="shared" si="51"/>
        <v>3.1999550204500045E-3</v>
      </c>
      <c r="D172" s="249">
        <f t="shared" si="51"/>
        <v>3.1999906970253738E-3</v>
      </c>
      <c r="E172" s="249">
        <f t="shared" si="51"/>
        <v>3.2000425396150165E-3</v>
      </c>
      <c r="F172" s="249">
        <f t="shared" si="51"/>
        <v>3.2000619416780391E-3</v>
      </c>
      <c r="G172" s="249">
        <f t="shared" si="51"/>
        <v>3.2000000000000002E-3</v>
      </c>
      <c r="H172" s="249">
        <f t="shared" si="51"/>
        <v>3.1999834732938759E-3</v>
      </c>
      <c r="I172" s="249">
        <f t="shared" si="51"/>
        <v>3.1999698573066428E-3</v>
      </c>
      <c r="J172" s="249">
        <f t="shared" si="51"/>
        <v>3.2000155927182005E-3</v>
      </c>
      <c r="K172" s="249">
        <f t="shared" si="51"/>
        <v>3.2000000000000002E-3</v>
      </c>
      <c r="L172" s="249">
        <f t="shared" si="51"/>
        <v>3.1999718002044485E-3</v>
      </c>
      <c r="M172" s="249">
        <f t="shared" si="51"/>
        <v>3.1999999999999997E-3</v>
      </c>
      <c r="N172" s="250">
        <f>AVERAGE(B172:M172)</f>
        <v>3.200003374952787E-3</v>
      </c>
      <c r="O172" s="250"/>
      <c r="P172" s="250"/>
      <c r="Q172" s="251"/>
      <c r="R172" s="251"/>
      <c r="S172" s="251"/>
      <c r="T172" s="250"/>
      <c r="U172" s="250"/>
    </row>
    <row r="173" spans="1:21" x14ac:dyDescent="0.2">
      <c r="A173" s="131" t="s">
        <v>352</v>
      </c>
      <c r="B173" s="249" t="e">
        <f t="shared" si="51"/>
        <v>#DIV/0!</v>
      </c>
      <c r="C173" s="249" t="e">
        <f t="shared" si="51"/>
        <v>#DIV/0!</v>
      </c>
      <c r="D173" s="249" t="e">
        <f t="shared" si="51"/>
        <v>#DIV/0!</v>
      </c>
      <c r="E173" s="249" t="e">
        <f t="shared" si="51"/>
        <v>#DIV/0!</v>
      </c>
      <c r="F173" s="249" t="e">
        <f t="shared" si="51"/>
        <v>#DIV/0!</v>
      </c>
      <c r="G173" s="249" t="e">
        <f t="shared" si="51"/>
        <v>#DIV/0!</v>
      </c>
      <c r="H173" s="249" t="e">
        <f t="shared" si="51"/>
        <v>#DIV/0!</v>
      </c>
      <c r="I173" s="249" t="e">
        <f t="shared" si="51"/>
        <v>#DIV/0!</v>
      </c>
      <c r="J173" s="249" t="e">
        <f t="shared" si="51"/>
        <v>#DIV/0!</v>
      </c>
      <c r="K173" s="249" t="e">
        <f t="shared" si="51"/>
        <v>#DIV/0!</v>
      </c>
      <c r="L173" s="249" t="e">
        <f t="shared" si="51"/>
        <v>#DIV/0!</v>
      </c>
      <c r="M173" s="249" t="e">
        <f t="shared" si="51"/>
        <v>#DIV/0!</v>
      </c>
      <c r="N173" s="250" t="e">
        <f>AVERAGE(B173:M173)</f>
        <v>#DIV/0!</v>
      </c>
      <c r="O173" s="250"/>
      <c r="P173" s="250"/>
      <c r="Q173" s="251"/>
      <c r="R173" s="251"/>
      <c r="S173" s="251"/>
      <c r="T173" s="250"/>
      <c r="U173" s="250"/>
    </row>
    <row r="174" spans="1:21" x14ac:dyDescent="0.2">
      <c r="A174" s="131" t="s">
        <v>355</v>
      </c>
      <c r="B174" s="249">
        <f t="shared" si="51"/>
        <v>1.4999999999999999E-2</v>
      </c>
      <c r="C174" s="249">
        <f t="shared" si="51"/>
        <v>1.4999999999999999E-2</v>
      </c>
      <c r="D174" s="249">
        <f t="shared" si="51"/>
        <v>1.4999999999999999E-2</v>
      </c>
      <c r="E174" s="249">
        <f t="shared" si="51"/>
        <v>0.05</v>
      </c>
      <c r="F174" s="249">
        <f t="shared" si="51"/>
        <v>4.9999999999999996E-2</v>
      </c>
      <c r="G174" s="249">
        <f t="shared" si="51"/>
        <v>0.05</v>
      </c>
      <c r="H174" s="249">
        <f t="shared" si="51"/>
        <v>4.9999999999999996E-2</v>
      </c>
      <c r="I174" s="249">
        <f t="shared" si="51"/>
        <v>0.05</v>
      </c>
      <c r="J174" s="249">
        <f t="shared" si="51"/>
        <v>0.05</v>
      </c>
      <c r="K174" s="249">
        <f t="shared" si="51"/>
        <v>4.9999999999999996E-2</v>
      </c>
      <c r="L174" s="249">
        <f t="shared" si="51"/>
        <v>1.4999999999999998E-2</v>
      </c>
      <c r="M174" s="249">
        <f t="shared" si="51"/>
        <v>1.5000000000000001E-2</v>
      </c>
      <c r="N174" s="250">
        <f>AVERAGE(B174:M174)</f>
        <v>3.5416666666666666E-2</v>
      </c>
      <c r="O174" s="250"/>
      <c r="P174" s="250"/>
      <c r="Q174" s="251"/>
      <c r="R174" s="251"/>
      <c r="S174" s="251"/>
      <c r="T174" s="250"/>
      <c r="U174" s="250"/>
    </row>
    <row r="175" spans="1:21" x14ac:dyDescent="0.2">
      <c r="A175" s="131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217"/>
      <c r="R175" s="217"/>
      <c r="S175" s="217"/>
      <c r="T175" s="134"/>
      <c r="U175" s="134"/>
    </row>
    <row r="176" spans="1:21" x14ac:dyDescent="0.2">
      <c r="A176" s="128" t="s">
        <v>256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29"/>
      <c r="R176" s="129"/>
      <c r="S176" s="129"/>
      <c r="T176" s="130"/>
      <c r="U176" s="130"/>
    </row>
    <row r="177" spans="1:27" x14ac:dyDescent="0.2">
      <c r="A177" s="131" t="s">
        <v>20</v>
      </c>
      <c r="B177" s="249">
        <f>B265/B86/B$1</f>
        <v>4.5864096525096529E-2</v>
      </c>
      <c r="C177" s="249">
        <f t="shared" ref="C177:M177" si="52">C265/C86/C$1</f>
        <v>4.5888602316602307E-2</v>
      </c>
      <c r="D177" s="249">
        <f t="shared" si="52"/>
        <v>4.593103088803089E-2</v>
      </c>
      <c r="E177" s="249">
        <f t="shared" si="52"/>
        <v>4.5969509652509663E-2</v>
      </c>
      <c r="F177" s="249">
        <f t="shared" si="52"/>
        <v>4.5985011583011583E-2</v>
      </c>
      <c r="G177" s="249">
        <f t="shared" si="52"/>
        <v>4.6000555984555991E-2</v>
      </c>
      <c r="H177" s="249">
        <f t="shared" si="52"/>
        <v>4.5815382239382245E-2</v>
      </c>
      <c r="I177" s="249">
        <f t="shared" si="52"/>
        <v>4.5914424710424714E-2</v>
      </c>
      <c r="J177" s="249">
        <f t="shared" si="52"/>
        <v>4.5813725868725876E-2</v>
      </c>
      <c r="K177" s="249">
        <f t="shared" si="52"/>
        <v>4.5976772200772204E-2</v>
      </c>
      <c r="L177" s="249">
        <f t="shared" si="52"/>
        <v>4.5998772200772198E-2</v>
      </c>
      <c r="M177" s="249">
        <f t="shared" si="52"/>
        <v>4.6041837837837836E-2</v>
      </c>
      <c r="N177" s="250">
        <f>AVERAGE(B177:M177)</f>
        <v>4.5933310167310171E-2</v>
      </c>
      <c r="O177" s="250"/>
      <c r="P177" s="250"/>
      <c r="Q177" s="251"/>
      <c r="R177" s="251"/>
      <c r="S177" s="251"/>
      <c r="T177" s="250"/>
      <c r="U177" s="250"/>
    </row>
    <row r="178" spans="1:27" x14ac:dyDescent="0.2">
      <c r="A178" s="131" t="s">
        <v>351</v>
      </c>
      <c r="B178" s="249">
        <f t="shared" ref="B178:M180" si="53">B266/B87/B$1</f>
        <v>1.0999728896866913E-3</v>
      </c>
      <c r="C178" s="249">
        <f t="shared" si="53"/>
        <v>1.1000263304174833E-3</v>
      </c>
      <c r="D178" s="249">
        <f t="shared" si="53"/>
        <v>1.1000429921865617E-3</v>
      </c>
      <c r="E178" s="249">
        <f t="shared" si="53"/>
        <v>1.1000170193453224E-3</v>
      </c>
      <c r="F178" s="249">
        <f t="shared" si="53"/>
        <v>1.0999360893403749E-3</v>
      </c>
      <c r="G178" s="249">
        <f t="shared" si="53"/>
        <v>1.1000631313131312E-3</v>
      </c>
      <c r="H178" s="249">
        <f t="shared" si="53"/>
        <v>1.0999550790972113E-3</v>
      </c>
      <c r="I178" s="249">
        <f t="shared" si="53"/>
        <v>1.099985681264958E-3</v>
      </c>
      <c r="J178" s="249">
        <f t="shared" si="53"/>
        <v>1.0999452140565077E-3</v>
      </c>
      <c r="K178" s="249">
        <f t="shared" si="53"/>
        <v>1.0999083409715857E-3</v>
      </c>
      <c r="L178" s="249">
        <f t="shared" si="53"/>
        <v>1.1000905262329279E-3</v>
      </c>
      <c r="M178" s="249">
        <f t="shared" si="53"/>
        <v>1.0999829836886501E-3</v>
      </c>
      <c r="N178" s="250">
        <f>AVERAGE(B178:M178)</f>
        <v>1.0999938564667841E-3</v>
      </c>
      <c r="O178" s="250"/>
      <c r="P178" s="250"/>
      <c r="Q178" s="251"/>
      <c r="R178" s="251"/>
      <c r="S178" s="251"/>
      <c r="T178" s="250"/>
      <c r="U178" s="250"/>
    </row>
    <row r="179" spans="1:27" x14ac:dyDescent="0.2">
      <c r="A179" s="131" t="s">
        <v>352</v>
      </c>
      <c r="B179" s="249" t="e">
        <f t="shared" si="53"/>
        <v>#DIV/0!</v>
      </c>
      <c r="C179" s="249" t="e">
        <f t="shared" si="53"/>
        <v>#DIV/0!</v>
      </c>
      <c r="D179" s="249" t="e">
        <f t="shared" si="53"/>
        <v>#DIV/0!</v>
      </c>
      <c r="E179" s="249" t="e">
        <f t="shared" si="53"/>
        <v>#DIV/0!</v>
      </c>
      <c r="F179" s="249" t="e">
        <f t="shared" si="53"/>
        <v>#DIV/0!</v>
      </c>
      <c r="G179" s="249" t="e">
        <f t="shared" si="53"/>
        <v>#DIV/0!</v>
      </c>
      <c r="H179" s="249" t="e">
        <f t="shared" si="53"/>
        <v>#DIV/0!</v>
      </c>
      <c r="I179" s="249" t="e">
        <f t="shared" si="53"/>
        <v>#DIV/0!</v>
      </c>
      <c r="J179" s="249" t="e">
        <f t="shared" si="53"/>
        <v>#DIV/0!</v>
      </c>
      <c r="K179" s="249" t="e">
        <f t="shared" si="53"/>
        <v>#DIV/0!</v>
      </c>
      <c r="L179" s="249" t="e">
        <f t="shared" si="53"/>
        <v>#DIV/0!</v>
      </c>
      <c r="M179" s="249" t="e">
        <f t="shared" si="53"/>
        <v>#DIV/0!</v>
      </c>
      <c r="N179" s="250" t="e">
        <f>AVERAGE(B179:M179)</f>
        <v>#DIV/0!</v>
      </c>
      <c r="O179" s="250"/>
      <c r="P179" s="250"/>
      <c r="Q179" s="251"/>
      <c r="R179" s="251"/>
      <c r="S179" s="251"/>
      <c r="T179" s="250"/>
      <c r="U179" s="250"/>
    </row>
    <row r="180" spans="1:27" x14ac:dyDescent="0.2">
      <c r="A180" s="131" t="s">
        <v>355</v>
      </c>
      <c r="B180" s="249">
        <f t="shared" si="53"/>
        <v>1.5000000000000001E-2</v>
      </c>
      <c r="C180" s="249">
        <f t="shared" si="53"/>
        <v>1.4999999999999999E-2</v>
      </c>
      <c r="D180" s="249">
        <f t="shared" si="53"/>
        <v>1.4999999999999999E-2</v>
      </c>
      <c r="E180" s="249">
        <f t="shared" si="53"/>
        <v>4.9999999999999996E-2</v>
      </c>
      <c r="F180" s="249">
        <f t="shared" si="53"/>
        <v>0.05</v>
      </c>
      <c r="G180" s="249">
        <f t="shared" si="53"/>
        <v>0.05</v>
      </c>
      <c r="H180" s="249">
        <f t="shared" si="53"/>
        <v>0.05</v>
      </c>
      <c r="I180" s="249">
        <f t="shared" si="53"/>
        <v>0.05</v>
      </c>
      <c r="J180" s="249">
        <f t="shared" si="53"/>
        <v>0.05</v>
      </c>
      <c r="K180" s="249">
        <f t="shared" si="53"/>
        <v>0.05</v>
      </c>
      <c r="L180" s="249">
        <f t="shared" si="53"/>
        <v>1.5000000000000001E-2</v>
      </c>
      <c r="M180" s="249">
        <f t="shared" si="53"/>
        <v>1.5000000000000001E-2</v>
      </c>
      <c r="N180" s="250">
        <f>AVERAGE(B180:M180)</f>
        <v>3.5416666666666666E-2</v>
      </c>
      <c r="O180" s="250"/>
      <c r="P180" s="250"/>
      <c r="Q180" s="251"/>
      <c r="R180" s="251"/>
      <c r="S180" s="251"/>
      <c r="T180" s="250"/>
      <c r="U180" s="250"/>
    </row>
    <row r="181" spans="1:27" x14ac:dyDescent="0.2">
      <c r="A181" s="131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217"/>
      <c r="R181" s="217"/>
      <c r="S181" s="217"/>
      <c r="T181" s="134"/>
      <c r="U181" s="134"/>
    </row>
    <row r="182" spans="1:27" x14ac:dyDescent="0.2">
      <c r="A182" s="128" t="s">
        <v>262</v>
      </c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29"/>
      <c r="R182" s="129"/>
      <c r="S182" s="129"/>
      <c r="T182" s="130"/>
      <c r="U182" s="130"/>
    </row>
    <row r="183" spans="1:27" x14ac:dyDescent="0.2">
      <c r="A183" s="131" t="s">
        <v>20</v>
      </c>
      <c r="B183" s="249">
        <f>B276/B96/B$1</f>
        <v>0.10365025125628141</v>
      </c>
      <c r="C183" s="249">
        <f t="shared" ref="C183:M183" si="54">C276/C96/C$1</f>
        <v>0.1036502512562814</v>
      </c>
      <c r="D183" s="249">
        <f t="shared" si="54"/>
        <v>0.1034931937172775</v>
      </c>
      <c r="E183" s="249">
        <f t="shared" si="54"/>
        <v>0.10349319371727748</v>
      </c>
      <c r="F183" s="249">
        <f t="shared" si="54"/>
        <v>0.1034931937172775</v>
      </c>
      <c r="G183" s="249">
        <f t="shared" si="54"/>
        <v>0.10349319371727748</v>
      </c>
      <c r="H183" s="249">
        <f t="shared" si="54"/>
        <v>0.1034931937172775</v>
      </c>
      <c r="I183" s="249">
        <f t="shared" si="54"/>
        <v>0.1034931937172775</v>
      </c>
      <c r="J183" s="249">
        <f t="shared" si="54"/>
        <v>0.10349319371727748</v>
      </c>
      <c r="K183" s="249">
        <f t="shared" si="54"/>
        <v>0.1034931937172775</v>
      </c>
      <c r="L183" s="249">
        <f t="shared" si="54"/>
        <v>0.10816228070175439</v>
      </c>
      <c r="M183" s="249">
        <f t="shared" si="54"/>
        <v>0.10816228070175439</v>
      </c>
      <c r="N183" s="250">
        <f>AVERAGE(B183:M183)</f>
        <v>0.10429755113785762</v>
      </c>
      <c r="O183" s="250"/>
      <c r="P183" s="250"/>
      <c r="Q183" s="251"/>
      <c r="R183" s="251"/>
      <c r="S183" s="251"/>
      <c r="T183" s="250"/>
      <c r="U183" s="250"/>
    </row>
    <row r="184" spans="1:27" x14ac:dyDescent="0.2">
      <c r="A184" s="131" t="s">
        <v>231</v>
      </c>
      <c r="B184" s="249">
        <f t="shared" ref="B184:M186" si="55">B277/B97/B$1</f>
        <v>1.0999891932782192E-3</v>
      </c>
      <c r="C184" s="249">
        <f t="shared" si="55"/>
        <v>1.1000336961776813E-3</v>
      </c>
      <c r="D184" s="249">
        <f t="shared" si="55"/>
        <v>1.1000275558004961E-3</v>
      </c>
      <c r="E184" s="249">
        <f t="shared" si="55"/>
        <v>1.100007587829122E-3</v>
      </c>
      <c r="F184" s="249">
        <f t="shared" si="55"/>
        <v>1.099987038644478E-3</v>
      </c>
      <c r="G184" s="249">
        <f t="shared" si="55"/>
        <v>1.1000102658864593E-3</v>
      </c>
      <c r="H184" s="249">
        <f t="shared" si="55"/>
        <v>1.1000275558004961E-3</v>
      </c>
      <c r="I184" s="249">
        <f t="shared" si="55"/>
        <v>1.0999643453620822E-3</v>
      </c>
      <c r="J184" s="249">
        <f t="shared" si="55"/>
        <v>1.099975068561456E-3</v>
      </c>
      <c r="K184" s="249">
        <f t="shared" si="55"/>
        <v>1.0999904540214271E-3</v>
      </c>
      <c r="L184" s="249">
        <f t="shared" si="55"/>
        <v>1.1000257052888633E-3</v>
      </c>
      <c r="M184" s="249">
        <f t="shared" si="55"/>
        <v>1.1000282965478213E-3</v>
      </c>
      <c r="N184" s="250">
        <f>AVERAGE(B184:M184)</f>
        <v>1.1000055635998834E-3</v>
      </c>
      <c r="O184" s="250"/>
      <c r="P184" s="250"/>
      <c r="Q184" s="251"/>
      <c r="R184" s="251"/>
      <c r="S184" s="251"/>
      <c r="T184" s="250"/>
      <c r="U184" s="250"/>
    </row>
    <row r="185" spans="1:27" x14ac:dyDescent="0.2">
      <c r="A185" s="131" t="s">
        <v>18</v>
      </c>
      <c r="B185" s="249" t="e">
        <f t="shared" si="55"/>
        <v>#DIV/0!</v>
      </c>
      <c r="C185" s="249" t="e">
        <f t="shared" si="55"/>
        <v>#DIV/0!</v>
      </c>
      <c r="D185" s="249" t="e">
        <f t="shared" si="55"/>
        <v>#DIV/0!</v>
      </c>
      <c r="E185" s="249" t="e">
        <f t="shared" si="55"/>
        <v>#DIV/0!</v>
      </c>
      <c r="F185" s="249" t="e">
        <f t="shared" si="55"/>
        <v>#DIV/0!</v>
      </c>
      <c r="G185" s="249" t="e">
        <f t="shared" si="55"/>
        <v>#DIV/0!</v>
      </c>
      <c r="H185" s="249" t="e">
        <f t="shared" si="55"/>
        <v>#DIV/0!</v>
      </c>
      <c r="I185" s="249" t="e">
        <f t="shared" si="55"/>
        <v>#DIV/0!</v>
      </c>
      <c r="J185" s="249" t="e">
        <f t="shared" si="55"/>
        <v>#DIV/0!</v>
      </c>
      <c r="K185" s="249" t="e">
        <f t="shared" si="55"/>
        <v>#DIV/0!</v>
      </c>
      <c r="L185" s="249" t="e">
        <f t="shared" si="55"/>
        <v>#DIV/0!</v>
      </c>
      <c r="M185" s="249" t="e">
        <f t="shared" si="55"/>
        <v>#DIV/0!</v>
      </c>
      <c r="N185" s="250" t="e">
        <f>AVERAGE(B185:M185)</f>
        <v>#DIV/0!</v>
      </c>
      <c r="O185" s="250"/>
      <c r="P185" s="250"/>
      <c r="Q185" s="251"/>
      <c r="R185" s="251"/>
      <c r="S185" s="251"/>
      <c r="T185" s="250"/>
      <c r="U185" s="250"/>
    </row>
    <row r="186" spans="1:27" x14ac:dyDescent="0.2">
      <c r="A186" s="131" t="s">
        <v>17</v>
      </c>
      <c r="B186" s="249" t="e">
        <f t="shared" si="55"/>
        <v>#DIV/0!</v>
      </c>
      <c r="C186" s="249" t="e">
        <f t="shared" si="55"/>
        <v>#DIV/0!</v>
      </c>
      <c r="D186" s="249" t="e">
        <f t="shared" si="55"/>
        <v>#DIV/0!</v>
      </c>
      <c r="E186" s="249" t="e">
        <f t="shared" si="55"/>
        <v>#DIV/0!</v>
      </c>
      <c r="F186" s="249" t="e">
        <f t="shared" si="55"/>
        <v>#DIV/0!</v>
      </c>
      <c r="G186" s="249" t="e">
        <f t="shared" si="55"/>
        <v>#DIV/0!</v>
      </c>
      <c r="H186" s="249" t="e">
        <f t="shared" si="55"/>
        <v>#DIV/0!</v>
      </c>
      <c r="I186" s="249" t="e">
        <f t="shared" si="55"/>
        <v>#DIV/0!</v>
      </c>
      <c r="J186" s="249" t="e">
        <f t="shared" si="55"/>
        <v>#DIV/0!</v>
      </c>
      <c r="K186" s="249" t="e">
        <f t="shared" si="55"/>
        <v>#DIV/0!</v>
      </c>
      <c r="L186" s="249" t="e">
        <f t="shared" si="55"/>
        <v>#DIV/0!</v>
      </c>
      <c r="M186" s="249" t="e">
        <f t="shared" si="55"/>
        <v>#DIV/0!</v>
      </c>
      <c r="N186" s="250" t="e">
        <f>AVERAGE(B186:M186)</f>
        <v>#DIV/0!</v>
      </c>
      <c r="O186" s="250"/>
      <c r="P186" s="250"/>
      <c r="Q186" s="251"/>
      <c r="R186" s="251"/>
      <c r="S186" s="251"/>
      <c r="T186" s="250"/>
      <c r="U186" s="250"/>
    </row>
    <row r="187" spans="1:27" x14ac:dyDescent="0.2">
      <c r="A187" s="13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2"/>
      <c r="O187" s="252"/>
      <c r="P187" s="251"/>
      <c r="Q187" s="251"/>
      <c r="R187" s="251"/>
      <c r="S187" s="251"/>
      <c r="T187" s="252"/>
      <c r="U187" s="252"/>
    </row>
    <row r="188" spans="1:27" ht="15.75" x14ac:dyDescent="0.2">
      <c r="A188" s="215" t="s">
        <v>379</v>
      </c>
      <c r="B188" s="130"/>
      <c r="C188" s="130"/>
      <c r="D188" s="130"/>
      <c r="E188" s="130"/>
      <c r="F188" s="253"/>
      <c r="G188" s="253"/>
      <c r="H188" s="130"/>
      <c r="I188" s="130"/>
      <c r="J188" s="130"/>
      <c r="K188" s="130"/>
      <c r="L188" s="130"/>
      <c r="M188" s="130"/>
      <c r="N188" s="134"/>
      <c r="O188" s="134"/>
      <c r="P188" s="254"/>
      <c r="Q188" s="255"/>
      <c r="R188" s="255"/>
      <c r="S188" s="254"/>
      <c r="T188" s="134"/>
      <c r="U188" s="134"/>
    </row>
    <row r="189" spans="1:27" ht="15.75" x14ac:dyDescent="0.2">
      <c r="A189" s="125" t="s">
        <v>24</v>
      </c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229"/>
      <c r="O189" s="229"/>
      <c r="P189" s="126"/>
      <c r="Q189" s="126"/>
      <c r="R189" s="126"/>
      <c r="S189" s="126"/>
      <c r="T189" s="229"/>
      <c r="U189" s="229"/>
    </row>
    <row r="190" spans="1:27" x14ac:dyDescent="0.2">
      <c r="A190" s="128" t="s">
        <v>230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4"/>
      <c r="O190" s="134"/>
      <c r="P190" s="129"/>
      <c r="Q190" s="129"/>
      <c r="R190" s="129"/>
      <c r="S190" s="129"/>
      <c r="T190" s="134"/>
      <c r="U190" s="134"/>
    </row>
    <row r="191" spans="1:27" x14ac:dyDescent="0.2">
      <c r="A191" s="131" t="s">
        <v>20</v>
      </c>
      <c r="B191" s="218">
        <f>('Out Years Data Input'!E227/1000)+('Out Years Data Input'!E228/1000)</f>
        <v>2180.2486699999999</v>
      </c>
      <c r="C191" s="218">
        <f>('Out Years Data Input'!H227/1000)+('Out Years Data Input'!H228/1000)</f>
        <v>1969.25596</v>
      </c>
      <c r="D191" s="218">
        <f>('Out Years Data Input'!K227/1000)+('Out Years Data Input'!K228/1000)</f>
        <v>2010.67867</v>
      </c>
      <c r="E191" s="218">
        <f>('Out Years Data Input'!N227/1000)+('Out Years Data Input'!N228/1000)</f>
        <v>1945.8171000000002</v>
      </c>
      <c r="F191" s="218">
        <f>('Out Years Data Input'!Q227/1000)+('Out Years Data Input'!Q228/1000)</f>
        <v>2010.67867</v>
      </c>
      <c r="G191" s="218">
        <f>('Out Years Data Input'!T227/1000)+('Out Years Data Input'!T228/1000)</f>
        <v>1937.4321</v>
      </c>
      <c r="H191" s="218">
        <f>('Out Years Data Input'!W227/1000)+('Out Years Data Input'!W228/1000)</f>
        <v>2002.0211821999999</v>
      </c>
      <c r="I191" s="218">
        <f>('Out Years Data Input'!Z227/1000)+('Out Years Data Input'!Z228/1000)</f>
        <v>2001.9440479999998</v>
      </c>
      <c r="J191" s="218">
        <f>('Out Years Data Input'!AC227/1000)+('Out Years Data Input'!AC228/1000)</f>
        <v>1937.3778120000002</v>
      </c>
      <c r="K191" s="218">
        <f>('Out Years Data Input'!AF227/1000)+('Out Years Data Input'!AF228/1000)</f>
        <v>2002.0141699999999</v>
      </c>
      <c r="L191" s="218">
        <f>('Out Years Data Input'!AI227/1000)+('Out Years Data Input'!AI228/1000)</f>
        <v>1978.8049680000001</v>
      </c>
      <c r="M191" s="218">
        <f>('Out Years Data Input'!AL227/1000)+('Out Years Data Input'!AL228/1000)</f>
        <v>2044.6724749999998</v>
      </c>
      <c r="N191" s="134">
        <f>SUM(B191:M191)</f>
        <v>24020.945825199997</v>
      </c>
      <c r="O191" s="256"/>
      <c r="P191" s="256"/>
      <c r="Q191" s="256"/>
      <c r="R191" s="256"/>
      <c r="S191" s="256"/>
      <c r="T191" s="134"/>
      <c r="U191" s="134"/>
    </row>
    <row r="192" spans="1:27" x14ac:dyDescent="0.2">
      <c r="A192" s="131" t="s">
        <v>231</v>
      </c>
      <c r="B192" s="218">
        <f>('Out Years Data Input'!E104/1000)+('Out Years Data Input'!E105/1000)</f>
        <v>276.233</v>
      </c>
      <c r="C192" s="218">
        <f>('Out Years Data Input'!H104/1000)+('Out Years Data Input'!H105/1000)</f>
        <v>255.69899999999998</v>
      </c>
      <c r="D192" s="218">
        <f>('Out Years Data Input'!K104/1000)+('Out Years Data Input'!K105/1000)</f>
        <v>253.88400000000001</v>
      </c>
      <c r="E192" s="218">
        <f>('Out Years Data Input'!N104/1000)+('Out Years Data Input'!N105/1000)</f>
        <v>233.40899999999999</v>
      </c>
      <c r="F192" s="218">
        <f>('Out Years Data Input'!Q104/1000)+('Out Years Data Input'!Q105/1000)</f>
        <v>231.66900000000001</v>
      </c>
      <c r="G192" s="218">
        <f>('Out Years Data Input'!T104/1000)+('Out Years Data Input'!T105/1000)</f>
        <v>230.33799999999999</v>
      </c>
      <c r="H192" s="218">
        <f>('Out Years Data Input'!W104/1000)+('Out Years Data Input'!W105/1000)</f>
        <v>236.42899999999997</v>
      </c>
      <c r="I192" s="218">
        <f>('Out Years Data Input'!Z104/1000)+('Out Years Data Input'!Z105/1000)</f>
        <v>253.88400000000001</v>
      </c>
      <c r="J192" s="218">
        <f>('Out Years Data Input'!AC104/1000)+('Out Years Data Input'!AC105/1000)</f>
        <v>242.62200000000001</v>
      </c>
      <c r="K192" s="218">
        <f>('Out Years Data Input'!AF104/1000)+('Out Years Data Input'!AF105/1000)</f>
        <v>238.01599999999999</v>
      </c>
      <c r="L192" s="218">
        <f>('Out Years Data Input'!AI104/1000)+('Out Years Data Input'!AI105/1000)</f>
        <v>171.98599999999999</v>
      </c>
      <c r="M192" s="218">
        <f>('Out Years Data Input'!AL104/1000)+('Out Years Data Input'!AL105/1000)</f>
        <v>198.34700000000001</v>
      </c>
      <c r="N192" s="134">
        <f>SUM(B192:M192)</f>
        <v>2822.5160000000001</v>
      </c>
      <c r="O192" s="256"/>
      <c r="P192" s="256"/>
      <c r="Q192" s="256"/>
      <c r="R192" s="256"/>
      <c r="S192" s="256"/>
      <c r="T192" s="134"/>
      <c r="U192" s="134"/>
      <c r="W192" s="224"/>
      <c r="Y192" s="224"/>
      <c r="AA192" s="224"/>
    </row>
    <row r="193" spans="1:28" x14ac:dyDescent="0.2">
      <c r="A193" s="132" t="s">
        <v>18</v>
      </c>
      <c r="B193" s="218">
        <v>0</v>
      </c>
      <c r="C193" s="218">
        <v>0</v>
      </c>
      <c r="D193" s="218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257">
        <v>0</v>
      </c>
      <c r="L193" s="257">
        <v>0</v>
      </c>
      <c r="M193" s="257">
        <v>0</v>
      </c>
      <c r="N193" s="134">
        <f>SUM(B193:M193)</f>
        <v>0</v>
      </c>
      <c r="O193" s="256"/>
      <c r="P193" s="256"/>
      <c r="Q193" s="256"/>
      <c r="R193" s="256"/>
      <c r="S193" s="256"/>
      <c r="T193" s="134"/>
      <c r="U193" s="134"/>
      <c r="W193" s="224"/>
      <c r="Y193" s="224"/>
      <c r="AA193" s="224"/>
    </row>
    <row r="194" spans="1:28" x14ac:dyDescent="0.2">
      <c r="A194" s="133" t="s">
        <v>17</v>
      </c>
      <c r="B194" s="158">
        <f>('Out Years Data Input'!E128/1000)+('Out Years Data Input'!E129/1000)</f>
        <v>75</v>
      </c>
      <c r="C194" s="158">
        <f>('Out Years Data Input'!H128/1000)+('Out Years Data Input'!H129/1000)</f>
        <v>75</v>
      </c>
      <c r="D194" s="158">
        <f>('Out Years Data Input'!K128/1000)+('Out Years Data Input'!K129/1000)</f>
        <v>50</v>
      </c>
      <c r="E194" s="259">
        <f>('Out Years Data Input'!N128/1000)+('Out Years Data Input'!N129/1000)</f>
        <v>100</v>
      </c>
      <c r="F194" s="158">
        <f>('Out Years Data Input'!Q128/1000)+('Out Years Data Input'!Q129/1000)</f>
        <v>100</v>
      </c>
      <c r="G194" s="158">
        <f>('Out Years Data Input'!T128/1000)+('Out Years Data Input'!T129/1000)</f>
        <v>100</v>
      </c>
      <c r="H194" s="158">
        <f>('Out Years Data Input'!W128/1000)+('Out Years Data Input'!W129/1000)</f>
        <v>100</v>
      </c>
      <c r="I194" s="158">
        <f>('Out Years Data Input'!Z128/1000)+('Out Years Data Input'!Z129/1000)</f>
        <v>100</v>
      </c>
      <c r="J194" s="158">
        <f>('Out Years Data Input'!AC128/1000)+('Out Years Data Input'!AC129/1000)</f>
        <v>75</v>
      </c>
      <c r="K194" s="158">
        <f>('Out Years Data Input'!AF128/1000)+('Out Years Data Input'!AF129/1000)</f>
        <v>75</v>
      </c>
      <c r="L194" s="158">
        <f>('Out Years Data Input'!AI128/1000)+('Out Years Data Input'!AI129/1000)</f>
        <v>75</v>
      </c>
      <c r="M194" s="158">
        <f>('Out Years Data Input'!AL128/1000)+('Out Years Data Input'!AL129/1000)</f>
        <v>75</v>
      </c>
      <c r="N194" s="143">
        <f>SUM(B194:M194)</f>
        <v>1000</v>
      </c>
      <c r="O194" s="256"/>
      <c r="P194" s="256"/>
      <c r="Q194" s="256"/>
      <c r="R194" s="256"/>
      <c r="S194" s="256"/>
      <c r="T194" s="144"/>
      <c r="U194" s="144"/>
      <c r="X194" s="253"/>
      <c r="Z194" s="253"/>
      <c r="AB194" s="253"/>
    </row>
    <row r="195" spans="1:28" s="260" customFormat="1" x14ac:dyDescent="0.15">
      <c r="A195" s="128" t="s">
        <v>232</v>
      </c>
      <c r="B195" s="135">
        <f>SUM(B191:B194)</f>
        <v>2531.4816700000001</v>
      </c>
      <c r="C195" s="135">
        <f t="shared" ref="C195:N195" si="56">SUM(C191:C194)</f>
        <v>2299.95496</v>
      </c>
      <c r="D195" s="135">
        <f t="shared" si="56"/>
        <v>2314.5626700000003</v>
      </c>
      <c r="E195" s="135">
        <f t="shared" si="56"/>
        <v>2279.2261000000003</v>
      </c>
      <c r="F195" s="135">
        <f t="shared" si="56"/>
        <v>2342.3476700000001</v>
      </c>
      <c r="G195" s="135">
        <f t="shared" si="56"/>
        <v>2267.7701000000002</v>
      </c>
      <c r="H195" s="135">
        <f t="shared" si="56"/>
        <v>2338.4501821999997</v>
      </c>
      <c r="I195" s="135">
        <f t="shared" si="56"/>
        <v>2355.8280479999999</v>
      </c>
      <c r="J195" s="135">
        <f t="shared" si="56"/>
        <v>2254.999812</v>
      </c>
      <c r="K195" s="135">
        <f t="shared" si="56"/>
        <v>2315.03017</v>
      </c>
      <c r="L195" s="135">
        <f t="shared" si="56"/>
        <v>2225.7909680000002</v>
      </c>
      <c r="M195" s="135">
        <f t="shared" si="56"/>
        <v>2318.0194750000001</v>
      </c>
      <c r="N195" s="135">
        <f t="shared" si="56"/>
        <v>27843.461825199996</v>
      </c>
      <c r="O195" s="135"/>
      <c r="P195" s="135"/>
      <c r="Q195" s="135"/>
      <c r="R195" s="135"/>
      <c r="S195" s="135"/>
      <c r="T195" s="135"/>
      <c r="U195" s="135"/>
      <c r="V195" s="134"/>
      <c r="X195" s="261"/>
      <c r="Z195" s="261"/>
      <c r="AB195" s="261"/>
    </row>
    <row r="196" spans="1:28" x14ac:dyDescent="0.2">
      <c r="A196" s="131"/>
      <c r="B196" s="127"/>
      <c r="C196" s="127"/>
      <c r="D196" s="127"/>
      <c r="E196" s="262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6"/>
      <c r="Q196" s="255"/>
      <c r="R196" s="255"/>
      <c r="S196" s="256"/>
      <c r="T196" s="127"/>
      <c r="U196" s="127"/>
      <c r="X196" s="253"/>
      <c r="Z196" s="253"/>
      <c r="AB196" s="253"/>
    </row>
    <row r="197" spans="1:28" x14ac:dyDescent="0.2">
      <c r="A197" s="128" t="s">
        <v>233</v>
      </c>
      <c r="B197" s="127"/>
      <c r="C197" s="127"/>
      <c r="D197" s="127"/>
      <c r="E197" s="262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6"/>
      <c r="Q197" s="126"/>
      <c r="R197" s="126"/>
      <c r="S197" s="256"/>
      <c r="T197" s="127"/>
      <c r="U197" s="127"/>
    </row>
    <row r="198" spans="1:28" x14ac:dyDescent="0.2">
      <c r="A198" s="131" t="s">
        <v>20</v>
      </c>
      <c r="B198" s="218">
        <f>'Out Years Data Input'!E224/1000</f>
        <v>4349.7413625000008</v>
      </c>
      <c r="C198" s="218">
        <f>'Out Years Data Input'!H224/1000</f>
        <v>3800.5111900000006</v>
      </c>
      <c r="D198" s="218">
        <f>'Out Years Data Input'!K224/1000</f>
        <v>4213.9772499999999</v>
      </c>
      <c r="E198" s="218">
        <f>'Out Years Data Input'!N224/1000</f>
        <v>4064.6587500000001</v>
      </c>
      <c r="F198" s="218">
        <f>'Out Years Data Input'!Q224/1000</f>
        <v>4200.1469749999997</v>
      </c>
      <c r="G198" s="218">
        <f>'Out Years Data Input'!T224/1000</f>
        <v>5120.4821250000005</v>
      </c>
      <c r="H198" s="218">
        <f>'Out Years Data Input'!W224/1000</f>
        <v>5734.9543750000003</v>
      </c>
      <c r="I198" s="218">
        <f>'Out Years Data Input'!Z224/1000</f>
        <v>5744.0323375000007</v>
      </c>
      <c r="J198" s="218">
        <f>'Out Years Data Input'!AC224/1000</f>
        <v>5549.9557500000001</v>
      </c>
      <c r="K198" s="218">
        <f>'Out Years Data Input'!AF224/1000</f>
        <v>5731.9283875000001</v>
      </c>
      <c r="L198" s="218">
        <f>'Out Years Data Input'!AI224/1000</f>
        <v>5488.14</v>
      </c>
      <c r="M198" s="218">
        <f>'Out Years Data Input'!AL224/1000</f>
        <v>5688.8362500000003</v>
      </c>
      <c r="N198" s="134">
        <f>SUM(B198:M198)</f>
        <v>59687.364752500005</v>
      </c>
      <c r="O198" s="256"/>
      <c r="P198" s="256"/>
      <c r="Q198" s="256"/>
      <c r="R198" s="256"/>
      <c r="S198" s="256"/>
      <c r="T198" s="134"/>
      <c r="U198" s="134"/>
    </row>
    <row r="199" spans="1:28" x14ac:dyDescent="0.2">
      <c r="A199" s="131" t="s">
        <v>231</v>
      </c>
      <c r="B199" s="218">
        <f>'Out Years Data Input'!E101/1000</f>
        <v>316.13799999999998</v>
      </c>
      <c r="C199" s="218">
        <f>'Out Years Data Input'!H101/1000</f>
        <v>276.75799999999998</v>
      </c>
      <c r="D199" s="218">
        <f>'Out Years Data Input'!K101/1000</f>
        <v>291.82</v>
      </c>
      <c r="E199" s="218">
        <f>'Out Years Data Input'!N101/1000</f>
        <v>254.166</v>
      </c>
      <c r="F199" s="218">
        <f>'Out Years Data Input'!Q101/1000</f>
        <v>262.63799999999998</v>
      </c>
      <c r="G199" s="218">
        <f>'Out Years Data Input'!T101/1000</f>
        <v>371.96300000000002</v>
      </c>
      <c r="H199" s="218">
        <f>'Out Years Data Input'!W101/1000</f>
        <v>414.67099999999999</v>
      </c>
      <c r="I199" s="218">
        <f>'Out Years Data Input'!Z101/1000</f>
        <v>396.899</v>
      </c>
      <c r="J199" s="218">
        <f>'Out Years Data Input'!AC101/1000</f>
        <v>401.29399999999998</v>
      </c>
      <c r="K199" s="218">
        <f>'Out Years Data Input'!AF101/1000</f>
        <v>420.59500000000003</v>
      </c>
      <c r="L199" s="218">
        <f>'Out Years Data Input'!AI101/1000</f>
        <v>421.72</v>
      </c>
      <c r="M199" s="218">
        <f>'Out Years Data Input'!AL101/1000</f>
        <v>401.37400000000002</v>
      </c>
      <c r="N199" s="134">
        <f>SUM(B199:M199)</f>
        <v>4230.0359999999991</v>
      </c>
      <c r="O199" s="256"/>
      <c r="P199" s="256"/>
      <c r="Q199" s="256"/>
      <c r="R199" s="256"/>
      <c r="S199" s="256"/>
      <c r="T199" s="134"/>
      <c r="U199" s="134"/>
      <c r="W199" s="224"/>
      <c r="Y199" s="224"/>
      <c r="AA199" s="224"/>
    </row>
    <row r="200" spans="1:28" x14ac:dyDescent="0.2">
      <c r="A200" s="131" t="s">
        <v>18</v>
      </c>
      <c r="B200" s="218">
        <v>0</v>
      </c>
      <c r="C200" s="218">
        <v>0</v>
      </c>
      <c r="D200" s="218">
        <v>0</v>
      </c>
      <c r="E200" s="218">
        <v>0</v>
      </c>
      <c r="F200" s="218">
        <v>0</v>
      </c>
      <c r="G200" s="218">
        <v>0</v>
      </c>
      <c r="H200" s="218">
        <v>0</v>
      </c>
      <c r="I200" s="218">
        <v>0</v>
      </c>
      <c r="J200" s="218">
        <v>0</v>
      </c>
      <c r="K200" s="218">
        <v>0</v>
      </c>
      <c r="L200" s="218">
        <v>0</v>
      </c>
      <c r="M200" s="218">
        <v>0</v>
      </c>
      <c r="N200" s="134">
        <f>SUM(B200:M200)</f>
        <v>0</v>
      </c>
      <c r="O200" s="256"/>
      <c r="P200" s="256"/>
      <c r="Q200" s="256"/>
      <c r="R200" s="256"/>
      <c r="S200" s="256"/>
      <c r="T200" s="134"/>
      <c r="U200" s="134"/>
      <c r="W200" s="224"/>
      <c r="Y200" s="224"/>
      <c r="AA200" s="224"/>
    </row>
    <row r="201" spans="1:28" x14ac:dyDescent="0.2">
      <c r="A201" s="131" t="s">
        <v>234</v>
      </c>
      <c r="B201" s="218">
        <v>0</v>
      </c>
      <c r="C201" s="218">
        <v>0</v>
      </c>
      <c r="D201" s="218">
        <v>0</v>
      </c>
      <c r="E201" s="218">
        <v>0</v>
      </c>
      <c r="F201" s="218">
        <v>0</v>
      </c>
      <c r="G201" s="218">
        <v>0</v>
      </c>
      <c r="H201" s="218">
        <v>0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134">
        <f>SUM(B201:M201)</f>
        <v>0</v>
      </c>
      <c r="O201" s="256"/>
      <c r="P201" s="256"/>
      <c r="Q201" s="256"/>
      <c r="R201" s="256"/>
      <c r="S201" s="256"/>
      <c r="T201" s="134"/>
      <c r="U201" s="134"/>
      <c r="W201" s="224"/>
      <c r="Y201" s="224"/>
      <c r="AA201" s="224"/>
    </row>
    <row r="202" spans="1:28" x14ac:dyDescent="0.2">
      <c r="A202" s="131" t="s">
        <v>17</v>
      </c>
      <c r="B202" s="314">
        <f>'Out Years Data Input'!E125/1000</f>
        <v>0</v>
      </c>
      <c r="C202" s="314">
        <f>'Out Years Data Input'!H125/1000</f>
        <v>0</v>
      </c>
      <c r="D202" s="314">
        <f>'Out Years Data Input'!K125/1000</f>
        <v>0</v>
      </c>
      <c r="E202" s="314">
        <f>'Out Years Data Input'!N125/1000</f>
        <v>0</v>
      </c>
      <c r="F202" s="314">
        <f>'Out Years Data Input'!Q125/1000</f>
        <v>0</v>
      </c>
      <c r="G202" s="314">
        <f>'Out Years Data Input'!T125/1000</f>
        <v>0</v>
      </c>
      <c r="H202" s="314">
        <f>'Out Years Data Input'!W125/1000</f>
        <v>0</v>
      </c>
      <c r="I202" s="314">
        <f>'Out Years Data Input'!Z125/1000</f>
        <v>0</v>
      </c>
      <c r="J202" s="314">
        <f>'Out Years Data Input'!AC125/1000</f>
        <v>0</v>
      </c>
      <c r="K202" s="314">
        <f>'Out Years Data Input'!AF125/1000</f>
        <v>0</v>
      </c>
      <c r="L202" s="314">
        <f>'Out Years Data Input'!AI125/1000</f>
        <v>0</v>
      </c>
      <c r="M202" s="314">
        <f>'Out Years Data Input'!AL125/1000</f>
        <v>0</v>
      </c>
      <c r="N202" s="143">
        <f>SUM(B202:M202)</f>
        <v>0</v>
      </c>
      <c r="O202" s="256"/>
      <c r="P202" s="256"/>
      <c r="Q202" s="256"/>
      <c r="R202" s="256"/>
      <c r="S202" s="256"/>
      <c r="T202" s="144"/>
      <c r="U202" s="144"/>
      <c r="X202" s="224"/>
      <c r="Z202" s="224"/>
      <c r="AB202" s="224"/>
    </row>
    <row r="203" spans="1:28" x14ac:dyDescent="0.2">
      <c r="A203" s="128" t="s">
        <v>235</v>
      </c>
      <c r="B203" s="135">
        <f>SUM(B198:B202)</f>
        <v>4665.8793625000008</v>
      </c>
      <c r="C203" s="135">
        <f t="shared" ref="C203:M203" si="57">SUM(C198:C202)</f>
        <v>4077.2691900000004</v>
      </c>
      <c r="D203" s="135">
        <f t="shared" si="57"/>
        <v>4505.7972499999996</v>
      </c>
      <c r="E203" s="135">
        <f t="shared" si="57"/>
        <v>4318.8247499999998</v>
      </c>
      <c r="F203" s="135">
        <f t="shared" si="57"/>
        <v>4462.7849749999996</v>
      </c>
      <c r="G203" s="135">
        <f t="shared" si="57"/>
        <v>5492.4451250000002</v>
      </c>
      <c r="H203" s="135">
        <f t="shared" si="57"/>
        <v>6149.6253750000005</v>
      </c>
      <c r="I203" s="135">
        <f t="shared" si="57"/>
        <v>6140.9313375000011</v>
      </c>
      <c r="J203" s="135">
        <f t="shared" si="57"/>
        <v>5951.2497499999999</v>
      </c>
      <c r="K203" s="135">
        <f t="shared" si="57"/>
        <v>6152.5233875000004</v>
      </c>
      <c r="L203" s="135">
        <f t="shared" si="57"/>
        <v>5909.8600000000006</v>
      </c>
      <c r="M203" s="135">
        <f t="shared" si="57"/>
        <v>6090.2102500000001</v>
      </c>
      <c r="N203" s="135">
        <f>SUM(N198:N202)</f>
        <v>63917.400752500005</v>
      </c>
      <c r="O203" s="263"/>
      <c r="P203" s="263"/>
      <c r="Q203" s="263"/>
      <c r="R203" s="263"/>
      <c r="S203" s="263"/>
      <c r="T203" s="135"/>
      <c r="U203" s="135"/>
      <c r="X203" s="224"/>
      <c r="Z203" s="224"/>
      <c r="AB203" s="224"/>
    </row>
    <row r="204" spans="1:28" x14ac:dyDescent="0.2">
      <c r="A204" s="131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6"/>
      <c r="Q204" s="255"/>
      <c r="R204" s="255"/>
      <c r="S204" s="256"/>
      <c r="T204" s="127"/>
      <c r="U204" s="127"/>
      <c r="X204" s="253"/>
      <c r="Z204" s="253"/>
      <c r="AB204" s="253"/>
    </row>
    <row r="205" spans="1:28" x14ac:dyDescent="0.2">
      <c r="A205" s="128" t="s">
        <v>236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256"/>
      <c r="Q205" s="255"/>
      <c r="R205" s="255"/>
      <c r="S205" s="256"/>
      <c r="T205" s="127"/>
      <c r="U205" s="127"/>
    </row>
    <row r="206" spans="1:28" x14ac:dyDescent="0.2">
      <c r="A206" s="131" t="s">
        <v>20</v>
      </c>
      <c r="B206" s="218">
        <f>'Out Years Data Input'!E225/1000</f>
        <v>305.20740000000001</v>
      </c>
      <c r="C206" s="218">
        <f>'Out Years Data Input'!H225/1000</f>
        <v>275.36040000000003</v>
      </c>
      <c r="D206" s="218">
        <f>'Out Years Data Input'!K225/1000</f>
        <v>302.45459999999997</v>
      </c>
      <c r="E206" s="218">
        <f>'Out Years Data Input'!N225/1000</f>
        <v>296.69400000000002</v>
      </c>
      <c r="F206" s="218">
        <f>'Out Years Data Input'!Q225/1000</f>
        <v>304.86329999999998</v>
      </c>
      <c r="G206" s="218">
        <f>'Out Years Data Input'!T225/1000</f>
        <v>293.36399999999998</v>
      </c>
      <c r="H206" s="218">
        <f>'Out Years Data Input'!W225/1000</f>
        <v>303.48690000000005</v>
      </c>
      <c r="I206" s="218">
        <f>'Out Years Data Input'!Z225/1000</f>
        <v>302.45459999999997</v>
      </c>
      <c r="J206" s="218">
        <f>'Out Years Data Input'!AC225/1000</f>
        <v>295.029</v>
      </c>
      <c r="K206" s="218">
        <f>'Out Years Data Input'!AF225/1000</f>
        <v>302.45459999999997</v>
      </c>
      <c r="L206" s="218">
        <f>'Out Years Data Input'!AI225/1000</f>
        <v>291.36599999999999</v>
      </c>
      <c r="M206" s="218">
        <f>'Out Years Data Input'!AL225/1000</f>
        <v>300.73409999999996</v>
      </c>
      <c r="N206" s="134">
        <f>SUM(B206:M206)</f>
        <v>3573.4689000000003</v>
      </c>
      <c r="O206" s="256"/>
      <c r="P206" s="256"/>
      <c r="Q206" s="256"/>
      <c r="R206" s="256"/>
      <c r="S206" s="256"/>
      <c r="T206" s="134"/>
      <c r="U206" s="134"/>
    </row>
    <row r="207" spans="1:28" x14ac:dyDescent="0.2">
      <c r="A207" s="131" t="s">
        <v>231</v>
      </c>
      <c r="B207" s="218">
        <f>'Out Years Data Input'!E102/1000</f>
        <v>29.593</v>
      </c>
      <c r="C207" s="218">
        <f>'Out Years Data Input'!H102/1000</f>
        <v>27.04</v>
      </c>
      <c r="D207" s="218">
        <f>'Out Years Data Input'!K102/1000</f>
        <v>32.344999999999999</v>
      </c>
      <c r="E207" s="218">
        <f>'Out Years Data Input'!N102/1000</f>
        <v>27.306000000000001</v>
      </c>
      <c r="F207" s="218">
        <f>'Out Years Data Input'!Q102/1000</f>
        <v>29.937000000000001</v>
      </c>
      <c r="G207" s="218">
        <f>'Out Years Data Input'!T102/1000</f>
        <v>30.635999999999999</v>
      </c>
      <c r="H207" s="218">
        <f>'Out Years Data Input'!W102/1000</f>
        <v>31.312999999999999</v>
      </c>
      <c r="I207" s="218">
        <f>'Out Years Data Input'!Z102/1000</f>
        <v>32.344999999999999</v>
      </c>
      <c r="J207" s="218">
        <f>'Out Years Data Input'!AC102/1000</f>
        <v>28.971</v>
      </c>
      <c r="K207" s="218">
        <f>'Out Years Data Input'!AF102/1000</f>
        <v>32.344999999999999</v>
      </c>
      <c r="L207" s="218">
        <f>'Out Years Data Input'!AI102/1000</f>
        <v>32.634</v>
      </c>
      <c r="M207" s="218">
        <f>'Out Years Data Input'!AL102/1000</f>
        <v>34.066000000000003</v>
      </c>
      <c r="N207" s="134">
        <f>SUM(B207:M207)</f>
        <v>368.53100000000006</v>
      </c>
      <c r="O207" s="256"/>
      <c r="P207" s="256"/>
      <c r="Q207" s="256"/>
      <c r="R207" s="256"/>
      <c r="S207" s="256"/>
      <c r="T207" s="134"/>
      <c r="U207" s="134"/>
    </row>
    <row r="208" spans="1:28" x14ac:dyDescent="0.2">
      <c r="A208" s="131" t="s">
        <v>18</v>
      </c>
      <c r="B208" s="258">
        <v>0</v>
      </c>
      <c r="C208" s="218">
        <v>0</v>
      </c>
      <c r="D208" s="218">
        <v>0</v>
      </c>
      <c r="E208" s="218">
        <v>0</v>
      </c>
      <c r="F208" s="218">
        <v>0</v>
      </c>
      <c r="G208" s="218">
        <v>0</v>
      </c>
      <c r="H208" s="218">
        <v>0</v>
      </c>
      <c r="I208" s="218">
        <v>0</v>
      </c>
      <c r="J208" s="218">
        <v>0</v>
      </c>
      <c r="K208" s="218">
        <v>0</v>
      </c>
      <c r="L208" s="218">
        <v>0</v>
      </c>
      <c r="M208" s="218">
        <v>0</v>
      </c>
      <c r="N208" s="134">
        <f>SUM(B208:M208)</f>
        <v>0</v>
      </c>
      <c r="O208" s="256"/>
      <c r="P208" s="256"/>
      <c r="Q208" s="256"/>
      <c r="R208" s="256"/>
      <c r="S208" s="256"/>
      <c r="T208" s="134"/>
      <c r="U208" s="134"/>
      <c r="W208" s="224"/>
      <c r="Y208" s="224"/>
      <c r="AA208" s="224"/>
    </row>
    <row r="209" spans="1:28" x14ac:dyDescent="0.2">
      <c r="A209" s="131" t="s">
        <v>17</v>
      </c>
      <c r="B209" s="314">
        <f>'Out Years Data Input'!E126/1000</f>
        <v>0</v>
      </c>
      <c r="C209" s="314">
        <f>'Out Years Data Input'!H126/1000</f>
        <v>0</v>
      </c>
      <c r="D209" s="314">
        <f>'Out Years Data Input'!K126/1000</f>
        <v>0</v>
      </c>
      <c r="E209" s="314">
        <f>'Out Years Data Input'!N126/1000</f>
        <v>0</v>
      </c>
      <c r="F209" s="314">
        <f>'Out Years Data Input'!Q126/1000</f>
        <v>0</v>
      </c>
      <c r="G209" s="314">
        <f>'Out Years Data Input'!T126/1000</f>
        <v>0</v>
      </c>
      <c r="H209" s="314">
        <f>'Out Years Data Input'!W126/1000</f>
        <v>0</v>
      </c>
      <c r="I209" s="314">
        <f>'Out Years Data Input'!Z126/1000</f>
        <v>0</v>
      </c>
      <c r="J209" s="314">
        <f>'Out Years Data Input'!AC126/1000</f>
        <v>0</v>
      </c>
      <c r="K209" s="314">
        <f>'Out Years Data Input'!AF126/1000</f>
        <v>0</v>
      </c>
      <c r="L209" s="314">
        <f>'Out Years Data Input'!AI126/1000</f>
        <v>0</v>
      </c>
      <c r="M209" s="314">
        <f>'Out Years Data Input'!AL126/1000</f>
        <v>0</v>
      </c>
      <c r="N209" s="143">
        <f>SUM(B209:M209)</f>
        <v>0</v>
      </c>
      <c r="O209" s="256"/>
      <c r="P209" s="256"/>
      <c r="Q209" s="256"/>
      <c r="R209" s="256"/>
      <c r="S209" s="256"/>
      <c r="T209" s="144"/>
      <c r="U209" s="144"/>
      <c r="X209" s="224"/>
      <c r="Z209" s="224"/>
      <c r="AB209" s="224"/>
    </row>
    <row r="210" spans="1:28" x14ac:dyDescent="0.2">
      <c r="A210" s="128" t="s">
        <v>237</v>
      </c>
      <c r="B210" s="135">
        <f>SUM(B206:B209)</f>
        <v>334.80040000000002</v>
      </c>
      <c r="C210" s="135">
        <f t="shared" ref="C210:M210" si="58">SUM(C206:C209)</f>
        <v>302.40040000000005</v>
      </c>
      <c r="D210" s="135">
        <f t="shared" si="58"/>
        <v>334.79959999999994</v>
      </c>
      <c r="E210" s="135">
        <f t="shared" si="58"/>
        <v>324</v>
      </c>
      <c r="F210" s="135">
        <f t="shared" si="58"/>
        <v>334.80029999999999</v>
      </c>
      <c r="G210" s="135">
        <f t="shared" si="58"/>
        <v>324</v>
      </c>
      <c r="H210" s="135">
        <f t="shared" si="58"/>
        <v>334.79990000000004</v>
      </c>
      <c r="I210" s="135">
        <f t="shared" si="58"/>
        <v>334.79959999999994</v>
      </c>
      <c r="J210" s="135">
        <f t="shared" si="58"/>
        <v>324</v>
      </c>
      <c r="K210" s="135">
        <f t="shared" si="58"/>
        <v>334.79959999999994</v>
      </c>
      <c r="L210" s="135">
        <f t="shared" si="58"/>
        <v>324</v>
      </c>
      <c r="M210" s="135">
        <f t="shared" si="58"/>
        <v>334.80009999999993</v>
      </c>
      <c r="N210" s="135">
        <f>SUM(N206:N209)</f>
        <v>3941.9999000000003</v>
      </c>
      <c r="O210" s="264"/>
      <c r="P210" s="264"/>
      <c r="Q210" s="264"/>
      <c r="R210" s="264"/>
      <c r="S210" s="264"/>
      <c r="T210" s="135"/>
      <c r="U210" s="135"/>
      <c r="X210" s="224"/>
      <c r="Z210" s="224"/>
      <c r="AB210" s="224"/>
    </row>
    <row r="211" spans="1:28" x14ac:dyDescent="0.2">
      <c r="A211" s="131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6"/>
      <c r="Q211" s="255"/>
      <c r="R211" s="256"/>
      <c r="S211" s="256"/>
      <c r="T211" s="127"/>
      <c r="U211" s="127"/>
      <c r="X211" s="224"/>
      <c r="Z211" s="224"/>
      <c r="AB211" s="224"/>
    </row>
    <row r="212" spans="1:28" x14ac:dyDescent="0.2">
      <c r="A212" s="128" t="s">
        <v>238</v>
      </c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256"/>
      <c r="Q212" s="255"/>
      <c r="R212" s="255"/>
      <c r="S212" s="256"/>
      <c r="T212" s="127"/>
      <c r="U212" s="127"/>
    </row>
    <row r="213" spans="1:28" x14ac:dyDescent="0.2">
      <c r="A213" s="131" t="s">
        <v>20</v>
      </c>
      <c r="B213" s="218">
        <f>'Out Years Data Input'!E226/1000</f>
        <v>2039.0322540000002</v>
      </c>
      <c r="C213" s="218">
        <f>'Out Years Data Input'!H226/1000</f>
        <v>1840.5583840000002</v>
      </c>
      <c r="D213" s="218">
        <f>'Out Years Data Input'!K226/1000</f>
        <v>2256.9607659999997</v>
      </c>
      <c r="E213" s="218">
        <f>'Out Years Data Input'!N226/1000</f>
        <v>2307.1577399999996</v>
      </c>
      <c r="F213" s="218">
        <f>'Out Years Data Input'!Q226/1000</f>
        <v>2377.7070680000002</v>
      </c>
      <c r="G213" s="218">
        <f>'Out Years Data Input'!T226/1000</f>
        <v>2294.8559399999999</v>
      </c>
      <c r="H213" s="218">
        <f>'Out Years Data Input'!W226/1000</f>
        <v>2372.6223239999999</v>
      </c>
      <c r="I213" s="218">
        <f>'Out Years Data Input'!Z226/1000</f>
        <v>2368.8087659999997</v>
      </c>
      <c r="J213" s="218">
        <f>'Out Years Data Input'!AC226/1000</f>
        <v>2301.00684</v>
      </c>
      <c r="K213" s="218">
        <f>'Out Years Data Input'!AF226/1000</f>
        <v>2368.8087659999997</v>
      </c>
      <c r="L213" s="218">
        <f>'Out Years Data Input'!AI226/1000</f>
        <v>2936.9331000000002</v>
      </c>
      <c r="M213" s="218">
        <f>'Out Years Data Input'!AL226/1000</f>
        <v>3033.38906</v>
      </c>
      <c r="N213" s="134">
        <f>SUM(B213:M213)</f>
        <v>28497.841007999996</v>
      </c>
      <c r="O213" s="256"/>
      <c r="P213" s="256"/>
      <c r="Q213" s="256"/>
      <c r="R213" s="256"/>
      <c r="S213" s="256"/>
      <c r="T213" s="134"/>
      <c r="U213" s="134"/>
    </row>
    <row r="214" spans="1:28" x14ac:dyDescent="0.2">
      <c r="A214" s="131" t="s">
        <v>231</v>
      </c>
      <c r="B214" s="218">
        <f>'Out Years Data Input'!E103/1000</f>
        <v>104.117</v>
      </c>
      <c r="C214" s="218">
        <f>'Out Years Data Input'!H103/1000</f>
        <v>95.134</v>
      </c>
      <c r="D214" s="218">
        <f>'Out Years Data Input'!K103/1000</f>
        <v>124.584</v>
      </c>
      <c r="E214" s="218">
        <f>'Out Years Data Input'!N103/1000</f>
        <v>105.17400000000001</v>
      </c>
      <c r="F214" s="218">
        <f>'Out Years Data Input'!Q103/1000</f>
        <v>115.306</v>
      </c>
      <c r="G214" s="218">
        <f>'Out Years Data Input'!T103/1000</f>
        <v>118</v>
      </c>
      <c r="H214" s="218">
        <f>'Out Years Data Input'!W103/1000</f>
        <v>120.608</v>
      </c>
      <c r="I214" s="218">
        <f>'Out Years Data Input'!Z103/1000</f>
        <v>124.584</v>
      </c>
      <c r="J214" s="218">
        <f>'Out Years Data Input'!AC103/1000</f>
        <v>111.587</v>
      </c>
      <c r="K214" s="218">
        <f>'Out Years Data Input'!AF103/1000</f>
        <v>124.584</v>
      </c>
      <c r="L214" s="218">
        <f>'Out Years Data Input'!AI103/1000</f>
        <v>137.38900000000001</v>
      </c>
      <c r="M214" s="218">
        <f>'Out Years Data Input'!AL103/1000</f>
        <v>143.417</v>
      </c>
      <c r="N214" s="134">
        <f>SUM(B214:M214)</f>
        <v>1424.4839999999999</v>
      </c>
      <c r="O214" s="256"/>
      <c r="P214" s="256"/>
      <c r="Q214" s="256"/>
      <c r="R214" s="256"/>
      <c r="S214" s="256"/>
      <c r="T214" s="134"/>
      <c r="U214" s="134"/>
      <c r="W214" s="224"/>
      <c r="Y214" s="224"/>
      <c r="AA214" s="224"/>
    </row>
    <row r="215" spans="1:28" x14ac:dyDescent="0.2">
      <c r="A215" s="131" t="s">
        <v>18</v>
      </c>
      <c r="B215" s="218">
        <v>0</v>
      </c>
      <c r="C215" s="218">
        <v>0</v>
      </c>
      <c r="D215" s="218">
        <v>0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134">
        <f>SUM(B215:M215)</f>
        <v>0</v>
      </c>
      <c r="O215" s="256"/>
      <c r="P215" s="256"/>
      <c r="Q215" s="256"/>
      <c r="R215" s="256"/>
      <c r="S215" s="256"/>
      <c r="T215" s="134"/>
      <c r="U215" s="134"/>
      <c r="W215" s="224"/>
      <c r="Y215" s="224"/>
      <c r="AA215" s="224"/>
    </row>
    <row r="216" spans="1:28" x14ac:dyDescent="0.2">
      <c r="A216" s="131" t="s">
        <v>239</v>
      </c>
      <c r="B216" s="218">
        <v>0</v>
      </c>
      <c r="C216" s="218">
        <v>0</v>
      </c>
      <c r="D216" s="218">
        <v>0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  <c r="K216" s="218">
        <v>0</v>
      </c>
      <c r="L216" s="218">
        <v>0</v>
      </c>
      <c r="M216" s="218">
        <v>0</v>
      </c>
      <c r="N216" s="134">
        <f>SUM(B216:M216)</f>
        <v>0</v>
      </c>
      <c r="O216" s="256"/>
      <c r="P216" s="256"/>
      <c r="Q216" s="256"/>
      <c r="R216" s="256"/>
      <c r="S216" s="256"/>
      <c r="T216" s="134"/>
      <c r="U216" s="134"/>
      <c r="W216" s="224"/>
      <c r="Y216" s="224"/>
      <c r="AA216" s="224"/>
    </row>
    <row r="217" spans="1:28" x14ac:dyDescent="0.2">
      <c r="A217" s="133" t="s">
        <v>17</v>
      </c>
      <c r="B217" s="314">
        <f>'Out Years Data Input'!E127/1000</f>
        <v>0</v>
      </c>
      <c r="C217" s="314">
        <f>'Out Years Data Input'!H127/1000</f>
        <v>0</v>
      </c>
      <c r="D217" s="314">
        <f>'Out Years Data Input'!K127/1000</f>
        <v>0</v>
      </c>
      <c r="E217" s="314">
        <f>'Out Years Data Input'!N127/1000</f>
        <v>0</v>
      </c>
      <c r="F217" s="314">
        <f>'Out Years Data Input'!Q127/1000</f>
        <v>0</v>
      </c>
      <c r="G217" s="314">
        <f>'Out Years Data Input'!T127/1000</f>
        <v>0</v>
      </c>
      <c r="H217" s="314">
        <f>'Out Years Data Input'!W127/1000</f>
        <v>0</v>
      </c>
      <c r="I217" s="314">
        <f>'Out Years Data Input'!Z127/1000</f>
        <v>0</v>
      </c>
      <c r="J217" s="314">
        <f>'Out Years Data Input'!AC127/1000</f>
        <v>0</v>
      </c>
      <c r="K217" s="314">
        <f>'Out Years Data Input'!AF127/1000</f>
        <v>0</v>
      </c>
      <c r="L217" s="314">
        <f>'Out Years Data Input'!AI127/1000</f>
        <v>0</v>
      </c>
      <c r="M217" s="314">
        <f>'Out Years Data Input'!AL127/1000</f>
        <v>0</v>
      </c>
      <c r="N217" s="143">
        <f>SUM(B217:M217)</f>
        <v>0</v>
      </c>
      <c r="O217" s="256"/>
      <c r="P217" s="256"/>
      <c r="Q217" s="256"/>
      <c r="R217" s="256"/>
      <c r="S217" s="256"/>
      <c r="T217" s="144"/>
      <c r="U217" s="144"/>
      <c r="X217" s="224"/>
      <c r="Z217" s="224"/>
      <c r="AB217" s="224"/>
    </row>
    <row r="218" spans="1:28" x14ac:dyDescent="0.2">
      <c r="A218" s="128" t="s">
        <v>240</v>
      </c>
      <c r="B218" s="136">
        <f>SUM(B213:B217)</f>
        <v>2143.1492540000004</v>
      </c>
      <c r="C218" s="136">
        <f t="shared" ref="C218:M218" si="59">SUM(C213:C217)</f>
        <v>1935.6923840000002</v>
      </c>
      <c r="D218" s="136">
        <f t="shared" si="59"/>
        <v>2381.5447659999995</v>
      </c>
      <c r="E218" s="136">
        <f t="shared" si="59"/>
        <v>2412.3317399999996</v>
      </c>
      <c r="F218" s="136">
        <f t="shared" si="59"/>
        <v>2493.0130680000002</v>
      </c>
      <c r="G218" s="136">
        <f t="shared" si="59"/>
        <v>2412.8559399999999</v>
      </c>
      <c r="H218" s="136">
        <f t="shared" si="59"/>
        <v>2493.2303240000001</v>
      </c>
      <c r="I218" s="136">
        <f t="shared" si="59"/>
        <v>2493.3927659999995</v>
      </c>
      <c r="J218" s="136">
        <f t="shared" si="59"/>
        <v>2412.59384</v>
      </c>
      <c r="K218" s="136">
        <f t="shared" si="59"/>
        <v>2493.3927659999995</v>
      </c>
      <c r="L218" s="136">
        <f t="shared" si="59"/>
        <v>3074.3221000000003</v>
      </c>
      <c r="M218" s="136">
        <f t="shared" si="59"/>
        <v>3176.8060599999999</v>
      </c>
      <c r="N218" s="714">
        <f>SUM(N213:N217)</f>
        <v>29922.325007999996</v>
      </c>
      <c r="O218" s="265"/>
      <c r="P218" s="265"/>
      <c r="Q218" s="265"/>
      <c r="R218" s="265"/>
      <c r="S218" s="265"/>
      <c r="T218" s="230"/>
      <c r="U218" s="230"/>
      <c r="X218" s="224"/>
      <c r="Z218" s="224"/>
      <c r="AB218" s="224"/>
    </row>
    <row r="219" spans="1:28" x14ac:dyDescent="0.2">
      <c r="A219" s="137" t="s">
        <v>241</v>
      </c>
      <c r="B219" s="139">
        <f>SUM(B191+B198+B206+B213)</f>
        <v>8874.2296865000008</v>
      </c>
      <c r="C219" s="139">
        <f t="shared" ref="C219:M219" si="60">SUM(C191+C198+C206+C213)</f>
        <v>7885.685934000001</v>
      </c>
      <c r="D219" s="139">
        <f t="shared" si="60"/>
        <v>8784.0712860000003</v>
      </c>
      <c r="E219" s="139">
        <f t="shared" si="60"/>
        <v>8614.3275900000008</v>
      </c>
      <c r="F219" s="139">
        <f t="shared" si="60"/>
        <v>8893.3960129999996</v>
      </c>
      <c r="G219" s="139">
        <f t="shared" si="60"/>
        <v>9646.1341649999995</v>
      </c>
      <c r="H219" s="139">
        <f t="shared" si="60"/>
        <v>10413.084781199999</v>
      </c>
      <c r="I219" s="139">
        <f t="shared" si="60"/>
        <v>10417.239751499999</v>
      </c>
      <c r="J219" s="139">
        <f t="shared" si="60"/>
        <v>10083.369402</v>
      </c>
      <c r="K219" s="139">
        <f t="shared" si="60"/>
        <v>10405.2059235</v>
      </c>
      <c r="L219" s="139">
        <f t="shared" si="60"/>
        <v>10695.244068</v>
      </c>
      <c r="M219" s="139">
        <f t="shared" si="60"/>
        <v>11067.631884999999</v>
      </c>
      <c r="N219" s="230">
        <f>SUM(B219:M219)</f>
        <v>115779.6204857</v>
      </c>
      <c r="O219" s="256"/>
      <c r="P219" s="266"/>
      <c r="Q219" s="256"/>
      <c r="R219" s="256"/>
      <c r="S219" s="256"/>
      <c r="T219" s="230"/>
      <c r="U219" s="230"/>
      <c r="W219" s="225"/>
      <c r="X219" s="225"/>
      <c r="Y219" s="225"/>
      <c r="Z219" s="225"/>
      <c r="AA219" s="225"/>
      <c r="AB219" s="225"/>
    </row>
    <row r="220" spans="1:28" x14ac:dyDescent="0.2">
      <c r="A220" s="137" t="s">
        <v>242</v>
      </c>
      <c r="B220" s="135">
        <f>SUM(B192+B193+B194+B199+B200+B201+B202+B207+B208+B209+B214+B215+B216+B217)</f>
        <v>801.0809999999999</v>
      </c>
      <c r="C220" s="135">
        <f t="shared" ref="C220:M220" si="61">SUM(C192+C193+C194+C199+C200+C201+C202+C207+C208+C209+C214+C215+C216+C217)</f>
        <v>729.63099999999986</v>
      </c>
      <c r="D220" s="135">
        <f t="shared" si="61"/>
        <v>752.63300000000004</v>
      </c>
      <c r="E220" s="135">
        <f t="shared" si="61"/>
        <v>720.05500000000006</v>
      </c>
      <c r="F220" s="135">
        <f t="shared" si="61"/>
        <v>739.55000000000007</v>
      </c>
      <c r="G220" s="135">
        <f t="shared" si="61"/>
        <v>850.9369999999999</v>
      </c>
      <c r="H220" s="135">
        <f t="shared" si="61"/>
        <v>903.02099999999996</v>
      </c>
      <c r="I220" s="135">
        <f t="shared" si="61"/>
        <v>907.71199999999999</v>
      </c>
      <c r="J220" s="135">
        <f t="shared" si="61"/>
        <v>859.47399999999993</v>
      </c>
      <c r="K220" s="135">
        <f t="shared" si="61"/>
        <v>890.54</v>
      </c>
      <c r="L220" s="135">
        <f t="shared" si="61"/>
        <v>838.72900000000004</v>
      </c>
      <c r="M220" s="135">
        <f t="shared" si="61"/>
        <v>852.20400000000006</v>
      </c>
      <c r="N220" s="230">
        <f>SUM(B220:M220)</f>
        <v>9845.5669999999991</v>
      </c>
      <c r="O220" s="256"/>
      <c r="P220" s="266"/>
      <c r="Q220" s="256"/>
      <c r="R220" s="256"/>
      <c r="S220" s="256"/>
      <c r="T220" s="230"/>
      <c r="U220" s="230"/>
      <c r="W220" s="267"/>
      <c r="X220" s="267"/>
      <c r="Y220" s="267"/>
      <c r="Z220" s="267"/>
      <c r="AA220" s="267"/>
      <c r="AB220" s="267"/>
    </row>
    <row r="221" spans="1:28" x14ac:dyDescent="0.2">
      <c r="A221" s="140" t="s">
        <v>19</v>
      </c>
      <c r="B221" s="139">
        <f>SUM(B219:B220)</f>
        <v>9675.3106865000009</v>
      </c>
      <c r="C221" s="139">
        <f t="shared" ref="C221:M221" si="62">SUM(C219:C220)</f>
        <v>8615.3169340000004</v>
      </c>
      <c r="D221" s="139">
        <f t="shared" si="62"/>
        <v>9536.7042860000001</v>
      </c>
      <c r="E221" s="139">
        <f t="shared" si="62"/>
        <v>9334.3825900000011</v>
      </c>
      <c r="F221" s="139">
        <f t="shared" si="62"/>
        <v>9632.9460129999989</v>
      </c>
      <c r="G221" s="139">
        <f t="shared" si="62"/>
        <v>10497.071164999999</v>
      </c>
      <c r="H221" s="139">
        <f t="shared" si="62"/>
        <v>11316.1057812</v>
      </c>
      <c r="I221" s="139">
        <f t="shared" si="62"/>
        <v>11324.951751499999</v>
      </c>
      <c r="J221" s="139">
        <f t="shared" si="62"/>
        <v>10942.843402</v>
      </c>
      <c r="K221" s="139">
        <f t="shared" si="62"/>
        <v>11295.745923499999</v>
      </c>
      <c r="L221" s="139">
        <f t="shared" si="62"/>
        <v>11533.973067999999</v>
      </c>
      <c r="M221" s="139">
        <f t="shared" si="62"/>
        <v>11919.835884999999</v>
      </c>
      <c r="N221" s="230">
        <f>SUM(B221:M221)</f>
        <v>125625.18748569999</v>
      </c>
      <c r="O221" s="230"/>
      <c r="P221" s="230"/>
      <c r="Q221" s="256"/>
      <c r="R221" s="256"/>
      <c r="S221" s="256"/>
      <c r="T221" s="230"/>
      <c r="U221" s="230"/>
    </row>
    <row r="222" spans="1:28" x14ac:dyDescent="0.2">
      <c r="A222" s="141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68"/>
      <c r="O222" s="268"/>
      <c r="P222" s="269"/>
      <c r="Q222" s="269"/>
      <c r="R222" s="269"/>
      <c r="S222" s="269"/>
      <c r="T222" s="268"/>
      <c r="U222" s="268"/>
    </row>
    <row r="223" spans="1:28" ht="15.75" x14ac:dyDescent="0.2">
      <c r="A223" s="125" t="s">
        <v>243</v>
      </c>
      <c r="B223" s="270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20"/>
      <c r="O223" s="120"/>
      <c r="P223" s="269"/>
      <c r="Q223" s="269"/>
      <c r="R223" s="269"/>
      <c r="S223" s="269"/>
      <c r="T223" s="120"/>
      <c r="U223" s="120"/>
    </row>
    <row r="224" spans="1:28" x14ac:dyDescent="0.2">
      <c r="A224" s="128" t="s">
        <v>244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4"/>
      <c r="O224" s="134"/>
      <c r="P224" s="129"/>
      <c r="Q224" s="129"/>
      <c r="R224" s="129"/>
      <c r="S224" s="129"/>
      <c r="T224" s="134"/>
      <c r="U224" s="134"/>
    </row>
    <row r="225" spans="1:28" x14ac:dyDescent="0.2">
      <c r="A225" s="131" t="s">
        <v>20</v>
      </c>
      <c r="B225" s="218">
        <f>('Out Years Data Input'!E214/1000)+('Out Years Data Input'!E215/1000)</f>
        <v>62</v>
      </c>
      <c r="C225" s="218">
        <f>('Out Years Data Input'!H214/1000)+('Out Years Data Input'!H215/1000)</f>
        <v>56</v>
      </c>
      <c r="D225" s="218">
        <f>('Out Years Data Input'!K214/1000)+('Out Years Data Input'!K215/1000)</f>
        <v>62</v>
      </c>
      <c r="E225" s="218">
        <f>('Out Years Data Input'!N214/1000)+('Out Years Data Input'!N215/1000)</f>
        <v>60</v>
      </c>
      <c r="F225" s="218">
        <f>('Out Years Data Input'!Q214/1000)+('Out Years Data Input'!Q215/1000)</f>
        <v>62</v>
      </c>
      <c r="G225" s="218">
        <f>('Out Years Data Input'!T214/1000)+('Out Years Data Input'!T215/1000)</f>
        <v>60</v>
      </c>
      <c r="H225" s="218">
        <f>('Out Years Data Input'!W214/1000)+('Out Years Data Input'!W215/1000)</f>
        <v>62</v>
      </c>
      <c r="I225" s="218">
        <f>('Out Years Data Input'!Z214/1000)+('Out Years Data Input'!Z215/1000)</f>
        <v>62</v>
      </c>
      <c r="J225" s="218">
        <f>('Out Years Data Input'!AC214/1000)+('Out Years Data Input'!AC215/1000)</f>
        <v>60</v>
      </c>
      <c r="K225" s="218">
        <f>('Out Years Data Input'!AF214/1000)+('Out Years Data Input'!AF215/1000)</f>
        <v>62</v>
      </c>
      <c r="L225" s="218">
        <f>('Out Years Data Input'!AI214/1000)+('Out Years Data Input'!AI215/1000)</f>
        <v>60</v>
      </c>
      <c r="M225" s="218">
        <f>('Out Years Data Input'!AL214/1000)+('Out Years Data Input'!AL215/1000)</f>
        <v>62</v>
      </c>
      <c r="N225" s="134">
        <f>SUM(B225:M225)</f>
        <v>730</v>
      </c>
      <c r="O225" s="256"/>
      <c r="P225" s="256"/>
      <c r="Q225" s="256"/>
      <c r="R225" s="256"/>
      <c r="S225" s="256"/>
      <c r="T225" s="134"/>
      <c r="U225" s="134"/>
    </row>
    <row r="226" spans="1:28" x14ac:dyDescent="0.2">
      <c r="A226" s="131" t="s">
        <v>231</v>
      </c>
      <c r="B226" s="218">
        <f>('Out Years Data Input'!E91/1000)+('Out Years Data Input'!E92/1000)</f>
        <v>10.039</v>
      </c>
      <c r="C226" s="218">
        <f>('Out Years Data Input'!H91/1000)+('Out Years Data Input'!H92/1000)</f>
        <v>9.0679999999999996</v>
      </c>
      <c r="D226" s="218">
        <f>('Out Years Data Input'!K91/1000)+('Out Years Data Input'!K92/1000)</f>
        <v>10.039</v>
      </c>
      <c r="E226" s="218">
        <f>('Out Years Data Input'!N91/1000)+('Out Years Data Input'!N92/1000)</f>
        <v>12.365</v>
      </c>
      <c r="F226" s="218">
        <f>('Out Years Data Input'!Q91/1000)+('Out Years Data Input'!Q92/1000)</f>
        <v>13.005000000000001</v>
      </c>
      <c r="G226" s="218">
        <f>('Out Years Data Input'!T91/1000)+('Out Years Data Input'!T92/1000)</f>
        <v>12.365</v>
      </c>
      <c r="H226" s="218">
        <f>('Out Years Data Input'!W91/1000)+('Out Years Data Input'!W92/1000)</f>
        <v>12.092000000000001</v>
      </c>
      <c r="I226" s="218">
        <f>('Out Years Data Input'!Z91/1000)+('Out Years Data Input'!Z92/1000)</f>
        <v>12.092000000000001</v>
      </c>
      <c r="J226" s="218">
        <f>('Out Years Data Input'!AC91/1000)+('Out Years Data Input'!AC92/1000)</f>
        <v>10.819000000000001</v>
      </c>
      <c r="K226" s="218">
        <f>('Out Years Data Input'!AF91/1000)+('Out Years Data Input'!AF92/1000)</f>
        <v>11.864000000000001</v>
      </c>
      <c r="L226" s="218">
        <f>('Out Years Data Input'!AI91/1000)+('Out Years Data Input'!AI92/1000)</f>
        <v>11.702</v>
      </c>
      <c r="M226" s="218">
        <f>('Out Years Data Input'!AL91/1000)+('Out Years Data Input'!AL92/1000)</f>
        <v>12.548999999999999</v>
      </c>
      <c r="N226" s="134">
        <f>SUM(B226:M226)</f>
        <v>137.999</v>
      </c>
      <c r="O226" s="256"/>
      <c r="P226" s="256"/>
      <c r="Q226" s="256"/>
      <c r="R226" s="256"/>
      <c r="S226" s="256"/>
      <c r="T226" s="134"/>
      <c r="U226" s="134"/>
      <c r="W226" s="224"/>
      <c r="Y226" s="224"/>
      <c r="AA226" s="224"/>
    </row>
    <row r="227" spans="1:28" x14ac:dyDescent="0.2">
      <c r="A227" s="131" t="s">
        <v>18</v>
      </c>
      <c r="B227" s="218">
        <v>0</v>
      </c>
      <c r="C227" s="218">
        <v>0</v>
      </c>
      <c r="D227" s="218">
        <v>0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134">
        <f>SUM(B227:M227)</f>
        <v>0</v>
      </c>
      <c r="O227" s="256"/>
      <c r="P227" s="256"/>
      <c r="Q227" s="256"/>
      <c r="R227" s="256"/>
      <c r="S227" s="256"/>
      <c r="T227" s="134"/>
      <c r="U227" s="134"/>
      <c r="W227" s="224"/>
      <c r="Y227" s="224"/>
      <c r="AA227" s="224"/>
    </row>
    <row r="228" spans="1:28" x14ac:dyDescent="0.2">
      <c r="A228" s="133" t="s">
        <v>17</v>
      </c>
      <c r="B228" s="158">
        <f>('Out Years Data Input'!E115/1000)+('Out Years Data Input'!E116/1000)</f>
        <v>0</v>
      </c>
      <c r="C228" s="158">
        <f>('Out Years Data Input'!H115/1000)+('Out Years Data Input'!H116/1000)</f>
        <v>0</v>
      </c>
      <c r="D228" s="158">
        <f>('Out Years Data Input'!K115/1000)+('Out Years Data Input'!K116/1000)</f>
        <v>0</v>
      </c>
      <c r="E228" s="158">
        <f>('Out Years Data Input'!N115/1000)+('Out Years Data Input'!N116/1000)</f>
        <v>0</v>
      </c>
      <c r="F228" s="158">
        <f>('Out Years Data Input'!Q115/1000)+('Out Years Data Input'!Q116/1000)</f>
        <v>0</v>
      </c>
      <c r="G228" s="158">
        <f>('Out Years Data Input'!T115/1000)+('Out Years Data Input'!T116/1000)</f>
        <v>0</v>
      </c>
      <c r="H228" s="158">
        <f>('Out Years Data Input'!W115/1000)+('Out Years Data Input'!W116/1000)</f>
        <v>0</v>
      </c>
      <c r="I228" s="158">
        <f>('Out Years Data Input'!Z115/1000)+('Out Years Data Input'!Z116/1000)</f>
        <v>0</v>
      </c>
      <c r="J228" s="158">
        <f>('Out Years Data Input'!AC115/1000)+('Out Years Data Input'!AC116/1000)</f>
        <v>0</v>
      </c>
      <c r="K228" s="158">
        <f>('Out Years Data Input'!AF115/1000)+('Out Years Data Input'!AF116/1000)</f>
        <v>0</v>
      </c>
      <c r="L228" s="158">
        <f>('Out Years Data Input'!AI115/1000)+('Out Years Data Input'!AI116/1000)</f>
        <v>0</v>
      </c>
      <c r="M228" s="158">
        <f>('Out Years Data Input'!AL115/1000)+('Out Years Data Input'!AL116/1000)</f>
        <v>0</v>
      </c>
      <c r="N228" s="143">
        <f>SUM(B228:M228)</f>
        <v>0</v>
      </c>
      <c r="O228" s="256"/>
      <c r="P228" s="256"/>
      <c r="Q228" s="256"/>
      <c r="R228" s="256"/>
      <c r="S228" s="256"/>
      <c r="T228" s="144"/>
      <c r="U228" s="144"/>
      <c r="X228" s="253"/>
      <c r="Z228" s="253"/>
      <c r="AB228" s="253"/>
    </row>
    <row r="229" spans="1:28" s="260" customFormat="1" x14ac:dyDescent="0.15">
      <c r="A229" s="128" t="s">
        <v>245</v>
      </c>
      <c r="B229" s="135">
        <f t="shared" ref="B229:N229" si="63">SUM(B225:B228)</f>
        <v>72.039000000000001</v>
      </c>
      <c r="C229" s="135">
        <f t="shared" si="63"/>
        <v>65.067999999999998</v>
      </c>
      <c r="D229" s="135">
        <f t="shared" si="63"/>
        <v>72.039000000000001</v>
      </c>
      <c r="E229" s="135">
        <f t="shared" si="63"/>
        <v>72.364999999999995</v>
      </c>
      <c r="F229" s="135">
        <f t="shared" si="63"/>
        <v>75.004999999999995</v>
      </c>
      <c r="G229" s="135">
        <f t="shared" si="63"/>
        <v>72.364999999999995</v>
      </c>
      <c r="H229" s="135">
        <f t="shared" si="63"/>
        <v>74.091999999999999</v>
      </c>
      <c r="I229" s="135">
        <f t="shared" si="63"/>
        <v>74.091999999999999</v>
      </c>
      <c r="J229" s="135">
        <f t="shared" si="63"/>
        <v>70.819000000000003</v>
      </c>
      <c r="K229" s="135">
        <f t="shared" si="63"/>
        <v>73.864000000000004</v>
      </c>
      <c r="L229" s="135">
        <f t="shared" si="63"/>
        <v>71.701999999999998</v>
      </c>
      <c r="M229" s="135">
        <f t="shared" si="63"/>
        <v>74.549000000000007</v>
      </c>
      <c r="N229" s="135">
        <f t="shared" si="63"/>
        <v>867.99900000000002</v>
      </c>
      <c r="O229" s="135"/>
      <c r="P229" s="135"/>
      <c r="Q229" s="135"/>
      <c r="R229" s="135"/>
      <c r="S229" s="135"/>
      <c r="T229" s="135"/>
      <c r="U229" s="135"/>
      <c r="V229" s="134"/>
      <c r="X229" s="261"/>
      <c r="Z229" s="261"/>
      <c r="AB229" s="261"/>
    </row>
    <row r="230" spans="1:28" x14ac:dyDescent="0.2">
      <c r="A230" s="13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20"/>
      <c r="O230" s="120"/>
      <c r="P230" s="269"/>
      <c r="Q230" s="269"/>
      <c r="R230" s="269"/>
      <c r="S230" s="269"/>
      <c r="T230" s="120"/>
      <c r="U230" s="120"/>
    </row>
    <row r="231" spans="1:28" x14ac:dyDescent="0.2">
      <c r="A231" s="128" t="s">
        <v>246</v>
      </c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4"/>
      <c r="O231" s="134"/>
      <c r="P231" s="129"/>
      <c r="Q231" s="129"/>
      <c r="R231" s="129"/>
      <c r="S231" s="129"/>
      <c r="T231" s="134"/>
      <c r="U231" s="134"/>
    </row>
    <row r="232" spans="1:28" x14ac:dyDescent="0.2">
      <c r="A232" s="131" t="s">
        <v>20</v>
      </c>
      <c r="B232" s="218">
        <f>'Out Years Data Input'!E211/1000</f>
        <v>823.388201568</v>
      </c>
      <c r="C232" s="218">
        <f>'Out Years Data Input'!H211/1000</f>
        <v>743.70547238400002</v>
      </c>
      <c r="D232" s="218">
        <f>'Out Years Data Input'!K211/1000</f>
        <v>708.13516156799994</v>
      </c>
      <c r="E232" s="218">
        <f>'Out Years Data Input'!N211/1000</f>
        <v>678.16420416000005</v>
      </c>
      <c r="F232" s="218">
        <f>'Out Years Data Input'!Q211/1000</f>
        <v>667.63228157200001</v>
      </c>
      <c r="G232" s="218">
        <f>'Out Years Data Input'!T211/1000</f>
        <v>567.47355568000012</v>
      </c>
      <c r="H232" s="218">
        <f>'Out Years Data Input'!W211/1000</f>
        <v>594.54556274800007</v>
      </c>
      <c r="I232" s="218">
        <f>'Out Years Data Input'!Z211/1000</f>
        <v>586.99489200399989</v>
      </c>
      <c r="J232" s="218">
        <f>'Out Years Data Input'!AC211/1000</f>
        <v>561.69058371999995</v>
      </c>
      <c r="K232" s="218">
        <f>'Out Years Data Input'!AF211/1000</f>
        <v>558.93712800000003</v>
      </c>
      <c r="L232" s="218">
        <f>'Out Years Data Input'!AI211/1000</f>
        <v>641.83551999999997</v>
      </c>
      <c r="M232" s="218">
        <f>'Out Years Data Input'!AL211/1000</f>
        <v>661.96407999999997</v>
      </c>
      <c r="N232" s="134">
        <f>SUM(B232:M232)</f>
        <v>7794.4666434039982</v>
      </c>
      <c r="O232" s="256"/>
      <c r="P232" s="256"/>
      <c r="Q232" s="256"/>
      <c r="R232" s="256"/>
      <c r="S232" s="256"/>
      <c r="T232" s="134"/>
      <c r="U232" s="134"/>
    </row>
    <row r="233" spans="1:28" x14ac:dyDescent="0.2">
      <c r="A233" s="131" t="s">
        <v>231</v>
      </c>
      <c r="B233" s="218">
        <f>'Out Years Data Input'!E88/1000</f>
        <v>69.673000000000002</v>
      </c>
      <c r="C233" s="218">
        <f>'Out Years Data Input'!H88/1000</f>
        <v>65.840999999999994</v>
      </c>
      <c r="D233" s="218">
        <f>'Out Years Data Input'!K88/1000</f>
        <v>66.534999999999997</v>
      </c>
      <c r="E233" s="218">
        <f>'Out Years Data Input'!N88/1000</f>
        <v>84.626999999999995</v>
      </c>
      <c r="F233" s="218">
        <f>'Out Years Data Input'!Q88/1000</f>
        <v>88.066999999999993</v>
      </c>
      <c r="G233" s="218">
        <f>'Out Years Data Input'!T88/1000</f>
        <v>83.21</v>
      </c>
      <c r="H233" s="218">
        <f>'Out Years Data Input'!W88/1000</f>
        <v>82.016999999999996</v>
      </c>
      <c r="I233" s="218">
        <f>'Out Years Data Input'!Z88/1000</f>
        <v>84.552000000000007</v>
      </c>
      <c r="J233" s="218">
        <f>'Out Years Data Input'!AC88/1000</f>
        <v>72.328999999999994</v>
      </c>
      <c r="K233" s="218">
        <f>'Out Years Data Input'!AF88/1000</f>
        <v>78.840999999999994</v>
      </c>
      <c r="L233" s="218">
        <f>'Out Years Data Input'!AI88/1000</f>
        <v>83.52</v>
      </c>
      <c r="M233" s="218">
        <f>'Out Years Data Input'!AL88/1000</f>
        <v>85.858999999999995</v>
      </c>
      <c r="N233" s="134">
        <f>SUM(B233:M233)</f>
        <v>945.07100000000003</v>
      </c>
      <c r="O233" s="256"/>
      <c r="P233" s="256"/>
      <c r="Q233" s="256"/>
      <c r="R233" s="256"/>
      <c r="S233" s="256"/>
      <c r="T233" s="134"/>
      <c r="U233" s="134"/>
      <c r="W233" s="224"/>
      <c r="Y233" s="224"/>
      <c r="AA233" s="224"/>
    </row>
    <row r="234" spans="1:28" x14ac:dyDescent="0.2">
      <c r="A234" s="131" t="s">
        <v>18</v>
      </c>
      <c r="B234" s="218">
        <v>0</v>
      </c>
      <c r="C234" s="218">
        <v>0</v>
      </c>
      <c r="D234" s="218">
        <v>0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  <c r="K234" s="218">
        <v>0</v>
      </c>
      <c r="L234" s="218">
        <v>0</v>
      </c>
      <c r="M234" s="218">
        <v>0</v>
      </c>
      <c r="N234" s="134">
        <f>SUM(B234:M234)</f>
        <v>0</v>
      </c>
      <c r="O234" s="256"/>
      <c r="P234" s="256"/>
      <c r="Q234" s="256"/>
      <c r="R234" s="256"/>
      <c r="S234" s="256"/>
      <c r="T234" s="134"/>
      <c r="U234" s="134"/>
      <c r="W234" s="224"/>
      <c r="Y234" s="224"/>
      <c r="AA234" s="224"/>
    </row>
    <row r="235" spans="1:28" x14ac:dyDescent="0.2">
      <c r="A235" s="131" t="s">
        <v>247</v>
      </c>
      <c r="B235" s="218">
        <v>0</v>
      </c>
      <c r="C235" s="218">
        <v>0</v>
      </c>
      <c r="D235" s="218">
        <v>0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  <c r="K235" s="218">
        <v>0</v>
      </c>
      <c r="L235" s="218">
        <v>0</v>
      </c>
      <c r="M235" s="218">
        <v>0</v>
      </c>
      <c r="N235" s="134">
        <f>SUM(B235:M235)</f>
        <v>0</v>
      </c>
      <c r="O235" s="256"/>
      <c r="P235" s="256"/>
      <c r="Q235" s="256"/>
      <c r="R235" s="256"/>
      <c r="S235" s="256"/>
      <c r="T235" s="134"/>
      <c r="U235" s="134"/>
      <c r="W235" s="224"/>
      <c r="Y235" s="224"/>
      <c r="AA235" s="224"/>
    </row>
    <row r="236" spans="1:28" x14ac:dyDescent="0.2">
      <c r="A236" s="131" t="s">
        <v>17</v>
      </c>
      <c r="B236" s="158">
        <f>'Out Years Data Input'!E112/1000</f>
        <v>32.735999999999997</v>
      </c>
      <c r="C236" s="158">
        <f>'Out Years Data Input'!H112/1000</f>
        <v>20.076000000000001</v>
      </c>
      <c r="D236" s="158">
        <f>'Out Years Data Input'!K112/1000</f>
        <v>24.552</v>
      </c>
      <c r="E236" s="158">
        <f>'Out Years Data Input'!N112/1000</f>
        <v>21.51</v>
      </c>
      <c r="F236" s="158">
        <f>'Out Years Data Input'!Q112/1000</f>
        <v>18.600000000000001</v>
      </c>
      <c r="G236" s="158">
        <f>'Out Years Data Input'!T112/1000</f>
        <v>21.51</v>
      </c>
      <c r="H236" s="158">
        <f>'Out Years Data Input'!W112/1000</f>
        <v>137.87</v>
      </c>
      <c r="I236" s="158">
        <f>'Out Years Data Input'!Z112/1000</f>
        <v>128.012</v>
      </c>
      <c r="J236" s="158">
        <f>'Out Years Data Input'!AC112/1000</f>
        <v>134.846</v>
      </c>
      <c r="K236" s="158">
        <f>'Out Years Data Input'!AF112/1000</f>
        <v>126.524</v>
      </c>
      <c r="L236" s="158">
        <f>'Out Years Data Input'!AI112/1000</f>
        <v>129.08600000000001</v>
      </c>
      <c r="M236" s="158">
        <f>'Out Years Data Input'!AL112/1000</f>
        <v>142.059</v>
      </c>
      <c r="N236" s="143">
        <f>SUM(B236:M236)</f>
        <v>937.38099999999997</v>
      </c>
      <c r="O236" s="256"/>
      <c r="P236" s="256"/>
      <c r="Q236" s="256"/>
      <c r="R236" s="256"/>
      <c r="S236" s="256"/>
      <c r="T236" s="144"/>
      <c r="U236" s="144"/>
      <c r="X236" s="224"/>
      <c r="Z236" s="224"/>
      <c r="AB236" s="224"/>
    </row>
    <row r="237" spans="1:28" x14ac:dyDescent="0.2">
      <c r="A237" s="128" t="s">
        <v>248</v>
      </c>
      <c r="B237" s="135">
        <f t="shared" ref="B237:N237" si="64">SUM(B232:B236)</f>
        <v>925.79720156799999</v>
      </c>
      <c r="C237" s="135">
        <f t="shared" si="64"/>
        <v>829.62247238400005</v>
      </c>
      <c r="D237" s="135">
        <f t="shared" si="64"/>
        <v>799.22216156799993</v>
      </c>
      <c r="E237" s="135">
        <f t="shared" si="64"/>
        <v>784.30120416</v>
      </c>
      <c r="F237" s="135">
        <f t="shared" si="64"/>
        <v>774.29928157200004</v>
      </c>
      <c r="G237" s="135">
        <f t="shared" si="64"/>
        <v>672.19355568000015</v>
      </c>
      <c r="H237" s="135">
        <f t="shared" si="64"/>
        <v>814.43256274800012</v>
      </c>
      <c r="I237" s="135">
        <f t="shared" si="64"/>
        <v>799.55889200399997</v>
      </c>
      <c r="J237" s="135">
        <f t="shared" si="64"/>
        <v>768.8655837199999</v>
      </c>
      <c r="K237" s="135">
        <f t="shared" si="64"/>
        <v>764.30212800000004</v>
      </c>
      <c r="L237" s="135">
        <f t="shared" si="64"/>
        <v>854.44151999999997</v>
      </c>
      <c r="M237" s="135">
        <f t="shared" si="64"/>
        <v>889.88207999999997</v>
      </c>
      <c r="N237" s="135">
        <f t="shared" si="64"/>
        <v>9676.9186434039984</v>
      </c>
      <c r="O237" s="135"/>
      <c r="P237" s="135"/>
      <c r="Q237" s="135"/>
      <c r="R237" s="135"/>
      <c r="S237" s="135"/>
      <c r="T237" s="135"/>
      <c r="U237" s="135"/>
    </row>
    <row r="238" spans="1:28" x14ac:dyDescent="0.2">
      <c r="A238" s="128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20"/>
      <c r="O238" s="120"/>
      <c r="P238" s="256"/>
      <c r="Q238" s="255"/>
      <c r="R238" s="255"/>
      <c r="S238" s="256"/>
      <c r="T238" s="120"/>
      <c r="U238" s="120"/>
    </row>
    <row r="239" spans="1:28" x14ac:dyDescent="0.2">
      <c r="A239" s="128" t="s">
        <v>249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4"/>
      <c r="O239" s="134"/>
      <c r="P239" s="256"/>
      <c r="Q239" s="255"/>
      <c r="R239" s="255"/>
      <c r="S239" s="256"/>
      <c r="T239" s="134"/>
      <c r="U239" s="134"/>
    </row>
    <row r="240" spans="1:28" x14ac:dyDescent="0.2">
      <c r="A240" s="131" t="s">
        <v>20</v>
      </c>
      <c r="B240" s="218">
        <f>'Out Years Data Input'!E212/1000</f>
        <v>0</v>
      </c>
      <c r="C240" s="218">
        <f>'Out Years Data Input'!H212/1000</f>
        <v>0</v>
      </c>
      <c r="D240" s="218">
        <f>'Out Years Data Input'!K212/1000</f>
        <v>0</v>
      </c>
      <c r="E240" s="218">
        <f>'Out Years Data Input'!N212/1000</f>
        <v>0</v>
      </c>
      <c r="F240" s="218">
        <f>'Out Years Data Input'!Q212/1000</f>
        <v>0</v>
      </c>
      <c r="G240" s="218">
        <f>'Out Years Data Input'!T212/1000</f>
        <v>0</v>
      </c>
      <c r="H240" s="218">
        <f>'Out Years Data Input'!W212/1000</f>
        <v>0</v>
      </c>
      <c r="I240" s="218">
        <f>'Out Years Data Input'!Z212/1000</f>
        <v>0</v>
      </c>
      <c r="J240" s="218">
        <f>'Out Years Data Input'!AC212/1000</f>
        <v>0</v>
      </c>
      <c r="K240" s="218">
        <f>'Out Years Data Input'!AF212/1000</f>
        <v>0</v>
      </c>
      <c r="L240" s="218">
        <f>'Out Years Data Input'!AI212/1000</f>
        <v>0</v>
      </c>
      <c r="M240" s="218">
        <f>'Out Years Data Input'!AL212/1000</f>
        <v>0</v>
      </c>
      <c r="N240" s="134">
        <f>SUM(B240:M240)</f>
        <v>0</v>
      </c>
      <c r="O240" s="256"/>
      <c r="P240" s="256"/>
      <c r="Q240" s="256"/>
      <c r="R240" s="256"/>
      <c r="S240" s="256"/>
      <c r="T240" s="134"/>
      <c r="U240" s="134"/>
    </row>
    <row r="241" spans="1:28" x14ac:dyDescent="0.2">
      <c r="A241" s="131" t="s">
        <v>231</v>
      </c>
      <c r="B241" s="218">
        <f>'Out Years Data Input'!E89/1000</f>
        <v>0</v>
      </c>
      <c r="C241" s="218">
        <f>'Out Years Data Input'!H89/1000</f>
        <v>0</v>
      </c>
      <c r="D241" s="218">
        <f>'Out Years Data Input'!K89/1000</f>
        <v>0</v>
      </c>
      <c r="E241" s="218">
        <f>'Out Years Data Input'!N89/1000</f>
        <v>0</v>
      </c>
      <c r="F241" s="218">
        <f>'Out Years Data Input'!Q89/1000</f>
        <v>0</v>
      </c>
      <c r="G241" s="218">
        <f>'Out Years Data Input'!T89/1000</f>
        <v>0</v>
      </c>
      <c r="H241" s="218">
        <f>'Out Years Data Input'!W89/1000</f>
        <v>0</v>
      </c>
      <c r="I241" s="218">
        <f>'Out Years Data Input'!Z89/1000</f>
        <v>0</v>
      </c>
      <c r="J241" s="218">
        <f>'Out Years Data Input'!AC89/1000</f>
        <v>0</v>
      </c>
      <c r="K241" s="218">
        <f>'Out Years Data Input'!AF89/1000</f>
        <v>0</v>
      </c>
      <c r="L241" s="218">
        <f>'Out Years Data Input'!AI89/1000</f>
        <v>0</v>
      </c>
      <c r="M241" s="218">
        <f>'Out Years Data Input'!AL89/1000</f>
        <v>0</v>
      </c>
      <c r="N241" s="134">
        <f>SUM(B241:M241)</f>
        <v>0</v>
      </c>
      <c r="O241" s="256"/>
      <c r="P241" s="256"/>
      <c r="Q241" s="256"/>
      <c r="R241" s="256"/>
      <c r="S241" s="256"/>
      <c r="T241" s="134"/>
      <c r="U241" s="134"/>
      <c r="W241" s="224"/>
      <c r="Y241" s="224"/>
      <c r="AA241" s="224"/>
    </row>
    <row r="242" spans="1:28" x14ac:dyDescent="0.2">
      <c r="A242" s="131" t="s">
        <v>18</v>
      </c>
      <c r="B242" s="218">
        <v>0</v>
      </c>
      <c r="C242" s="218">
        <v>0</v>
      </c>
      <c r="D242" s="218">
        <v>0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  <c r="K242" s="218">
        <v>0</v>
      </c>
      <c r="L242" s="218">
        <v>0</v>
      </c>
      <c r="M242" s="218">
        <v>0</v>
      </c>
      <c r="N242" s="134">
        <f>SUM(B242:M242)</f>
        <v>0</v>
      </c>
      <c r="O242" s="256"/>
      <c r="P242" s="256"/>
      <c r="Q242" s="256"/>
      <c r="R242" s="256"/>
      <c r="S242" s="256"/>
      <c r="T242" s="134"/>
      <c r="U242" s="134"/>
      <c r="W242" s="224"/>
      <c r="Y242" s="224"/>
      <c r="AA242" s="224"/>
    </row>
    <row r="243" spans="1:28" x14ac:dyDescent="0.2">
      <c r="A243" s="131" t="s">
        <v>17</v>
      </c>
      <c r="B243" s="158">
        <f>'Out Years Data Input'!E113/1000</f>
        <v>0</v>
      </c>
      <c r="C243" s="158">
        <f>'Out Years Data Input'!H113/1000</f>
        <v>0</v>
      </c>
      <c r="D243" s="158">
        <f>'Out Years Data Input'!K113/1000</f>
        <v>0</v>
      </c>
      <c r="E243" s="158">
        <f>'Out Years Data Input'!N113/1000</f>
        <v>0</v>
      </c>
      <c r="F243" s="158">
        <f>'Out Years Data Input'!Q113/1000</f>
        <v>0</v>
      </c>
      <c r="G243" s="158">
        <f>'Out Years Data Input'!T113/1000</f>
        <v>0</v>
      </c>
      <c r="H243" s="158">
        <f>'Out Years Data Input'!W113/1000</f>
        <v>0</v>
      </c>
      <c r="I243" s="158">
        <f>'Out Years Data Input'!Z113/1000</f>
        <v>0</v>
      </c>
      <c r="J243" s="158">
        <f>'Out Years Data Input'!AC113/1000</f>
        <v>0</v>
      </c>
      <c r="K243" s="158">
        <f>'Out Years Data Input'!AF113/1000</f>
        <v>0</v>
      </c>
      <c r="L243" s="158">
        <f>'Out Years Data Input'!AI113/1000</f>
        <v>0</v>
      </c>
      <c r="M243" s="158">
        <f>'Out Years Data Input'!AL113/1000</f>
        <v>0</v>
      </c>
      <c r="N243" s="143">
        <f>SUM(B243:M243)</f>
        <v>0</v>
      </c>
      <c r="O243" s="256"/>
      <c r="P243" s="256"/>
      <c r="Q243" s="256"/>
      <c r="R243" s="256"/>
      <c r="S243" s="256"/>
      <c r="T243" s="144"/>
      <c r="U243" s="144"/>
      <c r="X243" s="224"/>
      <c r="Z243" s="224"/>
      <c r="AB243" s="224"/>
    </row>
    <row r="244" spans="1:28" x14ac:dyDescent="0.2">
      <c r="A244" s="128" t="s">
        <v>250</v>
      </c>
      <c r="B244" s="135">
        <f t="shared" ref="B244:N244" si="65">SUM(B240:B243)</f>
        <v>0</v>
      </c>
      <c r="C244" s="135">
        <f t="shared" si="65"/>
        <v>0</v>
      </c>
      <c r="D244" s="135">
        <f t="shared" si="65"/>
        <v>0</v>
      </c>
      <c r="E244" s="135">
        <f t="shared" si="65"/>
        <v>0</v>
      </c>
      <c r="F244" s="135">
        <f t="shared" si="65"/>
        <v>0</v>
      </c>
      <c r="G244" s="135">
        <f t="shared" si="65"/>
        <v>0</v>
      </c>
      <c r="H244" s="135">
        <f t="shared" si="65"/>
        <v>0</v>
      </c>
      <c r="I244" s="135">
        <f t="shared" si="65"/>
        <v>0</v>
      </c>
      <c r="J244" s="135">
        <f t="shared" si="65"/>
        <v>0</v>
      </c>
      <c r="K244" s="135">
        <f t="shared" si="65"/>
        <v>0</v>
      </c>
      <c r="L244" s="135">
        <f t="shared" si="65"/>
        <v>0</v>
      </c>
      <c r="M244" s="135">
        <f t="shared" si="65"/>
        <v>0</v>
      </c>
      <c r="N244" s="135">
        <f t="shared" si="65"/>
        <v>0</v>
      </c>
      <c r="O244" s="271"/>
      <c r="P244" s="271"/>
      <c r="Q244" s="271"/>
      <c r="R244" s="271"/>
      <c r="S244" s="271"/>
      <c r="T244" s="135"/>
      <c r="U244" s="135"/>
      <c r="X244" s="224"/>
      <c r="Z244" s="224"/>
      <c r="AB244" s="224"/>
    </row>
    <row r="245" spans="1:28" x14ac:dyDescent="0.2">
      <c r="A245" s="131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20"/>
      <c r="O245" s="120"/>
      <c r="P245" s="256"/>
      <c r="Q245" s="256"/>
      <c r="R245" s="256"/>
      <c r="S245" s="256"/>
      <c r="T245" s="120"/>
      <c r="U245" s="120"/>
      <c r="X245" s="224"/>
      <c r="Z245" s="224"/>
      <c r="AB245" s="224"/>
    </row>
    <row r="246" spans="1:28" x14ac:dyDescent="0.2">
      <c r="A246" s="128" t="s">
        <v>251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4"/>
      <c r="O246" s="134"/>
      <c r="P246" s="243"/>
      <c r="Q246" s="255"/>
      <c r="R246" s="255"/>
      <c r="S246" s="256"/>
      <c r="T246" s="134"/>
      <c r="U246" s="134"/>
    </row>
    <row r="247" spans="1:28" x14ac:dyDescent="0.2">
      <c r="A247" s="131" t="s">
        <v>20</v>
      </c>
      <c r="B247" s="218">
        <f>'Out Years Data Input'!E213/1000</f>
        <v>342.07042999999999</v>
      </c>
      <c r="C247" s="218">
        <f>'Out Years Data Input'!H213/1000</f>
        <v>307.78440000000001</v>
      </c>
      <c r="D247" s="218">
        <f>'Out Years Data Input'!K213/1000</f>
        <v>342.26201000000003</v>
      </c>
      <c r="E247" s="218">
        <f>'Out Years Data Input'!N213/1000</f>
        <v>327.7296</v>
      </c>
      <c r="F247" s="218">
        <f>'Out Years Data Input'!Q213/1000</f>
        <v>340.12270000000001</v>
      </c>
      <c r="G247" s="218">
        <f>'Out Years Data Input'!T213/1000</f>
        <v>333.35340000000002</v>
      </c>
      <c r="H247" s="218">
        <f>'Out Years Data Input'!W213/1000</f>
        <v>336.70618999999999</v>
      </c>
      <c r="I247" s="218">
        <f>'Out Years Data Input'!Z213/1000</f>
        <v>339.48409999999996</v>
      </c>
      <c r="J247" s="218">
        <f>'Out Years Data Input'!AC213/1000</f>
        <v>326.27729999999997</v>
      </c>
      <c r="K247" s="218">
        <f>'Out Years Data Input'!AF213/1000</f>
        <v>343.50728000000004</v>
      </c>
      <c r="L247" s="218">
        <f>'Out Years Data Input'!AI213/1000</f>
        <v>329.89259999999996</v>
      </c>
      <c r="M247" s="218">
        <f>'Out Years Data Input'!AL213/1000</f>
        <v>357.88693999999998</v>
      </c>
      <c r="N247" s="134">
        <f>SUM(B247:M247)</f>
        <v>4027.0769500000001</v>
      </c>
      <c r="O247" s="256"/>
      <c r="P247" s="256"/>
      <c r="Q247" s="256"/>
      <c r="R247" s="256"/>
      <c r="S247" s="256"/>
      <c r="T247" s="134"/>
      <c r="U247" s="134"/>
    </row>
    <row r="248" spans="1:28" x14ac:dyDescent="0.2">
      <c r="A248" s="131" t="s">
        <v>231</v>
      </c>
      <c r="B248" s="218">
        <f>'Out Years Data Input'!E90/1000</f>
        <v>17.53</v>
      </c>
      <c r="C248" s="218">
        <f>'Out Years Data Input'!H90/1000</f>
        <v>17.015999999999998</v>
      </c>
      <c r="D248" s="218">
        <f>'Out Years Data Input'!K90/1000</f>
        <v>17.338000000000001</v>
      </c>
      <c r="E248" s="218">
        <f>'Out Years Data Input'!N90/1000</f>
        <v>20.27</v>
      </c>
      <c r="F248" s="218">
        <f>'Out Years Data Input'!Q90/1000</f>
        <v>19.477</v>
      </c>
      <c r="G248" s="218">
        <f>'Out Years Data Input'!T90/1000</f>
        <v>14.647</v>
      </c>
      <c r="H248" s="218">
        <f>'Out Years Data Input'!W90/1000</f>
        <v>22.893999999999998</v>
      </c>
      <c r="I248" s="218">
        <f>'Out Years Data Input'!Z90/1000</f>
        <v>20.116</v>
      </c>
      <c r="J248" s="218">
        <f>'Out Years Data Input'!AC90/1000</f>
        <v>21.722999999999999</v>
      </c>
      <c r="K248" s="218">
        <f>'Out Years Data Input'!AF90/1000</f>
        <v>16.093</v>
      </c>
      <c r="L248" s="218">
        <f>'Out Years Data Input'!AI90/1000</f>
        <v>18.106999999999999</v>
      </c>
      <c r="M248" s="218">
        <f>'Out Years Data Input'!AL90/1000</f>
        <v>14.113</v>
      </c>
      <c r="N248" s="134">
        <f>SUM(B248:M248)</f>
        <v>219.32400000000001</v>
      </c>
      <c r="O248" s="256"/>
      <c r="P248" s="256"/>
      <c r="Q248" s="256"/>
      <c r="R248" s="256"/>
      <c r="S248" s="256"/>
      <c r="T248" s="134"/>
      <c r="U248" s="134"/>
      <c r="W248" s="224"/>
      <c r="Y248" s="224"/>
      <c r="AA248" s="224"/>
    </row>
    <row r="249" spans="1:28" x14ac:dyDescent="0.2">
      <c r="A249" s="131" t="s">
        <v>18</v>
      </c>
      <c r="B249" s="218">
        <v>0</v>
      </c>
      <c r="C249" s="218">
        <v>0</v>
      </c>
      <c r="D249" s="218">
        <v>0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  <c r="K249" s="218">
        <v>0</v>
      </c>
      <c r="L249" s="218">
        <v>0</v>
      </c>
      <c r="M249" s="218">
        <v>0</v>
      </c>
      <c r="N249" s="134">
        <f>SUM(B249:M249)</f>
        <v>0</v>
      </c>
      <c r="O249" s="256"/>
      <c r="P249" s="256"/>
      <c r="Q249" s="256"/>
      <c r="R249" s="256"/>
      <c r="S249" s="256"/>
      <c r="T249" s="134"/>
      <c r="U249" s="134"/>
      <c r="W249" s="224"/>
      <c r="Y249" s="224"/>
      <c r="AA249" s="224"/>
    </row>
    <row r="250" spans="1:28" x14ac:dyDescent="0.2">
      <c r="A250" s="133" t="s">
        <v>17</v>
      </c>
      <c r="B250" s="158">
        <f>'Out Years Data Input'!E114/1000</f>
        <v>1.1779999999999999</v>
      </c>
      <c r="C250" s="158">
        <f>'Out Years Data Input'!H114/1000</f>
        <v>1.008</v>
      </c>
      <c r="D250" s="158">
        <f>'Out Years Data Input'!K114/1000</f>
        <v>1.55</v>
      </c>
      <c r="E250" s="158">
        <f>'Out Years Data Input'!N114/1000</f>
        <v>4.8</v>
      </c>
      <c r="F250" s="158">
        <f>'Out Years Data Input'!Q114/1000</f>
        <v>4.34</v>
      </c>
      <c r="G250" s="158">
        <f>'Out Years Data Input'!T114/1000</f>
        <v>12.36</v>
      </c>
      <c r="H250" s="158">
        <f>'Out Years Data Input'!W114/1000</f>
        <v>1.1779999999999999</v>
      </c>
      <c r="I250" s="158">
        <f>'Out Years Data Input'!Z114/1000</f>
        <v>1.1160000000000001</v>
      </c>
      <c r="J250" s="158">
        <f>'Out Years Data Input'!AC114/1000</f>
        <v>1.5</v>
      </c>
      <c r="K250" s="158">
        <f>'Out Years Data Input'!AF114/1000</f>
        <v>4.96</v>
      </c>
      <c r="L250" s="158">
        <f>'Out Years Data Input'!AI114/1000</f>
        <v>4.2</v>
      </c>
      <c r="M250" s="158">
        <f>'Out Years Data Input'!AL114/1000</f>
        <v>12.772</v>
      </c>
      <c r="N250" s="143">
        <f>SUM(B250:M250)</f>
        <v>50.961999999999996</v>
      </c>
      <c r="O250" s="256"/>
      <c r="P250" s="256"/>
      <c r="Q250" s="256"/>
      <c r="R250" s="256"/>
      <c r="S250" s="256"/>
      <c r="T250" s="144"/>
      <c r="U250" s="144"/>
      <c r="X250" s="224"/>
      <c r="Z250" s="224"/>
      <c r="AB250" s="224"/>
    </row>
    <row r="251" spans="1:28" x14ac:dyDescent="0.2">
      <c r="A251" s="128" t="s">
        <v>252</v>
      </c>
      <c r="B251" s="136">
        <f t="shared" ref="B251:N251" si="66">SUM(B247:B250)</f>
        <v>360.77842999999996</v>
      </c>
      <c r="C251" s="136">
        <f t="shared" si="66"/>
        <v>325.80840000000001</v>
      </c>
      <c r="D251" s="136">
        <f t="shared" si="66"/>
        <v>361.15001000000007</v>
      </c>
      <c r="E251" s="136">
        <f t="shared" si="66"/>
        <v>352.7996</v>
      </c>
      <c r="F251" s="136">
        <f t="shared" si="66"/>
        <v>363.93969999999996</v>
      </c>
      <c r="G251" s="136">
        <f t="shared" si="66"/>
        <v>360.36040000000003</v>
      </c>
      <c r="H251" s="136">
        <f t="shared" si="66"/>
        <v>360.77819</v>
      </c>
      <c r="I251" s="136">
        <f t="shared" si="66"/>
        <v>360.71609999999993</v>
      </c>
      <c r="J251" s="136">
        <f t="shared" si="66"/>
        <v>349.50029999999998</v>
      </c>
      <c r="K251" s="136">
        <f t="shared" si="66"/>
        <v>364.56028000000003</v>
      </c>
      <c r="L251" s="136">
        <f t="shared" si="66"/>
        <v>352.19959999999998</v>
      </c>
      <c r="M251" s="136">
        <f t="shared" si="66"/>
        <v>384.77193999999997</v>
      </c>
      <c r="N251" s="230">
        <f t="shared" si="66"/>
        <v>4297.3629500000006</v>
      </c>
      <c r="O251" s="230"/>
      <c r="P251" s="230"/>
      <c r="Q251" s="230"/>
      <c r="R251" s="230"/>
      <c r="S251" s="230"/>
      <c r="T251" s="230"/>
      <c r="U251" s="230"/>
      <c r="X251" s="224"/>
      <c r="Z251" s="224"/>
      <c r="AB251" s="224"/>
    </row>
    <row r="252" spans="1:28" x14ac:dyDescent="0.2">
      <c r="A252" s="137" t="s">
        <v>253</v>
      </c>
      <c r="B252" s="135">
        <f>B247+B240+B232+B225</f>
        <v>1227.4586315679999</v>
      </c>
      <c r="C252" s="135">
        <f t="shared" ref="C252:M252" si="67">C247+C240+C232+C225</f>
        <v>1107.4898723840001</v>
      </c>
      <c r="D252" s="135">
        <f t="shared" si="67"/>
        <v>1112.397171568</v>
      </c>
      <c r="E252" s="135">
        <f t="shared" si="67"/>
        <v>1065.8938041599999</v>
      </c>
      <c r="F252" s="135">
        <f t="shared" si="67"/>
        <v>1069.7549815719999</v>
      </c>
      <c r="G252" s="135">
        <f t="shared" si="67"/>
        <v>960.82695568000008</v>
      </c>
      <c r="H252" s="135">
        <f t="shared" si="67"/>
        <v>993.25175274800006</v>
      </c>
      <c r="I252" s="135">
        <f t="shared" si="67"/>
        <v>988.47899200399979</v>
      </c>
      <c r="J252" s="135">
        <f t="shared" si="67"/>
        <v>947.96788371999992</v>
      </c>
      <c r="K252" s="135">
        <f t="shared" si="67"/>
        <v>964.44440800000007</v>
      </c>
      <c r="L252" s="135">
        <f t="shared" si="67"/>
        <v>1031.72812</v>
      </c>
      <c r="M252" s="135">
        <f t="shared" si="67"/>
        <v>1081.8510200000001</v>
      </c>
      <c r="N252" s="230">
        <f>SUM(B252:M252)</f>
        <v>12551.543593403998</v>
      </c>
      <c r="O252" s="230"/>
      <c r="P252" s="230"/>
      <c r="Q252" s="230"/>
      <c r="R252" s="230"/>
      <c r="S252" s="230"/>
      <c r="T252" s="230"/>
      <c r="U252" s="230"/>
    </row>
    <row r="253" spans="1:28" x14ac:dyDescent="0.2">
      <c r="A253" s="137" t="s">
        <v>254</v>
      </c>
      <c r="B253" s="139">
        <f>B226+B227+B228+B233+B234+B235+B236+B241+B242+B243+B248+B249+B250</f>
        <v>131.15600000000001</v>
      </c>
      <c r="C253" s="139">
        <f t="shared" ref="C253:M253" si="68">C226+C227+C228+C233+C234+C235+C236+C241+C242+C243+C248+C249+C250</f>
        <v>113.00899999999997</v>
      </c>
      <c r="D253" s="139">
        <f t="shared" si="68"/>
        <v>120.014</v>
      </c>
      <c r="E253" s="139">
        <f t="shared" si="68"/>
        <v>143.572</v>
      </c>
      <c r="F253" s="139">
        <f t="shared" si="68"/>
        <v>143.489</v>
      </c>
      <c r="G253" s="139">
        <f t="shared" si="68"/>
        <v>144.09199999999998</v>
      </c>
      <c r="H253" s="139">
        <f t="shared" si="68"/>
        <v>256.05099999999999</v>
      </c>
      <c r="I253" s="139">
        <f t="shared" si="68"/>
        <v>245.88800000000001</v>
      </c>
      <c r="J253" s="139">
        <f t="shared" si="68"/>
        <v>241.21699999999998</v>
      </c>
      <c r="K253" s="139">
        <f t="shared" si="68"/>
        <v>238.28199999999998</v>
      </c>
      <c r="L253" s="139">
        <f t="shared" si="68"/>
        <v>246.61499999999998</v>
      </c>
      <c r="M253" s="139">
        <f t="shared" si="68"/>
        <v>267.35199999999998</v>
      </c>
      <c r="N253" s="230">
        <f>SUM(B253:M253)</f>
        <v>2290.7369999999996</v>
      </c>
      <c r="O253" s="230"/>
      <c r="P253" s="230"/>
      <c r="Q253" s="230"/>
      <c r="R253" s="230"/>
      <c r="S253" s="230"/>
      <c r="T253" s="230"/>
      <c r="U253" s="230"/>
      <c r="W253" s="272"/>
      <c r="X253" s="272"/>
      <c r="Y253" s="272"/>
      <c r="Z253" s="272"/>
      <c r="AA253" s="272"/>
      <c r="AB253" s="272"/>
    </row>
    <row r="254" spans="1:28" x14ac:dyDescent="0.2">
      <c r="A254" s="140" t="s">
        <v>21</v>
      </c>
      <c r="B254" s="139">
        <f>SUM(B252:B253)</f>
        <v>1358.6146315679998</v>
      </c>
      <c r="C254" s="139">
        <f t="shared" ref="C254:M254" si="69">SUM(C252:C253)</f>
        <v>1220.4988723840002</v>
      </c>
      <c r="D254" s="139">
        <f t="shared" si="69"/>
        <v>1232.4111715679999</v>
      </c>
      <c r="E254" s="139">
        <f t="shared" si="69"/>
        <v>1209.4658041600001</v>
      </c>
      <c r="F254" s="139">
        <f t="shared" si="69"/>
        <v>1213.2439815719999</v>
      </c>
      <c r="G254" s="139">
        <f t="shared" si="69"/>
        <v>1104.9189556800002</v>
      </c>
      <c r="H254" s="139">
        <f t="shared" si="69"/>
        <v>1249.3027527480001</v>
      </c>
      <c r="I254" s="139">
        <f t="shared" si="69"/>
        <v>1234.3669920039997</v>
      </c>
      <c r="J254" s="139">
        <f t="shared" si="69"/>
        <v>1189.18488372</v>
      </c>
      <c r="K254" s="139">
        <f t="shared" si="69"/>
        <v>1202.726408</v>
      </c>
      <c r="L254" s="139">
        <f t="shared" si="69"/>
        <v>1278.34312</v>
      </c>
      <c r="M254" s="139">
        <f t="shared" si="69"/>
        <v>1349.2030199999999</v>
      </c>
      <c r="N254" s="230">
        <f>SUM(B254:M254)</f>
        <v>14842.280593404001</v>
      </c>
      <c r="O254" s="230"/>
      <c r="P254" s="230"/>
      <c r="Q254" s="230"/>
      <c r="R254" s="230"/>
      <c r="S254" s="230"/>
      <c r="T254" s="230"/>
      <c r="U254" s="230"/>
    </row>
    <row r="255" spans="1:28" x14ac:dyDescent="0.2">
      <c r="A255" s="14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68"/>
      <c r="O255" s="268"/>
      <c r="P255" s="269"/>
      <c r="Q255" s="269"/>
      <c r="R255" s="269"/>
      <c r="S255" s="269"/>
      <c r="T255" s="268"/>
      <c r="U255" s="268"/>
    </row>
    <row r="256" spans="1:28" ht="15.75" x14ac:dyDescent="0.2">
      <c r="A256" s="125" t="s">
        <v>255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269"/>
      <c r="Q256" s="269"/>
      <c r="R256" s="269"/>
      <c r="S256" s="269"/>
      <c r="T256" s="120"/>
      <c r="U256" s="120"/>
    </row>
    <row r="257" spans="1:28" x14ac:dyDescent="0.2">
      <c r="A257" s="128" t="s">
        <v>54</v>
      </c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268"/>
      <c r="O257" s="268"/>
      <c r="P257" s="256"/>
      <c r="Q257" s="255"/>
      <c r="R257" s="255"/>
      <c r="S257" s="256"/>
      <c r="T257" s="268"/>
      <c r="U257" s="268"/>
    </row>
    <row r="258" spans="1:28" x14ac:dyDescent="0.2">
      <c r="A258" s="131" t="s">
        <v>20</v>
      </c>
      <c r="B258" s="257">
        <f>'Out Years Data Input'!E217/1000</f>
        <v>564.49053200000003</v>
      </c>
      <c r="C258" s="257">
        <f>'Out Years Data Input'!H217/1000</f>
        <v>501.03547200000003</v>
      </c>
      <c r="D258" s="257">
        <f>'Out Years Data Input'!K217/1000</f>
        <v>554.47281999999996</v>
      </c>
      <c r="E258" s="257">
        <f>'Out Years Data Input'!N217/1000</f>
        <v>543.61668000000009</v>
      </c>
      <c r="F258" s="257">
        <f>'Out Years Data Input'!Q217/1000</f>
        <v>564.12745999999993</v>
      </c>
      <c r="G258" s="257">
        <f>'Out Years Data Input'!T217/1000</f>
        <v>545.45699999999999</v>
      </c>
      <c r="H258" s="257">
        <f>'Out Years Data Input'!W217/1000</f>
        <v>638.50018</v>
      </c>
      <c r="I258" s="257">
        <f>'Out Years Data Input'!Z217/1000</f>
        <v>629.77554000000009</v>
      </c>
      <c r="J258" s="257">
        <f>'Out Years Data Input'!AC217/1000</f>
        <v>613.90740000000005</v>
      </c>
      <c r="K258" s="257">
        <f>'Out Years Data Input'!AF217/1000</f>
        <v>557.57530000000008</v>
      </c>
      <c r="L258" s="257">
        <f>'Out Years Data Input'!AI217/1000</f>
        <v>535.38131999999996</v>
      </c>
      <c r="M258" s="257">
        <f>'Out Years Data Input'!AL217/1000</f>
        <v>554.25457999999992</v>
      </c>
      <c r="N258" s="134">
        <f>SUM(B258:M258)</f>
        <v>6802.5942839999998</v>
      </c>
      <c r="O258" s="256"/>
      <c r="P258" s="256"/>
      <c r="Q258" s="256"/>
      <c r="R258" s="256"/>
      <c r="S258" s="256"/>
      <c r="T258" s="134"/>
      <c r="U258" s="134"/>
    </row>
    <row r="259" spans="1:28" x14ac:dyDescent="0.2">
      <c r="A259" s="131" t="s">
        <v>231</v>
      </c>
      <c r="B259" s="218">
        <f>'Out Years Data Input'!E94/1000</f>
        <v>16.524000000000001</v>
      </c>
      <c r="C259" s="218">
        <f>'Out Years Data Input'!H94/1000</f>
        <v>24.472999999999999</v>
      </c>
      <c r="D259" s="218">
        <f>'Out Years Data Input'!K94/1000</f>
        <v>27.518000000000001</v>
      </c>
      <c r="E259" s="218">
        <f>'Out Years Data Input'!N94/1000</f>
        <v>18.053999999999998</v>
      </c>
      <c r="F259" s="218">
        <f>'Out Years Data Input'!Q94/1000</f>
        <v>16.532</v>
      </c>
      <c r="G259" s="218">
        <f>'Out Years Data Input'!T94/1000</f>
        <v>17.760000000000002</v>
      </c>
      <c r="H259" s="218">
        <f>'Out Years Data Input'!W94/1000</f>
        <v>12.391999999999999</v>
      </c>
      <c r="I259" s="218">
        <f>'Out Years Data Input'!Z94/1000</f>
        <v>23.78</v>
      </c>
      <c r="J259" s="218">
        <f>'Out Years Data Input'!AC94/1000</f>
        <v>16.417999999999999</v>
      </c>
      <c r="K259" s="218">
        <f>'Out Years Data Input'!AF94/1000</f>
        <v>22.196000000000002</v>
      </c>
      <c r="L259" s="218">
        <f>'Out Years Data Input'!AI94/1000</f>
        <v>27.234000000000002</v>
      </c>
      <c r="M259" s="218">
        <f>'Out Years Data Input'!AL94/1000</f>
        <v>29.512</v>
      </c>
      <c r="N259" s="134">
        <f>SUM(B259:M259)</f>
        <v>252.39300000000003</v>
      </c>
      <c r="O259" s="256"/>
      <c r="P259" s="256"/>
      <c r="Q259" s="256"/>
      <c r="R259" s="256"/>
      <c r="S259" s="256"/>
      <c r="T259" s="134"/>
      <c r="U259" s="134"/>
      <c r="W259" s="224"/>
      <c r="Y259" s="224"/>
      <c r="AA259" s="224"/>
    </row>
    <row r="260" spans="1:28" x14ac:dyDescent="0.2">
      <c r="A260" s="131" t="s">
        <v>18</v>
      </c>
      <c r="B260" s="218">
        <v>0</v>
      </c>
      <c r="C260" s="218">
        <v>0</v>
      </c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134">
        <f>SUM(B260:M260)</f>
        <v>0</v>
      </c>
      <c r="O260" s="256"/>
      <c r="P260" s="256"/>
      <c r="Q260" s="256"/>
      <c r="R260" s="256"/>
      <c r="S260" s="256"/>
      <c r="T260" s="134"/>
      <c r="U260" s="134"/>
      <c r="W260" s="224"/>
      <c r="Y260" s="224"/>
      <c r="AA260" s="224"/>
    </row>
    <row r="261" spans="1:28" x14ac:dyDescent="0.2">
      <c r="A261" s="131" t="s">
        <v>17</v>
      </c>
      <c r="B261" s="158">
        <f>'Out Years Data Input'!E118/1000</f>
        <v>60.356999999999999</v>
      </c>
      <c r="C261" s="158">
        <f>'Out Years Data Input'!H118/1000</f>
        <v>22.344000000000001</v>
      </c>
      <c r="D261" s="158">
        <f>'Out Years Data Input'!K118/1000</f>
        <v>25.853999999999999</v>
      </c>
      <c r="E261" s="158">
        <f>'Out Years Data Input'!N118/1000</f>
        <v>127.5</v>
      </c>
      <c r="F261" s="158">
        <f>'Out Years Data Input'!Q118/1000</f>
        <v>180.42</v>
      </c>
      <c r="G261" s="158">
        <f>'Out Years Data Input'!T118/1000</f>
        <v>222</v>
      </c>
      <c r="H261" s="158">
        <f>'Out Years Data Input'!W118/1000</f>
        <v>176.7</v>
      </c>
      <c r="I261" s="158">
        <f>'Out Years Data Input'!Z118/1000</f>
        <v>167.09</v>
      </c>
      <c r="J261" s="158">
        <f>'Out Years Data Input'!AC118/1000</f>
        <v>129</v>
      </c>
      <c r="K261" s="158">
        <f>'Out Years Data Input'!AF118/1000</f>
        <v>40.299999999999997</v>
      </c>
      <c r="L261" s="158">
        <f>'Out Years Data Input'!AI118/1000</f>
        <v>11.7</v>
      </c>
      <c r="M261" s="158">
        <f>'Out Years Data Input'!AL118/1000</f>
        <v>47.476500000000001</v>
      </c>
      <c r="N261" s="143">
        <f>SUM(B261:M261)</f>
        <v>1210.7414999999999</v>
      </c>
      <c r="O261" s="256"/>
      <c r="P261" s="256"/>
      <c r="Q261" s="256"/>
      <c r="R261" s="256"/>
      <c r="S261" s="256"/>
      <c r="T261" s="144"/>
      <c r="U261" s="144"/>
      <c r="X261" s="224"/>
      <c r="Z261" s="224"/>
      <c r="AB261" s="224"/>
    </row>
    <row r="262" spans="1:28" x14ac:dyDescent="0.2">
      <c r="A262" s="128" t="s">
        <v>362</v>
      </c>
      <c r="B262" s="147">
        <f t="shared" ref="B262:N262" si="70">SUM(B258:B261)</f>
        <v>641.371532</v>
      </c>
      <c r="C262" s="147">
        <f t="shared" si="70"/>
        <v>547.85247200000003</v>
      </c>
      <c r="D262" s="147">
        <f t="shared" si="70"/>
        <v>607.84482000000003</v>
      </c>
      <c r="E262" s="147">
        <f t="shared" si="70"/>
        <v>689.17068000000006</v>
      </c>
      <c r="F262" s="147">
        <f t="shared" si="70"/>
        <v>761.07945999999993</v>
      </c>
      <c r="G262" s="147">
        <f t="shared" si="70"/>
        <v>785.21699999999998</v>
      </c>
      <c r="H262" s="147">
        <f t="shared" si="70"/>
        <v>827.5921800000001</v>
      </c>
      <c r="I262" s="147">
        <f t="shared" si="70"/>
        <v>820.6455400000001</v>
      </c>
      <c r="J262" s="147">
        <f t="shared" si="70"/>
        <v>759.32540000000006</v>
      </c>
      <c r="K262" s="147">
        <f t="shared" si="70"/>
        <v>620.07130000000006</v>
      </c>
      <c r="L262" s="147">
        <f t="shared" si="70"/>
        <v>574.31532000000004</v>
      </c>
      <c r="M262" s="147">
        <f t="shared" si="70"/>
        <v>631.24307999999996</v>
      </c>
      <c r="N262" s="135">
        <f t="shared" si="70"/>
        <v>8265.728783999999</v>
      </c>
      <c r="O262" s="273"/>
      <c r="P262" s="273"/>
      <c r="Q262" s="273"/>
      <c r="R262" s="273"/>
      <c r="S262" s="273"/>
      <c r="T262" s="135"/>
      <c r="U262" s="135"/>
      <c r="X262" s="224"/>
      <c r="Z262" s="224"/>
      <c r="AB262" s="224"/>
    </row>
    <row r="263" spans="1:28" x14ac:dyDescent="0.2">
      <c r="A263" s="13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269"/>
      <c r="Q263" s="269"/>
      <c r="R263" s="269"/>
      <c r="S263" s="269"/>
      <c r="T263" s="120"/>
      <c r="U263" s="120"/>
    </row>
    <row r="264" spans="1:28" x14ac:dyDescent="0.2">
      <c r="A264" s="128" t="s">
        <v>256</v>
      </c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268"/>
      <c r="O264" s="268"/>
      <c r="P264" s="256"/>
      <c r="Q264" s="255"/>
      <c r="R264" s="255"/>
      <c r="S264" s="256"/>
      <c r="T264" s="268"/>
      <c r="U264" s="268"/>
    </row>
    <row r="265" spans="1:28" x14ac:dyDescent="0.2">
      <c r="A265" s="131" t="s">
        <v>20</v>
      </c>
      <c r="B265" s="218">
        <f>'Out Years Data Input'!E219/1000</f>
        <v>368.24283100000002</v>
      </c>
      <c r="C265" s="218">
        <f>'Out Years Data Input'!H219/1000</f>
        <v>332.78414399999997</v>
      </c>
      <c r="D265" s="218">
        <f>'Out Years Data Input'!K219/1000</f>
        <v>368.78024699999997</v>
      </c>
      <c r="E265" s="218">
        <f>'Out Years Data Input'!N219/1000</f>
        <v>357.18309000000005</v>
      </c>
      <c r="F265" s="218">
        <f>'Out Years Data Input'!Q219/1000</f>
        <v>369.21365800000001</v>
      </c>
      <c r="G265" s="218">
        <f>'Out Years Data Input'!T219/1000</f>
        <v>357.42432000000002</v>
      </c>
      <c r="H265" s="218">
        <f>'Out Years Data Input'!W219/1000</f>
        <v>367.85170400000004</v>
      </c>
      <c r="I265" s="218">
        <f>'Out Years Data Input'!Z219/1000</f>
        <v>368.64691600000003</v>
      </c>
      <c r="J265" s="218">
        <f>'Out Years Data Input'!AC219/1000</f>
        <v>355.97265000000004</v>
      </c>
      <c r="K265" s="218">
        <f>'Out Years Data Input'!AF219/1000</f>
        <v>369.14750400000003</v>
      </c>
      <c r="L265" s="218">
        <f>'Out Years Data Input'!AI219/1000</f>
        <v>357.41046</v>
      </c>
      <c r="M265" s="218">
        <f>'Out Years Data Input'!AL219/1000</f>
        <v>369.669916</v>
      </c>
      <c r="N265" s="134">
        <f>SUM(B265:M265)</f>
        <v>4342.3274400000009</v>
      </c>
      <c r="O265" s="256"/>
      <c r="P265" s="256"/>
      <c r="Q265" s="256"/>
      <c r="R265" s="256"/>
      <c r="S265" s="256"/>
      <c r="T265" s="134"/>
      <c r="U265" s="134"/>
    </row>
    <row r="266" spans="1:28" x14ac:dyDescent="0.2">
      <c r="A266" s="131" t="s">
        <v>231</v>
      </c>
      <c r="B266" s="218">
        <f>'Out Years Data Input'!E96/1000</f>
        <v>6.8570000000000002</v>
      </c>
      <c r="C266" s="218">
        <f>'Out Years Data Input'!H96/1000</f>
        <v>6.016</v>
      </c>
      <c r="D266" s="218">
        <f>'Out Years Data Input'!K96/1000</f>
        <v>6.32</v>
      </c>
      <c r="E266" s="218">
        <f>'Out Years Data Input'!N96/1000</f>
        <v>5.8170000000000002</v>
      </c>
      <c r="F266" s="218">
        <f>'Out Years Data Input'!Q96/1000</f>
        <v>5.8860000000000001</v>
      </c>
      <c r="G266" s="218">
        <f>'Out Years Data Input'!T96/1000</f>
        <v>5.5759999999999996</v>
      </c>
      <c r="H266" s="218">
        <f>'Out Years Data Input'!W96/1000</f>
        <v>7.2480000000000002</v>
      </c>
      <c r="I266" s="218">
        <f>'Out Years Data Input'!Z96/1000</f>
        <v>6.4530000000000003</v>
      </c>
      <c r="J266" s="218">
        <f>'Out Years Data Input'!AC96/1000</f>
        <v>7.0270000000000001</v>
      </c>
      <c r="K266" s="218">
        <f>'Out Years Data Input'!AF96/1000</f>
        <v>5.952</v>
      </c>
      <c r="L266" s="218">
        <f>'Out Years Data Input'!AI96/1000</f>
        <v>5.59</v>
      </c>
      <c r="M266" s="218">
        <f>'Out Years Data Input'!AL96/1000</f>
        <v>5.43</v>
      </c>
      <c r="N266" s="134">
        <f>SUM(B266:M266)</f>
        <v>74.171999999999997</v>
      </c>
      <c r="O266" s="256"/>
      <c r="P266" s="256"/>
      <c r="Q266" s="256"/>
      <c r="R266" s="256"/>
      <c r="S266" s="256"/>
      <c r="T266" s="134"/>
      <c r="U266" s="134"/>
      <c r="W266" s="224"/>
      <c r="Y266" s="224"/>
      <c r="AA266" s="224"/>
    </row>
    <row r="267" spans="1:28" x14ac:dyDescent="0.2">
      <c r="A267" s="131" t="s">
        <v>18</v>
      </c>
      <c r="B267" s="218">
        <v>0</v>
      </c>
      <c r="C267" s="258">
        <v>0</v>
      </c>
      <c r="D267" s="218">
        <v>0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  <c r="K267" s="218">
        <v>0</v>
      </c>
      <c r="L267" s="218">
        <v>0</v>
      </c>
      <c r="M267" s="218">
        <v>0</v>
      </c>
      <c r="N267" s="134">
        <f>SUM(B267:M267)</f>
        <v>0</v>
      </c>
      <c r="O267" s="256"/>
      <c r="P267" s="256"/>
      <c r="Q267" s="256"/>
      <c r="R267" s="256"/>
      <c r="S267" s="256"/>
      <c r="T267" s="134"/>
      <c r="U267" s="134"/>
      <c r="W267" s="224"/>
      <c r="Y267" s="224"/>
      <c r="AA267" s="224"/>
    </row>
    <row r="268" spans="1:28" x14ac:dyDescent="0.2">
      <c r="A268" s="133" t="s">
        <v>17</v>
      </c>
      <c r="B268" s="158">
        <f>'Out Years Data Input'!E120/1000</f>
        <v>4.0454999999999997</v>
      </c>
      <c r="C268" s="158">
        <f>'Out Years Data Input'!H120/1000</f>
        <v>2.8140000000000001</v>
      </c>
      <c r="D268" s="158">
        <f>'Out Years Data Input'!K120/1000</f>
        <v>6.5564999999999998</v>
      </c>
      <c r="E268" s="158">
        <f>'Out Years Data Input'!N120/1000</f>
        <v>19.2</v>
      </c>
      <c r="F268" s="158">
        <f>'Out Years Data Input'!Q120/1000</f>
        <v>45.57</v>
      </c>
      <c r="G268" s="158">
        <f>'Out Years Data Input'!T120/1000</f>
        <v>34.049999999999997</v>
      </c>
      <c r="H268" s="158">
        <f>'Out Years Data Input'!W120/1000</f>
        <v>7.75</v>
      </c>
      <c r="I268" s="158">
        <f>'Out Years Data Input'!Z120/1000</f>
        <v>11.78</v>
      </c>
      <c r="J268" s="158">
        <f>'Out Years Data Input'!AC120/1000</f>
        <v>10.8</v>
      </c>
      <c r="K268" s="158">
        <f>'Out Years Data Input'!AF120/1000</f>
        <v>66.650000000000006</v>
      </c>
      <c r="L268" s="158">
        <f>'Out Years Data Input'!AI120/1000</f>
        <v>19.350000000000001</v>
      </c>
      <c r="M268" s="158">
        <f>'Out Years Data Input'!AL120/1000</f>
        <v>5.4405000000000001</v>
      </c>
      <c r="N268" s="143">
        <f>SUM(B268:M268)</f>
        <v>234.00650000000002</v>
      </c>
      <c r="O268" s="256"/>
      <c r="P268" s="256"/>
      <c r="Q268" s="256"/>
      <c r="R268" s="256"/>
      <c r="S268" s="256"/>
      <c r="T268" s="144"/>
      <c r="U268" s="144"/>
      <c r="X268" s="224"/>
      <c r="Z268" s="224"/>
      <c r="AB268" s="224"/>
    </row>
    <row r="269" spans="1:28" x14ac:dyDescent="0.2">
      <c r="A269" s="128" t="s">
        <v>257</v>
      </c>
      <c r="B269" s="148">
        <f t="shared" ref="B269:N269" si="71">SUM(B265:B268)</f>
        <v>379.14533100000006</v>
      </c>
      <c r="C269" s="148">
        <f t="shared" si="71"/>
        <v>341.61414400000001</v>
      </c>
      <c r="D269" s="148">
        <f t="shared" si="71"/>
        <v>381.656747</v>
      </c>
      <c r="E269" s="148">
        <f t="shared" si="71"/>
        <v>382.20009000000005</v>
      </c>
      <c r="F269" s="148">
        <f t="shared" si="71"/>
        <v>420.66965800000003</v>
      </c>
      <c r="G269" s="148">
        <f t="shared" si="71"/>
        <v>397.05032000000006</v>
      </c>
      <c r="H269" s="148">
        <f t="shared" si="71"/>
        <v>382.84970400000003</v>
      </c>
      <c r="I269" s="148">
        <f t="shared" si="71"/>
        <v>386.87991599999998</v>
      </c>
      <c r="J269" s="148">
        <f t="shared" si="71"/>
        <v>373.79965000000004</v>
      </c>
      <c r="K269" s="148">
        <f t="shared" si="71"/>
        <v>441.749504</v>
      </c>
      <c r="L269" s="148">
        <f t="shared" si="71"/>
        <v>382.35046</v>
      </c>
      <c r="M269" s="148">
        <f t="shared" si="71"/>
        <v>380.54041599999999</v>
      </c>
      <c r="N269" s="230">
        <f t="shared" si="71"/>
        <v>4650.5059400000009</v>
      </c>
      <c r="O269" s="230"/>
      <c r="P269" s="230"/>
      <c r="Q269" s="230"/>
      <c r="R269" s="230"/>
      <c r="S269" s="230"/>
      <c r="T269" s="230"/>
      <c r="U269" s="230"/>
    </row>
    <row r="270" spans="1:28" x14ac:dyDescent="0.2">
      <c r="A270" s="137" t="s">
        <v>258</v>
      </c>
      <c r="B270" s="148">
        <f>B265+B258</f>
        <v>932.73336300000005</v>
      </c>
      <c r="C270" s="148">
        <f t="shared" ref="C270:M270" si="72">C265+C258</f>
        <v>833.819616</v>
      </c>
      <c r="D270" s="148">
        <f t="shared" si="72"/>
        <v>923.25306699999987</v>
      </c>
      <c r="E270" s="148">
        <f t="shared" si="72"/>
        <v>900.79977000000008</v>
      </c>
      <c r="F270" s="148">
        <f t="shared" si="72"/>
        <v>933.34111799999994</v>
      </c>
      <c r="G270" s="148">
        <f t="shared" si="72"/>
        <v>902.88131999999996</v>
      </c>
      <c r="H270" s="148">
        <f t="shared" si="72"/>
        <v>1006.351884</v>
      </c>
      <c r="I270" s="148">
        <f t="shared" si="72"/>
        <v>998.42245600000012</v>
      </c>
      <c r="J270" s="148">
        <f t="shared" si="72"/>
        <v>969.8800500000001</v>
      </c>
      <c r="K270" s="148">
        <f t="shared" si="72"/>
        <v>926.72280400000011</v>
      </c>
      <c r="L270" s="148">
        <f t="shared" si="72"/>
        <v>892.79178000000002</v>
      </c>
      <c r="M270" s="148">
        <f t="shared" si="72"/>
        <v>923.92449599999986</v>
      </c>
      <c r="N270" s="230">
        <f>SUM(B270:M270)</f>
        <v>11144.921724</v>
      </c>
      <c r="O270" s="230"/>
      <c r="P270" s="230"/>
      <c r="Q270" s="230"/>
      <c r="R270" s="230"/>
      <c r="S270" s="230"/>
      <c r="T270" s="230"/>
      <c r="U270" s="230"/>
    </row>
    <row r="271" spans="1:28" x14ac:dyDescent="0.2">
      <c r="A271" s="137" t="s">
        <v>259</v>
      </c>
      <c r="B271" s="120">
        <f>B259+B260+B261+B266+B267+B268</f>
        <v>87.783500000000004</v>
      </c>
      <c r="C271" s="120">
        <f t="shared" ref="C271:M271" si="73">C259+C260+C261+C266+C267+C268</f>
        <v>55.646999999999998</v>
      </c>
      <c r="D271" s="120">
        <f t="shared" si="73"/>
        <v>66.248500000000007</v>
      </c>
      <c r="E271" s="120">
        <f t="shared" si="73"/>
        <v>170.571</v>
      </c>
      <c r="F271" s="120">
        <f t="shared" si="73"/>
        <v>248.40799999999999</v>
      </c>
      <c r="G271" s="120">
        <f t="shared" si="73"/>
        <v>279.38599999999997</v>
      </c>
      <c r="H271" s="120">
        <f t="shared" si="73"/>
        <v>204.08999999999997</v>
      </c>
      <c r="I271" s="120">
        <f t="shared" si="73"/>
        <v>209.10300000000001</v>
      </c>
      <c r="J271" s="120">
        <f t="shared" si="73"/>
        <v>163.245</v>
      </c>
      <c r="K271" s="120">
        <f t="shared" si="73"/>
        <v>135.09800000000001</v>
      </c>
      <c r="L271" s="120">
        <f t="shared" si="73"/>
        <v>63.874000000000002</v>
      </c>
      <c r="M271" s="120">
        <f t="shared" si="73"/>
        <v>87.858999999999995</v>
      </c>
      <c r="N271" s="230">
        <f>SUM(B271:M271)</f>
        <v>1771.3129999999999</v>
      </c>
      <c r="O271" s="230"/>
      <c r="P271" s="230"/>
      <c r="Q271" s="230"/>
      <c r="R271" s="230"/>
      <c r="S271" s="230"/>
      <c r="T271" s="230"/>
      <c r="U271" s="230"/>
    </row>
    <row r="272" spans="1:28" s="260" customFormat="1" x14ac:dyDescent="0.15">
      <c r="A272" s="140" t="s">
        <v>260</v>
      </c>
      <c r="B272" s="139">
        <f>SUM(B270:B271)</f>
        <v>1020.5168630000001</v>
      </c>
      <c r="C272" s="139">
        <f t="shared" ref="C272:M272" si="74">SUM(C270:C271)</f>
        <v>889.46661600000004</v>
      </c>
      <c r="D272" s="139">
        <f t="shared" si="74"/>
        <v>989.50156699999991</v>
      </c>
      <c r="E272" s="139">
        <f t="shared" si="74"/>
        <v>1071.37077</v>
      </c>
      <c r="F272" s="139">
        <f t="shared" si="74"/>
        <v>1181.749118</v>
      </c>
      <c r="G272" s="139">
        <f t="shared" si="74"/>
        <v>1182.2673199999999</v>
      </c>
      <c r="H272" s="139">
        <f t="shared" si="74"/>
        <v>1210.4418840000001</v>
      </c>
      <c r="I272" s="139">
        <f t="shared" si="74"/>
        <v>1207.5254560000001</v>
      </c>
      <c r="J272" s="139">
        <f t="shared" si="74"/>
        <v>1133.1250500000001</v>
      </c>
      <c r="K272" s="139">
        <f t="shared" si="74"/>
        <v>1061.8208040000002</v>
      </c>
      <c r="L272" s="139">
        <f t="shared" si="74"/>
        <v>956.66578000000004</v>
      </c>
      <c r="M272" s="139">
        <f t="shared" si="74"/>
        <v>1011.7834959999999</v>
      </c>
      <c r="N272" s="230">
        <f>SUM(B272:M272)</f>
        <v>12916.234724</v>
      </c>
      <c r="O272" s="274"/>
      <c r="P272" s="274"/>
      <c r="Q272" s="274"/>
      <c r="R272" s="274"/>
      <c r="S272" s="274"/>
      <c r="T272" s="230"/>
      <c r="U272" s="230"/>
      <c r="V272" s="134"/>
      <c r="W272" s="275"/>
      <c r="X272" s="275"/>
      <c r="Y272" s="275"/>
      <c r="Z272" s="275"/>
      <c r="AA272" s="275"/>
      <c r="AB272" s="275"/>
    </row>
    <row r="273" spans="1:28" s="260" customFormat="1" x14ac:dyDescent="0.15">
      <c r="A273" s="14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68"/>
      <c r="O273" s="268"/>
      <c r="P273" s="276"/>
      <c r="Q273" s="276"/>
      <c r="R273" s="276"/>
      <c r="S273" s="276"/>
      <c r="T273" s="268"/>
      <c r="U273" s="268"/>
      <c r="V273" s="134"/>
      <c r="W273" s="275"/>
      <c r="X273" s="275"/>
      <c r="Y273" s="275"/>
      <c r="Z273" s="275"/>
      <c r="AA273" s="275"/>
      <c r="AB273" s="275"/>
    </row>
    <row r="274" spans="1:28" s="260" customFormat="1" ht="15.75" x14ac:dyDescent="0.15">
      <c r="A274" s="125" t="s">
        <v>261</v>
      </c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276"/>
      <c r="Q274" s="276"/>
      <c r="R274" s="276"/>
      <c r="S274" s="276"/>
      <c r="T274" s="120"/>
      <c r="U274" s="120"/>
      <c r="V274" s="134"/>
      <c r="W274" s="275"/>
      <c r="X274" s="275"/>
      <c r="Y274" s="275"/>
      <c r="Z274" s="275"/>
      <c r="AA274" s="275"/>
      <c r="AB274" s="275"/>
    </row>
    <row r="275" spans="1:28" x14ac:dyDescent="0.2">
      <c r="A275" s="128" t="s">
        <v>262</v>
      </c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268"/>
      <c r="O275" s="268"/>
      <c r="P275" s="256"/>
      <c r="Q275" s="255"/>
      <c r="R275" s="255"/>
      <c r="S275" s="256"/>
      <c r="T275" s="268"/>
      <c r="U275" s="268"/>
    </row>
    <row r="276" spans="1:28" x14ac:dyDescent="0.2">
      <c r="A276" s="131" t="s">
        <v>20</v>
      </c>
      <c r="B276" s="218">
        <f>'Out Years Data Input'!E223/1000</f>
        <v>1598.546</v>
      </c>
      <c r="C276" s="218">
        <f>'Out Years Data Input'!H223/1000</f>
        <v>1443.848</v>
      </c>
      <c r="D276" s="218">
        <f>'Out Years Data Input'!K223/1000</f>
        <v>1531.9580000000001</v>
      </c>
      <c r="E276" s="218">
        <f>'Out Years Data Input'!N223/1000</f>
        <v>1482.54</v>
      </c>
      <c r="F276" s="218">
        <f>'Out Years Data Input'!Q223/1000</f>
        <v>1531.9580000000001</v>
      </c>
      <c r="G276" s="218">
        <f>'Out Years Data Input'!T223/1000</f>
        <v>1482.54</v>
      </c>
      <c r="H276" s="218">
        <f>'Out Years Data Input'!W223/1000</f>
        <v>1531.9580000000001</v>
      </c>
      <c r="I276" s="218">
        <f>'Out Years Data Input'!Z223/1000</f>
        <v>1531.9580000000001</v>
      </c>
      <c r="J276" s="218">
        <f>'Out Years Data Input'!AC223/1000</f>
        <v>1482.54</v>
      </c>
      <c r="K276" s="218">
        <f>'Out Years Data Input'!AF223/1000</f>
        <v>1531.9580000000001</v>
      </c>
      <c r="L276" s="218">
        <f>'Out Years Data Input'!AI223/1000</f>
        <v>1479.66</v>
      </c>
      <c r="M276" s="218">
        <f>'Out Years Data Input'!AL223/1000</f>
        <v>1528.982</v>
      </c>
      <c r="N276" s="134">
        <f>SUM(B276:M276)</f>
        <v>18158.446000000004</v>
      </c>
      <c r="O276" s="256"/>
      <c r="P276" s="256"/>
      <c r="Q276" s="256"/>
      <c r="R276" s="256"/>
      <c r="S276" s="256"/>
      <c r="T276" s="134"/>
      <c r="U276" s="134"/>
    </row>
    <row r="277" spans="1:28" x14ac:dyDescent="0.2">
      <c r="A277" s="131" t="s">
        <v>231</v>
      </c>
      <c r="B277" s="218">
        <f>'Out Years Data Input'!E100/1000</f>
        <v>16.286000000000001</v>
      </c>
      <c r="C277" s="218">
        <f>'Out Years Data Input'!H100/1000</f>
        <v>15.016999999999999</v>
      </c>
      <c r="D277" s="218">
        <f>'Out Years Data Input'!K100/1000</f>
        <v>15.468999999999999</v>
      </c>
      <c r="E277" s="218">
        <f>'Out Years Data Input'!N100/1000</f>
        <v>14.497</v>
      </c>
      <c r="F277" s="218">
        <f>'Out Years Data Input'!Q100/1000</f>
        <v>14.003</v>
      </c>
      <c r="G277" s="218">
        <f>'Out Years Data Input'!T100/1000</f>
        <v>13.394</v>
      </c>
      <c r="H277" s="218">
        <f>'Out Years Data Input'!W100/1000</f>
        <v>15.468999999999999</v>
      </c>
      <c r="I277" s="218">
        <f>'Out Years Data Input'!Z100/1000</f>
        <v>14.654</v>
      </c>
      <c r="J277" s="218">
        <f>'Out Years Data Input'!AC100/1000</f>
        <v>14.339</v>
      </c>
      <c r="K277" s="218">
        <f>'Out Years Data Input'!AF100/1000</f>
        <v>14.98</v>
      </c>
      <c r="L277" s="218">
        <f>'Out Years Data Input'!AI100/1000</f>
        <v>13.694000000000001</v>
      </c>
      <c r="M277" s="218">
        <f>'Out Years Data Input'!AL100/1000</f>
        <v>14.305999999999999</v>
      </c>
      <c r="N277" s="134">
        <f>SUM(B277:M277)</f>
        <v>176.10799999999998</v>
      </c>
      <c r="O277" s="256"/>
      <c r="P277" s="256"/>
      <c r="Q277" s="256"/>
      <c r="R277" s="256"/>
      <c r="S277" s="256"/>
      <c r="T277" s="134"/>
      <c r="U277" s="134"/>
      <c r="W277" s="224"/>
      <c r="Y277" s="277"/>
      <c r="AA277" s="277"/>
    </row>
    <row r="278" spans="1:28" x14ac:dyDescent="0.2">
      <c r="A278" s="150" t="s">
        <v>263</v>
      </c>
      <c r="B278" s="257">
        <v>0</v>
      </c>
      <c r="C278" s="257">
        <v>0</v>
      </c>
      <c r="D278" s="257">
        <v>0</v>
      </c>
      <c r="E278" s="257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134">
        <f>SUM(B278:M278)</f>
        <v>0</v>
      </c>
      <c r="O278" s="256"/>
      <c r="P278" s="256"/>
      <c r="Q278" s="256"/>
      <c r="R278" s="256"/>
      <c r="S278" s="256"/>
      <c r="T278" s="134"/>
      <c r="U278" s="134"/>
      <c r="W278" s="224"/>
      <c r="Y278" s="224"/>
      <c r="AA278" s="224"/>
    </row>
    <row r="279" spans="1:28" x14ac:dyDescent="0.2">
      <c r="A279" s="133" t="s">
        <v>17</v>
      </c>
      <c r="B279" s="158">
        <f>'Out Years Data Input'!E124/1000</f>
        <v>0</v>
      </c>
      <c r="C279" s="158">
        <f>'Out Years Data Input'!H124/1000</f>
        <v>0</v>
      </c>
      <c r="D279" s="158">
        <f>'Out Years Data Input'!K124/1000</f>
        <v>0</v>
      </c>
      <c r="E279" s="158">
        <f>'Out Years Data Input'!N124/1000</f>
        <v>0</v>
      </c>
      <c r="F279" s="158">
        <f>'Out Years Data Input'!Q124/1000</f>
        <v>0</v>
      </c>
      <c r="G279" s="158">
        <f>'Out Years Data Input'!T124/1000</f>
        <v>0</v>
      </c>
      <c r="H279" s="158">
        <f>'Out Years Data Input'!W124/1000</f>
        <v>0</v>
      </c>
      <c r="I279" s="158">
        <f>'Out Years Data Input'!Z124/1000</f>
        <v>0</v>
      </c>
      <c r="J279" s="158">
        <f>'Out Years Data Input'!AC124/1000</f>
        <v>0</v>
      </c>
      <c r="K279" s="158">
        <f>'Out Years Data Input'!AF124/1000</f>
        <v>0</v>
      </c>
      <c r="L279" s="158">
        <f>'Out Years Data Input'!AI124/1000</f>
        <v>0</v>
      </c>
      <c r="M279" s="158">
        <f>'Out Years Data Input'!AL124/1000</f>
        <v>0</v>
      </c>
      <c r="N279" s="143">
        <f>SUM(B279:M279)</f>
        <v>0</v>
      </c>
      <c r="O279" s="256"/>
      <c r="P279" s="256"/>
      <c r="Q279" s="256"/>
      <c r="R279" s="256"/>
      <c r="S279" s="256"/>
      <c r="T279" s="144"/>
      <c r="U279" s="144"/>
      <c r="X279" s="224"/>
      <c r="Z279" s="224"/>
      <c r="AB279" s="224"/>
    </row>
    <row r="280" spans="1:28" x14ac:dyDescent="0.2">
      <c r="A280" s="137" t="s">
        <v>264</v>
      </c>
      <c r="B280" s="148">
        <f>B276</f>
        <v>1598.546</v>
      </c>
      <c r="C280" s="148">
        <f t="shared" ref="C280:N280" si="75">C276</f>
        <v>1443.848</v>
      </c>
      <c r="D280" s="148">
        <f t="shared" si="75"/>
        <v>1531.9580000000001</v>
      </c>
      <c r="E280" s="148">
        <f t="shared" si="75"/>
        <v>1482.54</v>
      </c>
      <c r="F280" s="148">
        <f t="shared" si="75"/>
        <v>1531.9580000000001</v>
      </c>
      <c r="G280" s="148">
        <f t="shared" si="75"/>
        <v>1482.54</v>
      </c>
      <c r="H280" s="148">
        <f t="shared" si="75"/>
        <v>1531.9580000000001</v>
      </c>
      <c r="I280" s="148">
        <f t="shared" si="75"/>
        <v>1531.9580000000001</v>
      </c>
      <c r="J280" s="148">
        <f t="shared" si="75"/>
        <v>1482.54</v>
      </c>
      <c r="K280" s="148">
        <f t="shared" si="75"/>
        <v>1531.9580000000001</v>
      </c>
      <c r="L280" s="148">
        <f t="shared" si="75"/>
        <v>1479.66</v>
      </c>
      <c r="M280" s="148">
        <f t="shared" si="75"/>
        <v>1528.982</v>
      </c>
      <c r="N280" s="148">
        <f t="shared" si="75"/>
        <v>18158.446000000004</v>
      </c>
      <c r="O280" s="230"/>
      <c r="P280" s="230"/>
      <c r="Q280" s="230"/>
      <c r="R280" s="230"/>
      <c r="S280" s="278"/>
      <c r="T280" s="230"/>
      <c r="U280" s="230"/>
      <c r="W280" s="224"/>
      <c r="X280" s="224"/>
      <c r="Y280" s="224"/>
      <c r="Z280" s="224"/>
      <c r="AA280" s="224"/>
      <c r="AB280" s="224"/>
    </row>
    <row r="281" spans="1:28" x14ac:dyDescent="0.2">
      <c r="A281" s="137" t="s">
        <v>265</v>
      </c>
      <c r="B281" s="148">
        <f>SUM(B277:B279)</f>
        <v>16.286000000000001</v>
      </c>
      <c r="C281" s="148">
        <f t="shared" ref="C281:N281" si="76">SUM(C277:C279)</f>
        <v>15.016999999999999</v>
      </c>
      <c r="D281" s="148">
        <f t="shared" si="76"/>
        <v>15.468999999999999</v>
      </c>
      <c r="E281" s="148">
        <f t="shared" si="76"/>
        <v>14.497</v>
      </c>
      <c r="F281" s="148">
        <f t="shared" si="76"/>
        <v>14.003</v>
      </c>
      <c r="G281" s="148">
        <f t="shared" si="76"/>
        <v>13.394</v>
      </c>
      <c r="H281" s="148">
        <f t="shared" si="76"/>
        <v>15.468999999999999</v>
      </c>
      <c r="I281" s="148">
        <f t="shared" si="76"/>
        <v>14.654</v>
      </c>
      <c r="J281" s="148">
        <f t="shared" si="76"/>
        <v>14.339</v>
      </c>
      <c r="K281" s="148">
        <f t="shared" si="76"/>
        <v>14.98</v>
      </c>
      <c r="L281" s="148">
        <f t="shared" si="76"/>
        <v>13.694000000000001</v>
      </c>
      <c r="M281" s="148">
        <f t="shared" si="76"/>
        <v>14.305999999999999</v>
      </c>
      <c r="N281" s="148">
        <f t="shared" si="76"/>
        <v>176.10799999999998</v>
      </c>
      <c r="O281" s="230"/>
      <c r="P281" s="230"/>
      <c r="Q281" s="230"/>
      <c r="R281" s="230"/>
      <c r="S281" s="278"/>
      <c r="T281" s="230"/>
      <c r="U281" s="230"/>
      <c r="W281" s="224"/>
      <c r="X281" s="224"/>
      <c r="Y281" s="224"/>
      <c r="Z281" s="224"/>
      <c r="AA281" s="224"/>
      <c r="AB281" s="224"/>
    </row>
    <row r="282" spans="1:28" x14ac:dyDescent="0.2">
      <c r="A282" s="140" t="s">
        <v>266</v>
      </c>
      <c r="B282" s="151">
        <f>SUM(B280:B281)</f>
        <v>1614.8320000000001</v>
      </c>
      <c r="C282" s="151">
        <f t="shared" ref="C282:N282" si="77">SUM(C280:C281)</f>
        <v>1458.865</v>
      </c>
      <c r="D282" s="151">
        <f t="shared" si="77"/>
        <v>1547.4270000000001</v>
      </c>
      <c r="E282" s="151">
        <f t="shared" si="77"/>
        <v>1497.037</v>
      </c>
      <c r="F282" s="151">
        <f t="shared" si="77"/>
        <v>1545.961</v>
      </c>
      <c r="G282" s="151">
        <f t="shared" si="77"/>
        <v>1495.934</v>
      </c>
      <c r="H282" s="151">
        <f t="shared" si="77"/>
        <v>1547.4270000000001</v>
      </c>
      <c r="I282" s="151">
        <f t="shared" si="77"/>
        <v>1546.6120000000001</v>
      </c>
      <c r="J282" s="151">
        <f t="shared" si="77"/>
        <v>1496.8789999999999</v>
      </c>
      <c r="K282" s="151">
        <f t="shared" si="77"/>
        <v>1546.9380000000001</v>
      </c>
      <c r="L282" s="151">
        <f t="shared" si="77"/>
        <v>1493.354</v>
      </c>
      <c r="M282" s="151">
        <f t="shared" si="77"/>
        <v>1543.288</v>
      </c>
      <c r="N282" s="151">
        <f t="shared" si="77"/>
        <v>18334.554000000004</v>
      </c>
      <c r="O282" s="230"/>
      <c r="P282" s="230"/>
      <c r="Q282" s="230"/>
      <c r="R282" s="230"/>
      <c r="S282" s="278"/>
      <c r="T282" s="230"/>
      <c r="U282" s="230"/>
    </row>
    <row r="283" spans="1:28" x14ac:dyDescent="0.2">
      <c r="A283" s="14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276"/>
      <c r="Q283" s="276"/>
      <c r="R283" s="276"/>
      <c r="S283" s="276"/>
      <c r="T283" s="120"/>
      <c r="U283" s="120"/>
    </row>
    <row r="284" spans="1:28" x14ac:dyDescent="0.2">
      <c r="A284" s="130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268"/>
      <c r="O284" s="268"/>
      <c r="P284" s="256"/>
      <c r="Q284" s="256"/>
      <c r="R284" s="255"/>
      <c r="S284" s="256"/>
      <c r="T284" s="268"/>
      <c r="U284" s="268"/>
    </row>
    <row r="285" spans="1:28" ht="15.75" x14ac:dyDescent="0.2">
      <c r="A285" s="153" t="s">
        <v>267</v>
      </c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240"/>
      <c r="O285" s="152"/>
      <c r="P285" s="129"/>
      <c r="Q285" s="129"/>
      <c r="R285" s="129"/>
      <c r="S285" s="129"/>
      <c r="T285" s="240"/>
      <c r="U285" s="240"/>
    </row>
    <row r="286" spans="1:28" x14ac:dyDescent="0.2">
      <c r="A286" s="155" t="s">
        <v>20</v>
      </c>
      <c r="B286" s="156">
        <f>B280+B270+B252+B219</f>
        <v>12632.967681068001</v>
      </c>
      <c r="C286" s="156">
        <f t="shared" ref="C286:M286" si="78">C280+C270+C252+C219</f>
        <v>11270.843422384001</v>
      </c>
      <c r="D286" s="156">
        <f t="shared" si="78"/>
        <v>12351.679524568</v>
      </c>
      <c r="E286" s="156">
        <f t="shared" si="78"/>
        <v>12063.561164160001</v>
      </c>
      <c r="F286" s="156">
        <f t="shared" si="78"/>
        <v>12428.450112572</v>
      </c>
      <c r="G286" s="156">
        <f t="shared" si="78"/>
        <v>12992.382440679999</v>
      </c>
      <c r="H286" s="156">
        <f t="shared" si="78"/>
        <v>13944.646417947999</v>
      </c>
      <c r="I286" s="156">
        <f t="shared" si="78"/>
        <v>13936.099199503999</v>
      </c>
      <c r="J286" s="156">
        <f t="shared" si="78"/>
        <v>13483.75733572</v>
      </c>
      <c r="K286" s="156">
        <f t="shared" si="78"/>
        <v>13828.331135500001</v>
      </c>
      <c r="L286" s="156">
        <f t="shared" si="78"/>
        <v>14099.423967999999</v>
      </c>
      <c r="M286" s="156">
        <f t="shared" si="78"/>
        <v>14602.389400999999</v>
      </c>
      <c r="N286" s="241">
        <f>SUM(B286:M286)</f>
        <v>157634.53180310398</v>
      </c>
      <c r="O286" s="243"/>
      <c r="P286" s="243"/>
      <c r="Q286" s="243"/>
      <c r="R286" s="243"/>
      <c r="S286" s="219"/>
      <c r="T286" s="241"/>
      <c r="U286" s="241"/>
    </row>
    <row r="287" spans="1:28" x14ac:dyDescent="0.2">
      <c r="A287" s="155" t="s">
        <v>231</v>
      </c>
      <c r="B287" s="156">
        <f>B277+B266+B259+B248+B241+B233+B226+B214+B207+B199+B192</f>
        <v>862.99</v>
      </c>
      <c r="C287" s="156">
        <f t="shared" ref="C287:M287" si="79">C277+C266+C259+C248+C241+C233+C226+C214+C207+C199+C192</f>
        <v>792.06200000000001</v>
      </c>
      <c r="D287" s="156">
        <f t="shared" si="79"/>
        <v>845.85200000000009</v>
      </c>
      <c r="E287" s="156">
        <f t="shared" si="79"/>
        <v>775.68499999999995</v>
      </c>
      <c r="F287" s="156">
        <f t="shared" si="79"/>
        <v>796.51999999999987</v>
      </c>
      <c r="G287" s="156">
        <f t="shared" si="79"/>
        <v>897.88900000000001</v>
      </c>
      <c r="H287" s="156">
        <f t="shared" si="79"/>
        <v>955.13299999999992</v>
      </c>
      <c r="I287" s="156">
        <f t="shared" si="79"/>
        <v>969.35900000000004</v>
      </c>
      <c r="J287" s="156">
        <f t="shared" si="79"/>
        <v>927.12899999999991</v>
      </c>
      <c r="K287" s="156">
        <f t="shared" si="79"/>
        <v>965.46600000000001</v>
      </c>
      <c r="L287" s="156">
        <f t="shared" si="79"/>
        <v>923.57600000000002</v>
      </c>
      <c r="M287" s="156">
        <f t="shared" si="79"/>
        <v>938.97300000000007</v>
      </c>
      <c r="N287" s="241">
        <f t="shared" ref="N287:N292" si="80">SUM(B287:M287)</f>
        <v>10650.634</v>
      </c>
      <c r="O287" s="243"/>
      <c r="P287" s="243"/>
      <c r="Q287" s="243"/>
      <c r="R287" s="243"/>
      <c r="S287" s="219"/>
      <c r="T287" s="152"/>
      <c r="U287" s="152"/>
    </row>
    <row r="288" spans="1:28" x14ac:dyDescent="0.2">
      <c r="A288" s="155" t="s">
        <v>18</v>
      </c>
      <c r="B288" s="156">
        <f>B278+B267+B260+B249+B242+B234+B227+B215+B208+B200+B193</f>
        <v>0</v>
      </c>
      <c r="C288" s="156">
        <f t="shared" ref="C288:M288" si="81">C278+C267+C260+C249+C242+C234+C227+C215+C208+C200+C193</f>
        <v>0</v>
      </c>
      <c r="D288" s="156">
        <f t="shared" si="81"/>
        <v>0</v>
      </c>
      <c r="E288" s="156">
        <f t="shared" si="81"/>
        <v>0</v>
      </c>
      <c r="F288" s="156">
        <f t="shared" si="81"/>
        <v>0</v>
      </c>
      <c r="G288" s="156">
        <f t="shared" si="81"/>
        <v>0</v>
      </c>
      <c r="H288" s="156">
        <f t="shared" si="81"/>
        <v>0</v>
      </c>
      <c r="I288" s="156">
        <f t="shared" si="81"/>
        <v>0</v>
      </c>
      <c r="J288" s="156">
        <f t="shared" si="81"/>
        <v>0</v>
      </c>
      <c r="K288" s="156">
        <f t="shared" si="81"/>
        <v>0</v>
      </c>
      <c r="L288" s="156">
        <f t="shared" si="81"/>
        <v>0</v>
      </c>
      <c r="M288" s="156">
        <f t="shared" si="81"/>
        <v>0</v>
      </c>
      <c r="N288" s="241">
        <f t="shared" si="80"/>
        <v>0</v>
      </c>
      <c r="O288" s="243"/>
      <c r="P288" s="243"/>
      <c r="Q288" s="243"/>
      <c r="R288" s="243"/>
      <c r="S288" s="219"/>
      <c r="T288" s="152"/>
      <c r="U288" s="152"/>
    </row>
    <row r="289" spans="1:34" x14ac:dyDescent="0.2">
      <c r="A289" s="155" t="s">
        <v>268</v>
      </c>
      <c r="B289" s="156">
        <f>B235</f>
        <v>0</v>
      </c>
      <c r="C289" s="156">
        <f t="shared" ref="C289:M289" si="82">C235</f>
        <v>0</v>
      </c>
      <c r="D289" s="156">
        <f t="shared" si="82"/>
        <v>0</v>
      </c>
      <c r="E289" s="156">
        <f t="shared" si="82"/>
        <v>0</v>
      </c>
      <c r="F289" s="156">
        <f t="shared" si="82"/>
        <v>0</v>
      </c>
      <c r="G289" s="156">
        <f t="shared" si="82"/>
        <v>0</v>
      </c>
      <c r="H289" s="156">
        <f t="shared" si="82"/>
        <v>0</v>
      </c>
      <c r="I289" s="156">
        <f t="shared" si="82"/>
        <v>0</v>
      </c>
      <c r="J289" s="156">
        <f t="shared" si="82"/>
        <v>0</v>
      </c>
      <c r="K289" s="156">
        <f t="shared" si="82"/>
        <v>0</v>
      </c>
      <c r="L289" s="156">
        <f t="shared" si="82"/>
        <v>0</v>
      </c>
      <c r="M289" s="156">
        <f t="shared" si="82"/>
        <v>0</v>
      </c>
      <c r="N289" s="241">
        <f t="shared" si="80"/>
        <v>0</v>
      </c>
      <c r="O289" s="243"/>
      <c r="P289" s="243"/>
      <c r="Q289" s="243"/>
      <c r="R289" s="243"/>
      <c r="S289" s="219"/>
      <c r="T289" s="152"/>
      <c r="U289" s="152"/>
    </row>
    <row r="290" spans="1:34" x14ac:dyDescent="0.2">
      <c r="A290" s="155" t="s">
        <v>269</v>
      </c>
      <c r="B290" s="156">
        <f>B201+B216</f>
        <v>0</v>
      </c>
      <c r="C290" s="156">
        <f t="shared" ref="C290:M290" si="83">C201+C216</f>
        <v>0</v>
      </c>
      <c r="D290" s="156">
        <f t="shared" si="83"/>
        <v>0</v>
      </c>
      <c r="E290" s="156">
        <f t="shared" si="83"/>
        <v>0</v>
      </c>
      <c r="F290" s="156">
        <f t="shared" si="83"/>
        <v>0</v>
      </c>
      <c r="G290" s="156">
        <f t="shared" si="83"/>
        <v>0</v>
      </c>
      <c r="H290" s="156">
        <f t="shared" si="83"/>
        <v>0</v>
      </c>
      <c r="I290" s="156">
        <f t="shared" si="83"/>
        <v>0</v>
      </c>
      <c r="J290" s="156">
        <f t="shared" si="83"/>
        <v>0</v>
      </c>
      <c r="K290" s="156">
        <f t="shared" si="83"/>
        <v>0</v>
      </c>
      <c r="L290" s="156">
        <f t="shared" si="83"/>
        <v>0</v>
      </c>
      <c r="M290" s="156">
        <f t="shared" si="83"/>
        <v>0</v>
      </c>
      <c r="N290" s="241">
        <f t="shared" si="80"/>
        <v>0</v>
      </c>
      <c r="O290" s="243"/>
      <c r="P290" s="243"/>
      <c r="Q290" s="243"/>
      <c r="R290" s="243"/>
      <c r="S290" s="219"/>
      <c r="T290" s="152"/>
      <c r="U290" s="152"/>
    </row>
    <row r="291" spans="1:34" x14ac:dyDescent="0.2">
      <c r="A291" s="157" t="s">
        <v>17</v>
      </c>
      <c r="B291" s="158">
        <f>B279+B268+B261+B250+B243+B236+B228+B217+B209+B202+B194</f>
        <v>173.31649999999999</v>
      </c>
      <c r="C291" s="158">
        <f t="shared" ref="C291:M291" si="84">C279+C268+C261+C250+C243+C236+C228+C217+C209+C202+C194</f>
        <v>121.242</v>
      </c>
      <c r="D291" s="158">
        <f t="shared" si="84"/>
        <v>108.51249999999999</v>
      </c>
      <c r="E291" s="158">
        <f t="shared" si="84"/>
        <v>273.01</v>
      </c>
      <c r="F291" s="158">
        <f t="shared" si="84"/>
        <v>348.92999999999995</v>
      </c>
      <c r="G291" s="158">
        <f t="shared" si="84"/>
        <v>389.92</v>
      </c>
      <c r="H291" s="158">
        <f t="shared" si="84"/>
        <v>423.49799999999999</v>
      </c>
      <c r="I291" s="158">
        <f t="shared" si="84"/>
        <v>407.99800000000005</v>
      </c>
      <c r="J291" s="158">
        <f t="shared" si="84"/>
        <v>351.14600000000002</v>
      </c>
      <c r="K291" s="158">
        <f t="shared" si="84"/>
        <v>313.43399999999997</v>
      </c>
      <c r="L291" s="158">
        <f t="shared" si="84"/>
        <v>239.33600000000001</v>
      </c>
      <c r="M291" s="158">
        <f t="shared" si="84"/>
        <v>282.74799999999999</v>
      </c>
      <c r="N291" s="231">
        <f t="shared" si="80"/>
        <v>3433.0910000000008</v>
      </c>
      <c r="O291" s="243"/>
      <c r="P291" s="243"/>
      <c r="Q291" s="243"/>
      <c r="R291" s="243"/>
      <c r="S291" s="219"/>
      <c r="T291" s="231"/>
      <c r="U291" s="231"/>
    </row>
    <row r="292" spans="1:34" x14ac:dyDescent="0.2">
      <c r="A292" s="137" t="s">
        <v>270</v>
      </c>
      <c r="B292" s="144">
        <f>B286</f>
        <v>12632.967681068001</v>
      </c>
      <c r="C292" s="144">
        <f t="shared" ref="C292:M292" si="85">C286</f>
        <v>11270.843422384001</v>
      </c>
      <c r="D292" s="144">
        <f t="shared" si="85"/>
        <v>12351.679524568</v>
      </c>
      <c r="E292" s="144">
        <f t="shared" si="85"/>
        <v>12063.561164160001</v>
      </c>
      <c r="F292" s="144">
        <f t="shared" si="85"/>
        <v>12428.450112572</v>
      </c>
      <c r="G292" s="144">
        <f t="shared" si="85"/>
        <v>12992.382440679999</v>
      </c>
      <c r="H292" s="144">
        <f t="shared" si="85"/>
        <v>13944.646417947999</v>
      </c>
      <c r="I292" s="144">
        <f t="shared" si="85"/>
        <v>13936.099199503999</v>
      </c>
      <c r="J292" s="144">
        <f t="shared" si="85"/>
        <v>13483.75733572</v>
      </c>
      <c r="K292" s="144">
        <f t="shared" si="85"/>
        <v>13828.331135500001</v>
      </c>
      <c r="L292" s="144">
        <f t="shared" si="85"/>
        <v>14099.423967999999</v>
      </c>
      <c r="M292" s="144">
        <f t="shared" si="85"/>
        <v>14602.389400999999</v>
      </c>
      <c r="N292" s="231">
        <f t="shared" si="80"/>
        <v>157634.53180310398</v>
      </c>
      <c r="O292" s="231"/>
      <c r="P292" s="231"/>
      <c r="Q292" s="231"/>
      <c r="R292" s="231"/>
      <c r="S292" s="219"/>
      <c r="T292" s="231"/>
      <c r="U292" s="231"/>
    </row>
    <row r="293" spans="1:34" x14ac:dyDescent="0.2">
      <c r="A293" s="137" t="s">
        <v>271</v>
      </c>
      <c r="B293" s="144">
        <f>SUM(B287:B291)</f>
        <v>1036.3064999999999</v>
      </c>
      <c r="C293" s="144">
        <f t="shared" ref="C293:M293" si="86">SUM(C287:C291)</f>
        <v>913.30399999999997</v>
      </c>
      <c r="D293" s="144">
        <f t="shared" si="86"/>
        <v>954.36450000000013</v>
      </c>
      <c r="E293" s="144">
        <f t="shared" si="86"/>
        <v>1048.6949999999999</v>
      </c>
      <c r="F293" s="144">
        <f t="shared" si="86"/>
        <v>1145.4499999999998</v>
      </c>
      <c r="G293" s="144">
        <f t="shared" si="86"/>
        <v>1287.809</v>
      </c>
      <c r="H293" s="144">
        <f t="shared" si="86"/>
        <v>1378.6309999999999</v>
      </c>
      <c r="I293" s="144">
        <f t="shared" si="86"/>
        <v>1377.357</v>
      </c>
      <c r="J293" s="144">
        <f t="shared" si="86"/>
        <v>1278.2749999999999</v>
      </c>
      <c r="K293" s="144">
        <f t="shared" si="86"/>
        <v>1278.9000000000001</v>
      </c>
      <c r="L293" s="144">
        <f t="shared" si="86"/>
        <v>1162.912</v>
      </c>
      <c r="M293" s="144">
        <f t="shared" si="86"/>
        <v>1221.721</v>
      </c>
      <c r="N293" s="231">
        <f>SUM(B293:M293)+0.1</f>
        <v>14083.824999999999</v>
      </c>
      <c r="O293" s="231"/>
      <c r="P293" s="231"/>
      <c r="Q293" s="231"/>
      <c r="R293" s="231"/>
      <c r="S293" s="219"/>
      <c r="T293" s="231"/>
      <c r="U293" s="231"/>
    </row>
    <row r="294" spans="1:34" x14ac:dyDescent="0.2">
      <c r="A294" s="159" t="s">
        <v>272</v>
      </c>
      <c r="B294" s="143">
        <f>SUM(B292:B293)</f>
        <v>13669.274181068002</v>
      </c>
      <c r="C294" s="143">
        <f t="shared" ref="C294:M294" si="87">SUM(C292:C293)</f>
        <v>12184.147422384001</v>
      </c>
      <c r="D294" s="143">
        <f t="shared" si="87"/>
        <v>13306.044024568</v>
      </c>
      <c r="E294" s="143">
        <f t="shared" si="87"/>
        <v>13112.25616416</v>
      </c>
      <c r="F294" s="143">
        <f t="shared" si="87"/>
        <v>13573.900112571999</v>
      </c>
      <c r="G294" s="143">
        <f t="shared" si="87"/>
        <v>14280.191440679999</v>
      </c>
      <c r="H294" s="143">
        <f t="shared" si="87"/>
        <v>15323.277417947998</v>
      </c>
      <c r="I294" s="143">
        <f t="shared" si="87"/>
        <v>15313.456199503999</v>
      </c>
      <c r="J294" s="143">
        <f t="shared" si="87"/>
        <v>14762.03233572</v>
      </c>
      <c r="K294" s="143">
        <f t="shared" si="87"/>
        <v>15107.2311355</v>
      </c>
      <c r="L294" s="143">
        <f t="shared" si="87"/>
        <v>15262.335967999999</v>
      </c>
      <c r="M294" s="143">
        <f t="shared" si="87"/>
        <v>15824.110400999998</v>
      </c>
      <c r="N294" s="230">
        <f>SUM(B294:M294)+0.1</f>
        <v>171718.35680310402</v>
      </c>
      <c r="O294" s="230"/>
      <c r="P294" s="230"/>
      <c r="Q294" s="230"/>
      <c r="R294" s="230"/>
      <c r="S294" s="219"/>
      <c r="T294" s="230"/>
      <c r="U294" s="230"/>
      <c r="AE294" s="224"/>
    </row>
    <row r="295" spans="1:34" x14ac:dyDescent="0.2">
      <c r="A295" s="141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256"/>
      <c r="Q295" s="256"/>
      <c r="R295" s="255"/>
      <c r="S295" s="256"/>
      <c r="T295" s="146"/>
      <c r="U295" s="146"/>
    </row>
    <row r="296" spans="1:34" x14ac:dyDescent="0.2">
      <c r="A296" s="130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80"/>
      <c r="O296" s="280"/>
      <c r="P296" s="256"/>
      <c r="Q296" s="256"/>
      <c r="R296" s="255"/>
      <c r="S296" s="256"/>
      <c r="T296" s="280"/>
      <c r="U296" s="280"/>
    </row>
    <row r="297" spans="1:34" ht="15.75" x14ac:dyDescent="0.2">
      <c r="A297" s="125" t="s">
        <v>273</v>
      </c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281"/>
      <c r="O297" s="281"/>
      <c r="P297" s="282"/>
      <c r="Q297" s="282"/>
      <c r="R297" s="282"/>
      <c r="S297" s="282"/>
      <c r="T297" s="281"/>
      <c r="U297" s="281"/>
    </row>
    <row r="298" spans="1:34" x14ac:dyDescent="0.2">
      <c r="A298" s="160" t="s">
        <v>274</v>
      </c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4"/>
      <c r="O298" s="284"/>
      <c r="P298" s="285"/>
      <c r="Q298" s="285"/>
      <c r="R298" s="285"/>
      <c r="S298" s="285"/>
      <c r="T298" s="284"/>
      <c r="U298" s="284"/>
    </row>
    <row r="299" spans="1:34" x14ac:dyDescent="0.2">
      <c r="A299" s="161" t="s">
        <v>275</v>
      </c>
      <c r="B299" s="286">
        <v>107</v>
      </c>
      <c r="C299" s="286">
        <v>108</v>
      </c>
      <c r="D299" s="286">
        <v>107</v>
      </c>
      <c r="E299" s="286">
        <v>107</v>
      </c>
      <c r="F299" s="286">
        <v>107</v>
      </c>
      <c r="G299" s="286">
        <v>107</v>
      </c>
      <c r="H299" s="286">
        <v>107</v>
      </c>
      <c r="I299" s="286">
        <v>107</v>
      </c>
      <c r="J299" s="286">
        <v>107</v>
      </c>
      <c r="K299" s="286">
        <v>107</v>
      </c>
      <c r="L299" s="286">
        <v>107</v>
      </c>
      <c r="M299" s="286">
        <v>107</v>
      </c>
      <c r="N299" s="287">
        <f>SUM(B299:M299)</f>
        <v>1285</v>
      </c>
      <c r="O299" s="243"/>
      <c r="P299" s="243"/>
      <c r="Q299" s="243"/>
      <c r="R299" s="243"/>
      <c r="S299" s="288"/>
      <c r="T299" s="287"/>
      <c r="U299" s="287"/>
    </row>
    <row r="300" spans="1:34" x14ac:dyDescent="0.2">
      <c r="A300" s="146" t="s">
        <v>55</v>
      </c>
      <c r="B300" s="286">
        <f>-'Annual Fuel Calc Alt'!C86</f>
        <v>83.863386120000001</v>
      </c>
      <c r="C300" s="286">
        <f>-'Annual Fuel Calc Alt'!D86</f>
        <v>77.350637280000001</v>
      </c>
      <c r="D300" s="286">
        <f>-'Annual Fuel Calc Alt'!E86</f>
        <v>81.535019520000006</v>
      </c>
      <c r="E300" s="286">
        <f>-'Annual Fuel Calc Alt'!F86</f>
        <v>73.29993300000001</v>
      </c>
      <c r="F300" s="286">
        <f>-'Annual Fuel Calc Alt'!G86</f>
        <v>76.758375839999985</v>
      </c>
      <c r="G300" s="286">
        <f>-'Annual Fuel Calc Alt'!H86</f>
        <v>85.563512099999983</v>
      </c>
      <c r="H300" s="286">
        <f>-'Annual Fuel Calc Alt'!I86</f>
        <v>86.221184430000008</v>
      </c>
      <c r="I300" s="286">
        <f>-'Annual Fuel Calc Alt'!J86</f>
        <v>93.068022059999976</v>
      </c>
      <c r="J300" s="286">
        <f>-'Annual Fuel Calc Alt'!K86</f>
        <v>84.630946499999993</v>
      </c>
      <c r="K300" s="286">
        <f>-'Annual Fuel Calc Alt'!L86</f>
        <v>87.34918608000001</v>
      </c>
      <c r="L300" s="286">
        <f>-'Annual Fuel Calc Alt'!M86</f>
        <v>93.118147199999996</v>
      </c>
      <c r="M300" s="286">
        <f>-'Annual Fuel Calc Alt'!N86</f>
        <v>107.12149200000002</v>
      </c>
      <c r="N300" s="287">
        <f>SUM(B300:M300)+0.1</f>
        <v>1029.97984213</v>
      </c>
      <c r="O300" s="243"/>
      <c r="P300" s="243"/>
      <c r="Q300" s="243"/>
      <c r="R300" s="243"/>
      <c r="S300" s="288"/>
      <c r="T300" s="287"/>
      <c r="U300" s="287"/>
    </row>
    <row r="301" spans="1:34" x14ac:dyDescent="0.2">
      <c r="A301" s="162" t="s">
        <v>276</v>
      </c>
      <c r="B301" s="286">
        <f>B316+B337</f>
        <v>245.70000000000002</v>
      </c>
      <c r="C301" s="286">
        <f t="shared" ref="C301:M301" si="88">C316+C337</f>
        <v>221.7</v>
      </c>
      <c r="D301" s="286">
        <f t="shared" si="88"/>
        <v>242.2</v>
      </c>
      <c r="E301" s="286">
        <f t="shared" si="88"/>
        <v>231.7</v>
      </c>
      <c r="F301" s="286">
        <f t="shared" si="88"/>
        <v>238.5</v>
      </c>
      <c r="G301" s="286">
        <f t="shared" si="88"/>
        <v>246.4</v>
      </c>
      <c r="H301" s="286">
        <f t="shared" si="88"/>
        <v>244.1</v>
      </c>
      <c r="I301" s="286">
        <f t="shared" si="88"/>
        <v>258.70000000000005</v>
      </c>
      <c r="J301" s="286">
        <f t="shared" si="88"/>
        <v>237.89999999999998</v>
      </c>
      <c r="K301" s="286">
        <f t="shared" si="88"/>
        <v>249.7</v>
      </c>
      <c r="L301" s="286">
        <f t="shared" si="88"/>
        <v>232.3</v>
      </c>
      <c r="M301" s="286">
        <f t="shared" si="88"/>
        <v>250.2</v>
      </c>
      <c r="N301" s="287">
        <f>SUM(B301:M301)</f>
        <v>2899.1</v>
      </c>
      <c r="O301" s="243"/>
      <c r="P301" s="243"/>
      <c r="Q301" s="243"/>
      <c r="R301" s="243"/>
      <c r="S301" s="288"/>
      <c r="T301" s="287"/>
      <c r="U301" s="287"/>
      <c r="W301" s="289"/>
      <c r="X301" s="289"/>
      <c r="Y301" s="289"/>
      <c r="Z301" s="289"/>
      <c r="AA301" s="289"/>
      <c r="AB301" s="289"/>
      <c r="AC301" s="289"/>
      <c r="AD301" s="289"/>
      <c r="AE301" s="289"/>
      <c r="AF301" s="289"/>
      <c r="AG301" s="289"/>
      <c r="AH301" s="289"/>
    </row>
    <row r="302" spans="1:34" x14ac:dyDescent="0.2">
      <c r="A302" s="162" t="s">
        <v>277</v>
      </c>
      <c r="B302" s="290">
        <f>-('Annual Fuel Calc Alt'!C82+'Annual Fuel Calc Alt'!C83+'Annual Fuel Calc Alt'!C84+'Annual Fuel Calc Alt'!C85)</f>
        <v>-2875</v>
      </c>
      <c r="C302" s="290">
        <f>-('Annual Fuel Calc Alt'!D82+'Annual Fuel Calc Alt'!D83+'Annual Fuel Calc Alt'!D84+'Annual Fuel Calc Alt'!D85)</f>
        <v>-2563</v>
      </c>
      <c r="D302" s="290">
        <f>-('Annual Fuel Calc Alt'!E82+'Annual Fuel Calc Alt'!E83+'Annual Fuel Calc Alt'!E84+'Annual Fuel Calc Alt'!E85)</f>
        <v>-2739</v>
      </c>
      <c r="E302" s="290">
        <f>-('Annual Fuel Calc Alt'!F82+'Annual Fuel Calc Alt'!F83+'Annual Fuel Calc Alt'!F84+'Annual Fuel Calc Alt'!F85)</f>
        <v>-2471</v>
      </c>
      <c r="F302" s="290">
        <f>-('Annual Fuel Calc Alt'!G82+'Annual Fuel Calc Alt'!G83+'Annual Fuel Calc Alt'!G84+'Annual Fuel Calc Alt'!G85)</f>
        <v>-2547</v>
      </c>
      <c r="G302" s="290">
        <f>-('Annual Fuel Calc Alt'!H82+'Annual Fuel Calc Alt'!H83+'Annual Fuel Calc Alt'!H84+'Annual Fuel Calc Alt'!H85)</f>
        <v>-2403</v>
      </c>
      <c r="H302" s="290">
        <f>-('Annual Fuel Calc Alt'!I82+'Annual Fuel Calc Alt'!I83+'Annual Fuel Calc Alt'!I84+'Annual Fuel Calc Alt'!I85)</f>
        <v>-2731</v>
      </c>
      <c r="I302" s="290">
        <f>-('Annual Fuel Calc Alt'!J82+'Annual Fuel Calc Alt'!J83+'Annual Fuel Calc Alt'!J84+'Annual Fuel Calc Alt'!J85)</f>
        <v>-2585</v>
      </c>
      <c r="J302" s="290">
        <f>-('Annual Fuel Calc Alt'!K82+'Annual Fuel Calc Alt'!K83+'Annual Fuel Calc Alt'!K84+'Annual Fuel Calc Alt'!K85)</f>
        <v>-2649</v>
      </c>
      <c r="K302" s="290">
        <f>-('Annual Fuel Calc Alt'!L82+'Annual Fuel Calc Alt'!L83+'Annual Fuel Calc Alt'!L84+'Annual Fuel Calc Alt'!L85)</f>
        <v>-2770</v>
      </c>
      <c r="L302" s="290">
        <f>-('Annual Fuel Calc Alt'!M82+'Annual Fuel Calc Alt'!M83+'Annual Fuel Calc Alt'!M84+'Annual Fuel Calc Alt'!M85)</f>
        <v>-2474</v>
      </c>
      <c r="M302" s="290">
        <f>-('Annual Fuel Calc Alt'!N82+'Annual Fuel Calc Alt'!N83+'Annual Fuel Calc Alt'!N84+'Annual Fuel Calc Alt'!N85)</f>
        <v>-2393.0000000000005</v>
      </c>
      <c r="N302" s="291">
        <f>SUM(B302:M302)</f>
        <v>-31200</v>
      </c>
      <c r="O302" s="243"/>
      <c r="P302" s="243"/>
      <c r="Q302" s="243"/>
      <c r="R302" s="243"/>
      <c r="S302" s="288"/>
      <c r="T302" s="291"/>
      <c r="U302" s="291"/>
    </row>
    <row r="303" spans="1:34" s="260" customFormat="1" x14ac:dyDescent="0.15">
      <c r="A303" s="150" t="s">
        <v>278</v>
      </c>
      <c r="B303" s="292">
        <f>SUM(B299:B302)</f>
        <v>-2438.4366138800001</v>
      </c>
      <c r="C303" s="292">
        <f t="shared" ref="C303:M303" si="89">SUM(C299:C302)</f>
        <v>-2155.94936272</v>
      </c>
      <c r="D303" s="292">
        <f t="shared" si="89"/>
        <v>-2308.2649804799998</v>
      </c>
      <c r="E303" s="292">
        <f t="shared" si="89"/>
        <v>-2059.0000669999999</v>
      </c>
      <c r="F303" s="292">
        <f t="shared" si="89"/>
        <v>-2124.7416241599999</v>
      </c>
      <c r="G303" s="292">
        <f t="shared" si="89"/>
        <v>-1964.0364878999999</v>
      </c>
      <c r="H303" s="292">
        <f t="shared" si="89"/>
        <v>-2293.6788155700001</v>
      </c>
      <c r="I303" s="292">
        <f t="shared" si="89"/>
        <v>-2126.23197794</v>
      </c>
      <c r="J303" s="292">
        <f t="shared" si="89"/>
        <v>-2219.4690535</v>
      </c>
      <c r="K303" s="292">
        <f t="shared" si="89"/>
        <v>-2325.9508139199997</v>
      </c>
      <c r="L303" s="292">
        <f t="shared" si="89"/>
        <v>-2041.5818528</v>
      </c>
      <c r="M303" s="292">
        <f t="shared" si="89"/>
        <v>-1928.6785080000004</v>
      </c>
      <c r="N303" s="287">
        <f>SUM(N299:N302)</f>
        <v>-25985.920157870001</v>
      </c>
      <c r="O303" s="287"/>
      <c r="P303" s="287"/>
      <c r="Q303" s="287"/>
      <c r="R303" s="287"/>
      <c r="S303" s="287"/>
      <c r="T303" s="287"/>
      <c r="U303" s="287"/>
      <c r="V303" s="134"/>
    </row>
    <row r="304" spans="1:34" x14ac:dyDescent="0.2">
      <c r="A304" s="163"/>
      <c r="B304" s="293"/>
      <c r="C304" s="293"/>
      <c r="D304" s="294"/>
      <c r="E304" s="293"/>
      <c r="F304" s="293"/>
      <c r="G304" s="293"/>
      <c r="H304" s="293"/>
      <c r="I304" s="293"/>
      <c r="J304" s="293"/>
      <c r="K304" s="293"/>
      <c r="L304" s="293"/>
      <c r="M304" s="293"/>
      <c r="N304" s="287"/>
      <c r="O304" s="287"/>
      <c r="P304" s="288"/>
      <c r="Q304" s="295"/>
      <c r="R304" s="295"/>
      <c r="S304" s="288"/>
      <c r="T304" s="287"/>
      <c r="U304" s="287"/>
    </row>
    <row r="305" spans="1:21" x14ac:dyDescent="0.2">
      <c r="A305" s="162" t="s">
        <v>749</v>
      </c>
      <c r="B305" s="29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>
        <v>-143</v>
      </c>
      <c r="N305" s="287">
        <f>SUM(B305:M305)</f>
        <v>-143</v>
      </c>
      <c r="O305" s="243"/>
      <c r="P305" s="243"/>
      <c r="Q305" s="243"/>
      <c r="R305" s="243"/>
      <c r="S305" s="288"/>
      <c r="T305" s="287"/>
      <c r="U305" s="287"/>
    </row>
    <row r="306" spans="1:21" x14ac:dyDescent="0.2">
      <c r="A306" s="162" t="s">
        <v>380</v>
      </c>
      <c r="B306" s="296">
        <v>-13</v>
      </c>
      <c r="C306" s="296">
        <v>-12.5</v>
      </c>
      <c r="D306" s="296">
        <v>-12.5</v>
      </c>
      <c r="E306" s="296">
        <v>-12.5</v>
      </c>
      <c r="F306" s="296">
        <v>-12.5</v>
      </c>
      <c r="G306" s="296">
        <v>-12.5</v>
      </c>
      <c r="H306" s="296">
        <v>-12.5</v>
      </c>
      <c r="I306" s="296">
        <v>-12.5</v>
      </c>
      <c r="J306" s="296">
        <v>-12.5</v>
      </c>
      <c r="K306" s="296">
        <v>-12.5</v>
      </c>
      <c r="L306" s="296">
        <v>-12.5</v>
      </c>
      <c r="M306" s="296">
        <v>-12.5</v>
      </c>
      <c r="N306" s="287">
        <f>SUM(B306:M306)</f>
        <v>-150.5</v>
      </c>
      <c r="O306" s="243"/>
      <c r="P306" s="243"/>
      <c r="Q306" s="243"/>
      <c r="R306" s="243"/>
      <c r="S306" s="288"/>
      <c r="T306" s="287"/>
      <c r="U306" s="287"/>
    </row>
    <row r="307" spans="1:21" x14ac:dyDescent="0.2">
      <c r="A307" s="162" t="s">
        <v>381</v>
      </c>
      <c r="B307" s="296">
        <v>-17</v>
      </c>
      <c r="C307" s="296">
        <v>-16.864999999999998</v>
      </c>
      <c r="D307" s="296">
        <v>-14.9</v>
      </c>
      <c r="E307" s="296">
        <v>-15</v>
      </c>
      <c r="F307" s="296">
        <v>-15</v>
      </c>
      <c r="G307" s="296">
        <v>-15</v>
      </c>
      <c r="H307" s="296">
        <v>-15</v>
      </c>
      <c r="I307" s="296">
        <v>-15</v>
      </c>
      <c r="J307" s="296">
        <v>-15</v>
      </c>
      <c r="K307" s="296">
        <v>-15</v>
      </c>
      <c r="L307" s="296">
        <v>-15</v>
      </c>
      <c r="M307" s="296">
        <v>-15</v>
      </c>
      <c r="N307" s="287">
        <f>SUM(B307:M307)</f>
        <v>-183.76499999999999</v>
      </c>
      <c r="O307" s="243"/>
      <c r="P307" s="243"/>
      <c r="Q307" s="243"/>
      <c r="R307" s="243"/>
      <c r="S307" s="288"/>
      <c r="T307" s="287"/>
      <c r="U307" s="287"/>
    </row>
    <row r="308" spans="1:21" x14ac:dyDescent="0.2">
      <c r="A308" s="162" t="s">
        <v>382</v>
      </c>
      <c r="B308" s="286">
        <v>0</v>
      </c>
      <c r="C308" s="286"/>
      <c r="D308" s="297">
        <v>0</v>
      </c>
      <c r="E308" s="286">
        <v>0</v>
      </c>
      <c r="F308" s="286">
        <v>0</v>
      </c>
      <c r="G308" s="286">
        <v>0</v>
      </c>
      <c r="H308" s="286">
        <v>0</v>
      </c>
      <c r="I308" s="286">
        <v>0</v>
      </c>
      <c r="J308" s="286">
        <v>0</v>
      </c>
      <c r="K308" s="286">
        <v>0</v>
      </c>
      <c r="L308" s="286">
        <v>0</v>
      </c>
      <c r="M308" s="286">
        <v>0</v>
      </c>
      <c r="N308" s="287">
        <f>SUM(B308:M308)</f>
        <v>0</v>
      </c>
      <c r="O308" s="243"/>
      <c r="P308" s="243"/>
      <c r="Q308" s="243"/>
      <c r="R308" s="243"/>
      <c r="S308" s="288"/>
      <c r="T308" s="287"/>
      <c r="U308" s="287"/>
    </row>
    <row r="309" spans="1:21" x14ac:dyDescent="0.2">
      <c r="A309" s="162" t="s">
        <v>383</v>
      </c>
      <c r="B309" s="290">
        <v>0</v>
      </c>
      <c r="C309" s="290">
        <v>0</v>
      </c>
      <c r="D309" s="290"/>
      <c r="E309" s="298"/>
      <c r="F309" s="298"/>
      <c r="G309" s="298"/>
      <c r="H309" s="298"/>
      <c r="I309" s="298"/>
      <c r="J309" s="298"/>
      <c r="K309" s="298"/>
      <c r="L309" s="298"/>
      <c r="M309" s="298"/>
      <c r="N309" s="299">
        <f>SUM(B309:M309)</f>
        <v>0</v>
      </c>
      <c r="O309" s="243"/>
      <c r="P309" s="243"/>
      <c r="Q309" s="243"/>
      <c r="R309" s="243"/>
      <c r="S309" s="288"/>
      <c r="T309" s="299"/>
      <c r="U309" s="299"/>
    </row>
    <row r="310" spans="1:21" ht="13.5" thickBot="1" x14ac:dyDescent="0.25">
      <c r="A310" s="140" t="s">
        <v>384</v>
      </c>
      <c r="B310" s="300">
        <f>+B294-B303+SUM(B305:B309)</f>
        <v>16077.710794948001</v>
      </c>
      <c r="C310" s="300">
        <f t="shared" ref="C310:O310" si="90">+C294-C303+SUM(C305:C309)</f>
        <v>14310.731785104001</v>
      </c>
      <c r="D310" s="300">
        <f t="shared" si="90"/>
        <v>15586.909005048001</v>
      </c>
      <c r="E310" s="300">
        <f t="shared" si="90"/>
        <v>15143.756231160001</v>
      </c>
      <c r="F310" s="300">
        <f t="shared" si="90"/>
        <v>15671.141736731999</v>
      </c>
      <c r="G310" s="300">
        <f t="shared" si="90"/>
        <v>16216.72792858</v>
      </c>
      <c r="H310" s="300">
        <f t="shared" si="90"/>
        <v>17589.456233517998</v>
      </c>
      <c r="I310" s="300">
        <f t="shared" si="90"/>
        <v>17412.188177443997</v>
      </c>
      <c r="J310" s="300">
        <f t="shared" si="90"/>
        <v>16954.00138922</v>
      </c>
      <c r="K310" s="300">
        <f t="shared" si="90"/>
        <v>17405.681949419999</v>
      </c>
      <c r="L310" s="300">
        <f t="shared" si="90"/>
        <v>17276.417820800001</v>
      </c>
      <c r="M310" s="300">
        <f t="shared" si="90"/>
        <v>17582.288908999999</v>
      </c>
      <c r="N310" s="715">
        <f t="shared" si="90"/>
        <v>197227.01196097402</v>
      </c>
      <c r="O310" s="301">
        <f t="shared" si="90"/>
        <v>0</v>
      </c>
      <c r="P310" s="301"/>
      <c r="Q310" s="301"/>
      <c r="R310" s="301"/>
      <c r="S310" s="301"/>
      <c r="T310" s="301"/>
      <c r="U310" s="301"/>
    </row>
    <row r="311" spans="1:21" ht="13.5" thickTop="1" x14ac:dyDescent="0.2">
      <c r="A311" s="141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3"/>
      <c r="Q311" s="304"/>
      <c r="R311" s="304"/>
      <c r="S311" s="303"/>
      <c r="T311" s="302"/>
      <c r="U311" s="302"/>
    </row>
    <row r="312" spans="1:21" x14ac:dyDescent="0.2">
      <c r="A312" s="162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81"/>
      <c r="O312" s="281"/>
      <c r="P312" s="282"/>
      <c r="Q312" s="282"/>
      <c r="R312" s="282"/>
      <c r="S312" s="282"/>
      <c r="T312" s="281"/>
      <c r="U312" s="281"/>
    </row>
    <row r="313" spans="1:21" x14ac:dyDescent="0.2">
      <c r="A313" s="160" t="s">
        <v>385</v>
      </c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4"/>
      <c r="O313" s="284"/>
      <c r="P313" s="285"/>
      <c r="Q313" s="285"/>
      <c r="R313" s="285"/>
      <c r="S313" s="285"/>
      <c r="T313" s="284"/>
      <c r="U313" s="284"/>
    </row>
    <row r="314" spans="1:21" x14ac:dyDescent="0.2">
      <c r="A314" s="162" t="s">
        <v>386</v>
      </c>
      <c r="B314" s="286">
        <f>ROUND('Surcharges Detail'!G68/1000,1)</f>
        <v>135.80000000000001</v>
      </c>
      <c r="C314" s="286">
        <f>ROUND('Surcharges Detail'!H68/1000,1)</f>
        <v>120.3</v>
      </c>
      <c r="D314" s="286">
        <f>ROUND('Surcharges Detail'!I68/1000,1)</f>
        <v>132.69999999999999</v>
      </c>
      <c r="E314" s="286">
        <f>ROUND('Surcharges Detail'!J68/1000,1)</f>
        <v>128.9</v>
      </c>
      <c r="F314" s="286">
        <f>ROUND('Surcharges Detail'!K68/1000,1)</f>
        <v>132</v>
      </c>
      <c r="G314" s="286">
        <f>ROUND('Surcharges Detail'!L68/1000,1)</f>
        <v>130.30000000000001</v>
      </c>
      <c r="H314" s="286">
        <f>ROUND('Surcharges Detail'!M68/1000,1)</f>
        <v>129.1</v>
      </c>
      <c r="I314" s="286">
        <f>ROUND('Surcharges Detail'!N68/1000,1)</f>
        <v>136.30000000000001</v>
      </c>
      <c r="J314" s="286">
        <f>ROUND('Surcharges Detail'!O68/1000,1)</f>
        <v>126.8</v>
      </c>
      <c r="K314" s="286">
        <f>ROUND('Surcharges Detail'!P68/1000,1)</f>
        <v>129.9</v>
      </c>
      <c r="L314" s="286">
        <f>ROUND('Surcharges Detail'!Q68/1000,1)</f>
        <v>115.6</v>
      </c>
      <c r="M314" s="286">
        <f>ROUND('Surcharges Detail'!R68/1000,1)</f>
        <v>126</v>
      </c>
      <c r="N314" s="281">
        <f>SUM(B314:M314)</f>
        <v>1543.7</v>
      </c>
      <c r="O314" s="243">
        <f>SUM(B314:D314)</f>
        <v>388.8</v>
      </c>
      <c r="P314" s="243"/>
      <c r="Q314" s="243"/>
      <c r="R314" s="243"/>
      <c r="S314" s="288"/>
      <c r="T314" s="281"/>
      <c r="U314" s="281"/>
    </row>
    <row r="315" spans="1:21" x14ac:dyDescent="0.2">
      <c r="A315" s="162" t="s">
        <v>387</v>
      </c>
      <c r="B315" s="298">
        <f>ROUND(B113*B1*0.0021,1)</f>
        <v>109.9</v>
      </c>
      <c r="C315" s="298">
        <f t="shared" ref="C315:M315" si="91">ROUND(C113*C1*0.0021,1)</f>
        <v>101.4</v>
      </c>
      <c r="D315" s="298">
        <f t="shared" si="91"/>
        <v>109.5</v>
      </c>
      <c r="E315" s="298">
        <f t="shared" si="91"/>
        <v>102.8</v>
      </c>
      <c r="F315" s="298">
        <f t="shared" si="91"/>
        <v>106.5</v>
      </c>
      <c r="G315" s="298">
        <f t="shared" si="91"/>
        <v>116.1</v>
      </c>
      <c r="H315" s="298">
        <f t="shared" si="91"/>
        <v>115</v>
      </c>
      <c r="I315" s="298">
        <f t="shared" si="91"/>
        <v>122.4</v>
      </c>
      <c r="J315" s="298">
        <f t="shared" si="91"/>
        <v>111.1</v>
      </c>
      <c r="K315" s="298">
        <f>ROUND(K113*K1*0.0022,1)</f>
        <v>119.8</v>
      </c>
      <c r="L315" s="298">
        <f>ROUND(L113*L1*0.00215,1)</f>
        <v>116.7</v>
      </c>
      <c r="M315" s="298">
        <f t="shared" si="91"/>
        <v>124.2</v>
      </c>
      <c r="N315" s="305">
        <f>SUM(B315:M315)</f>
        <v>1355.4</v>
      </c>
      <c r="O315" s="243">
        <f>SUM(B315:D315)</f>
        <v>320.8</v>
      </c>
      <c r="P315" s="246"/>
      <c r="Q315" s="243"/>
      <c r="R315" s="243"/>
      <c r="S315" s="288"/>
      <c r="T315" s="305"/>
      <c r="U315" s="305"/>
    </row>
    <row r="316" spans="1:21" x14ac:dyDescent="0.2">
      <c r="A316" s="140" t="s">
        <v>388</v>
      </c>
      <c r="B316" s="306">
        <f>SUM(B314:B315)</f>
        <v>245.70000000000002</v>
      </c>
      <c r="C316" s="306">
        <f t="shared" ref="C316:O316" si="92">SUM(C314:C315)</f>
        <v>221.7</v>
      </c>
      <c r="D316" s="306">
        <f t="shared" si="92"/>
        <v>242.2</v>
      </c>
      <c r="E316" s="306">
        <f t="shared" si="92"/>
        <v>231.7</v>
      </c>
      <c r="F316" s="306">
        <f t="shared" si="92"/>
        <v>238.5</v>
      </c>
      <c r="G316" s="306">
        <f t="shared" si="92"/>
        <v>246.4</v>
      </c>
      <c r="H316" s="306">
        <f t="shared" si="92"/>
        <v>244.1</v>
      </c>
      <c r="I316" s="306">
        <f t="shared" si="92"/>
        <v>258.70000000000005</v>
      </c>
      <c r="J316" s="306">
        <f t="shared" si="92"/>
        <v>237.89999999999998</v>
      </c>
      <c r="K316" s="306">
        <f t="shared" si="92"/>
        <v>249.7</v>
      </c>
      <c r="L316" s="306">
        <f t="shared" si="92"/>
        <v>232.3</v>
      </c>
      <c r="M316" s="306">
        <f t="shared" si="92"/>
        <v>250.2</v>
      </c>
      <c r="N316" s="307">
        <f t="shared" si="92"/>
        <v>2899.1000000000004</v>
      </c>
      <c r="O316" s="307">
        <f t="shared" si="92"/>
        <v>709.6</v>
      </c>
      <c r="P316" s="307"/>
      <c r="Q316" s="307"/>
      <c r="R316" s="307"/>
      <c r="S316" s="288"/>
      <c r="T316" s="307"/>
      <c r="U316" s="307"/>
    </row>
    <row r="317" spans="1:21" x14ac:dyDescent="0.2">
      <c r="A317" s="140" t="s">
        <v>389</v>
      </c>
      <c r="B317" s="308">
        <f>+B293</f>
        <v>1036.3064999999999</v>
      </c>
      <c r="C317" s="308">
        <f t="shared" ref="C317:O317" si="93">+C293</f>
        <v>913.30399999999997</v>
      </c>
      <c r="D317" s="308">
        <f t="shared" si="93"/>
        <v>954.36450000000013</v>
      </c>
      <c r="E317" s="308">
        <f t="shared" si="93"/>
        <v>1048.6949999999999</v>
      </c>
      <c r="F317" s="308">
        <f t="shared" si="93"/>
        <v>1145.4499999999998</v>
      </c>
      <c r="G317" s="308">
        <f t="shared" si="93"/>
        <v>1287.809</v>
      </c>
      <c r="H317" s="308">
        <f t="shared" si="93"/>
        <v>1378.6309999999999</v>
      </c>
      <c r="I317" s="308">
        <f t="shared" si="93"/>
        <v>1377.357</v>
      </c>
      <c r="J317" s="308">
        <f t="shared" si="93"/>
        <v>1278.2749999999999</v>
      </c>
      <c r="K317" s="308">
        <f t="shared" si="93"/>
        <v>1278.9000000000001</v>
      </c>
      <c r="L317" s="308">
        <f t="shared" si="93"/>
        <v>1162.912</v>
      </c>
      <c r="M317" s="308">
        <f t="shared" si="93"/>
        <v>1221.721</v>
      </c>
      <c r="N317" s="309">
        <f t="shared" si="93"/>
        <v>14083.824999999999</v>
      </c>
      <c r="O317" s="309">
        <f t="shared" si="93"/>
        <v>0</v>
      </c>
      <c r="P317" s="309"/>
      <c r="Q317" s="309"/>
      <c r="R317" s="309"/>
      <c r="S317" s="288"/>
      <c r="T317" s="309"/>
      <c r="U317" s="309"/>
    </row>
    <row r="318" spans="1:21" x14ac:dyDescent="0.2">
      <c r="A318" s="140" t="s">
        <v>390</v>
      </c>
      <c r="B318" s="308">
        <f>+B317-B316</f>
        <v>790.60649999999987</v>
      </c>
      <c r="C318" s="308">
        <f t="shared" ref="C318:O318" si="94">+C317-C316</f>
        <v>691.60400000000004</v>
      </c>
      <c r="D318" s="308">
        <f t="shared" si="94"/>
        <v>712.16450000000009</v>
      </c>
      <c r="E318" s="308">
        <f t="shared" si="94"/>
        <v>816.99499999999989</v>
      </c>
      <c r="F318" s="308">
        <f t="shared" si="94"/>
        <v>906.94999999999982</v>
      </c>
      <c r="G318" s="308">
        <f t="shared" si="94"/>
        <v>1041.4089999999999</v>
      </c>
      <c r="H318" s="308">
        <f t="shared" si="94"/>
        <v>1134.5309999999999</v>
      </c>
      <c r="I318" s="308">
        <f t="shared" si="94"/>
        <v>1118.6569999999999</v>
      </c>
      <c r="J318" s="308">
        <f t="shared" si="94"/>
        <v>1040.375</v>
      </c>
      <c r="K318" s="308">
        <f t="shared" si="94"/>
        <v>1029.2</v>
      </c>
      <c r="L318" s="308">
        <f t="shared" si="94"/>
        <v>930.61200000000008</v>
      </c>
      <c r="M318" s="308">
        <f t="shared" si="94"/>
        <v>971.52099999999996</v>
      </c>
      <c r="N318" s="309">
        <f t="shared" si="94"/>
        <v>11184.724999999999</v>
      </c>
      <c r="O318" s="309">
        <f t="shared" si="94"/>
        <v>-709.6</v>
      </c>
      <c r="P318" s="309"/>
      <c r="Q318" s="309"/>
      <c r="R318" s="309"/>
      <c r="S318" s="288"/>
      <c r="T318" s="309"/>
      <c r="U318" s="309"/>
    </row>
    <row r="319" spans="1:21" x14ac:dyDescent="0.2">
      <c r="A319" s="31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288"/>
      <c r="Q319" s="295"/>
      <c r="R319" s="295"/>
      <c r="S319" s="288"/>
      <c r="T319" s="311"/>
      <c r="U319" s="311"/>
    </row>
    <row r="320" spans="1:21" x14ac:dyDescent="0.2">
      <c r="A320" s="162"/>
      <c r="B320" s="192"/>
      <c r="C320" s="192"/>
      <c r="D320" s="192"/>
      <c r="E320" s="192"/>
      <c r="F320" s="192"/>
      <c r="G320" s="192"/>
      <c r="H320" s="163"/>
      <c r="I320" s="163"/>
      <c r="J320" s="163"/>
      <c r="K320" s="163"/>
      <c r="L320" s="163"/>
      <c r="M320" s="163"/>
      <c r="N320" s="281"/>
      <c r="O320" s="281"/>
      <c r="P320" s="288"/>
      <c r="Q320" s="295"/>
      <c r="R320" s="295"/>
      <c r="S320" s="288"/>
      <c r="T320" s="281"/>
      <c r="U320" s="281"/>
    </row>
    <row r="321" spans="1:28" x14ac:dyDescent="0.2">
      <c r="A321" s="312" t="s">
        <v>391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190"/>
      <c r="O321" s="190"/>
      <c r="P321" s="288"/>
      <c r="Q321" s="295"/>
      <c r="R321" s="295"/>
      <c r="S321" s="288"/>
      <c r="T321" s="190"/>
      <c r="U321" s="190"/>
      <c r="W321"/>
      <c r="X321"/>
      <c r="Y321"/>
    </row>
    <row r="322" spans="1:28" x14ac:dyDescent="0.2">
      <c r="A322" s="162" t="s">
        <v>392</v>
      </c>
      <c r="B322" s="218">
        <v>0</v>
      </c>
      <c r="C322" s="218">
        <v>0</v>
      </c>
      <c r="D322" s="218">
        <v>0</v>
      </c>
      <c r="E322" s="218">
        <v>0</v>
      </c>
      <c r="F322" s="218">
        <v>0</v>
      </c>
      <c r="G322" s="218">
        <v>0</v>
      </c>
      <c r="H322" s="218">
        <v>0</v>
      </c>
      <c r="I322" s="218">
        <v>0</v>
      </c>
      <c r="J322" s="218">
        <v>0</v>
      </c>
      <c r="K322" s="218">
        <v>0</v>
      </c>
      <c r="L322" s="218">
        <v>0</v>
      </c>
      <c r="M322" s="218">
        <v>0</v>
      </c>
      <c r="N322" s="281">
        <f>SUM(B322:M322)</f>
        <v>0</v>
      </c>
      <c r="O322" s="243">
        <f>SUM(B322:D322)</f>
        <v>0</v>
      </c>
      <c r="P322" s="243"/>
      <c r="Q322" s="243"/>
      <c r="R322" s="243"/>
      <c r="S322" s="288"/>
      <c r="T322" s="281"/>
      <c r="U322" s="281"/>
    </row>
    <row r="323" spans="1:28" x14ac:dyDescent="0.2">
      <c r="A323" s="162" t="s">
        <v>393</v>
      </c>
      <c r="B323" s="314">
        <v>0</v>
      </c>
      <c r="C323" s="314">
        <v>0</v>
      </c>
      <c r="D323" s="314">
        <v>0</v>
      </c>
      <c r="E323" s="314">
        <v>0</v>
      </c>
      <c r="F323" s="314">
        <v>0</v>
      </c>
      <c r="G323" s="314">
        <v>0</v>
      </c>
      <c r="H323" s="314">
        <v>0</v>
      </c>
      <c r="I323" s="314">
        <v>0</v>
      </c>
      <c r="J323" s="314">
        <v>0</v>
      </c>
      <c r="K323" s="314">
        <v>0</v>
      </c>
      <c r="L323" s="314">
        <v>0</v>
      </c>
      <c r="M323" s="314">
        <v>0</v>
      </c>
      <c r="N323" s="305">
        <f>SUM(B323:M323)</f>
        <v>0</v>
      </c>
      <c r="O323" s="243">
        <f>SUM(B323:D323)</f>
        <v>0</v>
      </c>
      <c r="P323" s="243"/>
      <c r="Q323" s="243"/>
      <c r="R323" s="243"/>
      <c r="S323" s="288"/>
      <c r="T323" s="305"/>
      <c r="U323" s="305"/>
    </row>
    <row r="324" spans="1:28" x14ac:dyDescent="0.2">
      <c r="A324" s="140" t="s">
        <v>394</v>
      </c>
      <c r="B324" s="315">
        <f>SUM(B322:B323)</f>
        <v>0</v>
      </c>
      <c r="C324" s="315">
        <f t="shared" ref="C324:O324" si="95">SUM(C322:C323)</f>
        <v>0</v>
      </c>
      <c r="D324" s="315">
        <f t="shared" si="95"/>
        <v>0</v>
      </c>
      <c r="E324" s="315">
        <f t="shared" si="95"/>
        <v>0</v>
      </c>
      <c r="F324" s="315">
        <f t="shared" si="95"/>
        <v>0</v>
      </c>
      <c r="G324" s="315">
        <f t="shared" si="95"/>
        <v>0</v>
      </c>
      <c r="H324" s="315">
        <f t="shared" si="95"/>
        <v>0</v>
      </c>
      <c r="I324" s="315">
        <f t="shared" si="95"/>
        <v>0</v>
      </c>
      <c r="J324" s="315">
        <f t="shared" si="95"/>
        <v>0</v>
      </c>
      <c r="K324" s="315">
        <f t="shared" si="95"/>
        <v>0</v>
      </c>
      <c r="L324" s="315">
        <f t="shared" si="95"/>
        <v>0</v>
      </c>
      <c r="M324" s="315">
        <f t="shared" si="95"/>
        <v>0</v>
      </c>
      <c r="N324" s="316">
        <f t="shared" si="95"/>
        <v>0</v>
      </c>
      <c r="O324" s="316">
        <f t="shared" si="95"/>
        <v>0</v>
      </c>
      <c r="P324" s="316"/>
      <c r="Q324" s="316"/>
      <c r="R324" s="316"/>
      <c r="S324" s="316"/>
      <c r="T324" s="316"/>
      <c r="U324" s="316"/>
    </row>
    <row r="325" spans="1:28" x14ac:dyDescent="0.2">
      <c r="A325" s="141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7"/>
      <c r="N325" s="317"/>
      <c r="O325" s="317"/>
      <c r="P325" s="288"/>
      <c r="Q325" s="295"/>
      <c r="R325" s="295"/>
      <c r="S325" s="288"/>
      <c r="T325" s="317"/>
      <c r="U325" s="317"/>
    </row>
    <row r="326" spans="1:28" x14ac:dyDescent="0.2">
      <c r="A326" s="160" t="s">
        <v>395</v>
      </c>
      <c r="B326" s="192"/>
      <c r="C326" s="192"/>
      <c r="D326" s="192"/>
      <c r="E326" s="192"/>
      <c r="F326" s="192"/>
      <c r="G326" s="192"/>
      <c r="H326" s="163"/>
      <c r="I326" s="163"/>
      <c r="J326" s="163"/>
      <c r="K326" s="163"/>
      <c r="L326" s="163"/>
      <c r="M326" s="163"/>
      <c r="N326" s="281"/>
      <c r="O326" s="281"/>
      <c r="P326" s="288"/>
      <c r="Q326" s="295"/>
      <c r="R326" s="295"/>
      <c r="S326" s="288"/>
      <c r="T326" s="281"/>
      <c r="U326" s="281"/>
    </row>
    <row r="327" spans="1:28" x14ac:dyDescent="0.2">
      <c r="A327" s="150" t="s">
        <v>280</v>
      </c>
      <c r="B327" s="318"/>
      <c r="C327" s="318"/>
      <c r="D327" s="318"/>
      <c r="E327" s="318"/>
      <c r="F327" s="318"/>
      <c r="G327" s="318"/>
      <c r="H327" s="319"/>
      <c r="I327" s="319"/>
      <c r="J327" s="319"/>
      <c r="K327" s="319"/>
      <c r="L327" s="319"/>
      <c r="M327" s="319"/>
      <c r="N327" s="281"/>
      <c r="O327" s="281"/>
      <c r="P327" s="288"/>
      <c r="Q327" s="295"/>
      <c r="R327" s="295"/>
      <c r="S327" s="288"/>
      <c r="T327" s="281"/>
      <c r="U327" s="281"/>
    </row>
    <row r="328" spans="1:28" x14ac:dyDescent="0.2">
      <c r="A328" s="162" t="s">
        <v>396</v>
      </c>
      <c r="B328" s="286">
        <v>0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>
        <v>0</v>
      </c>
      <c r="N328" s="320">
        <v>0</v>
      </c>
      <c r="O328" s="320"/>
      <c r="P328" s="321"/>
      <c r="Q328" s="322"/>
      <c r="R328" s="322"/>
      <c r="S328" s="321"/>
      <c r="T328" s="320"/>
      <c r="U328" s="320"/>
    </row>
    <row r="329" spans="1:28" x14ac:dyDescent="0.2">
      <c r="A329" s="162" t="s">
        <v>397</v>
      </c>
      <c r="B329" s="286">
        <f>[1]Detail!N555/1000</f>
        <v>0</v>
      </c>
      <c r="C329" s="286">
        <f>[1]Detail!O555/1000</f>
        <v>0</v>
      </c>
      <c r="D329" s="286">
        <f>[1]Detail!P555/1000</f>
        <v>0</v>
      </c>
      <c r="E329" s="286">
        <f>[1]Detail!Q555/1000</f>
        <v>0</v>
      </c>
      <c r="F329" s="286">
        <f>[1]Detail!R555/1000</f>
        <v>0</v>
      </c>
      <c r="G329" s="286">
        <f>[1]Detail!S555/1000</f>
        <v>0</v>
      </c>
      <c r="H329" s="286">
        <f>[1]Detail!T555/1000</f>
        <v>0</v>
      </c>
      <c r="I329" s="286">
        <f>[1]Detail!U555/1000</f>
        <v>0</v>
      </c>
      <c r="J329" s="286">
        <f>[1]Detail!V555/1000</f>
        <v>0</v>
      </c>
      <c r="K329" s="286">
        <f>[1]Detail!W555/1000</f>
        <v>0</v>
      </c>
      <c r="L329" s="286">
        <f>[1]Detail!X555/1000</f>
        <v>0</v>
      </c>
      <c r="M329" s="286">
        <f>[1]Detail!Y555/1000</f>
        <v>0</v>
      </c>
      <c r="N329" s="320">
        <f>SUM(B329:M329)</f>
        <v>0</v>
      </c>
      <c r="O329" s="320"/>
      <c r="P329" s="321"/>
      <c r="Q329" s="322"/>
      <c r="R329" s="322"/>
      <c r="S329" s="321"/>
      <c r="T329" s="320"/>
      <c r="U329" s="320"/>
    </row>
    <row r="330" spans="1:28" x14ac:dyDescent="0.2">
      <c r="A330" s="162" t="s">
        <v>398</v>
      </c>
      <c r="B330" s="286">
        <f>[1]Detail!N589/1000</f>
        <v>0</v>
      </c>
      <c r="C330" s="286">
        <f>[1]Detail!O589/1000</f>
        <v>0</v>
      </c>
      <c r="D330" s="286">
        <f>[1]Detail!P589/1000</f>
        <v>0</v>
      </c>
      <c r="E330" s="286">
        <f>[1]Detail!Q589/1000</f>
        <v>0</v>
      </c>
      <c r="F330" s="286">
        <f>[1]Detail!R589/1000</f>
        <v>0</v>
      </c>
      <c r="G330" s="286">
        <f>[1]Detail!S589/1000</f>
        <v>0</v>
      </c>
      <c r="H330" s="286">
        <f>[1]Detail!T589/1000</f>
        <v>0</v>
      </c>
      <c r="I330" s="286">
        <f>[1]Detail!U589/1000</f>
        <v>0</v>
      </c>
      <c r="J330" s="286">
        <f>[1]Detail!V589/1000</f>
        <v>0</v>
      </c>
      <c r="K330" s="286">
        <f>[1]Detail!W589/1000</f>
        <v>0</v>
      </c>
      <c r="L330" s="286">
        <f>[1]Detail!X589/1000</f>
        <v>0</v>
      </c>
      <c r="M330" s="286">
        <f>[1]Detail!Y589/1000</f>
        <v>0</v>
      </c>
      <c r="N330" s="320">
        <f t="shared" ref="N330:N336" si="96">SUM(B330:M330)</f>
        <v>0</v>
      </c>
      <c r="O330" s="320"/>
      <c r="P330" s="321"/>
      <c r="Q330" s="322"/>
      <c r="R330" s="322"/>
      <c r="S330" s="321"/>
      <c r="T330" s="320"/>
      <c r="U330" s="320"/>
    </row>
    <row r="331" spans="1:28" x14ac:dyDescent="0.2">
      <c r="A331" s="162" t="s">
        <v>399</v>
      </c>
      <c r="B331" s="286">
        <f>[1]Detail!N622/1000</f>
        <v>0</v>
      </c>
      <c r="C331" s="286">
        <f>[1]Detail!O622/1000</f>
        <v>0</v>
      </c>
      <c r="D331" s="286">
        <f>[1]Detail!P622/1000</f>
        <v>0</v>
      </c>
      <c r="E331" s="286">
        <f>[1]Detail!Q622/1000</f>
        <v>0</v>
      </c>
      <c r="F331" s="286">
        <f>[1]Detail!R622/1000</f>
        <v>0</v>
      </c>
      <c r="G331" s="286">
        <f>[1]Detail!S622/1000</f>
        <v>0</v>
      </c>
      <c r="H331" s="286">
        <f>[1]Detail!T622/1000</f>
        <v>0</v>
      </c>
      <c r="I331" s="286">
        <f>[1]Detail!U622/1000</f>
        <v>0</v>
      </c>
      <c r="J331" s="286">
        <f>[1]Detail!V622/1000</f>
        <v>0</v>
      </c>
      <c r="K331" s="286">
        <f>[1]Detail!W622/1000</f>
        <v>0</v>
      </c>
      <c r="L331" s="286">
        <f>[1]Detail!X622/1000</f>
        <v>0</v>
      </c>
      <c r="M331" s="286">
        <f>[1]Detail!Y622/1000</f>
        <v>0</v>
      </c>
      <c r="N331" s="320">
        <f t="shared" si="96"/>
        <v>0</v>
      </c>
      <c r="O331" s="320"/>
      <c r="P331" s="321"/>
      <c r="Q331" s="322"/>
      <c r="R331" s="322"/>
      <c r="S331" s="321"/>
      <c r="T331" s="320"/>
      <c r="U331" s="320"/>
    </row>
    <row r="332" spans="1:28" x14ac:dyDescent="0.2">
      <c r="A332" s="162" t="s">
        <v>400</v>
      </c>
      <c r="B332" s="286"/>
      <c r="C332" s="286">
        <v>0</v>
      </c>
      <c r="D332" s="286">
        <v>0</v>
      </c>
      <c r="E332" s="286">
        <v>0</v>
      </c>
      <c r="F332" s="286">
        <v>0</v>
      </c>
      <c r="G332" s="286">
        <v>0</v>
      </c>
      <c r="H332" s="286">
        <v>0</v>
      </c>
      <c r="I332" s="286">
        <v>0</v>
      </c>
      <c r="J332" s="286">
        <v>0</v>
      </c>
      <c r="K332" s="286">
        <v>0</v>
      </c>
      <c r="L332" s="286">
        <v>0</v>
      </c>
      <c r="M332" s="286">
        <v>0</v>
      </c>
      <c r="N332" s="320">
        <f t="shared" si="96"/>
        <v>0</v>
      </c>
      <c r="O332" s="320"/>
      <c r="P332" s="321"/>
      <c r="Q332" s="322"/>
      <c r="R332" s="322"/>
      <c r="S332" s="321"/>
      <c r="T332" s="320"/>
      <c r="U332" s="320"/>
    </row>
    <row r="333" spans="1:28" x14ac:dyDescent="0.2">
      <c r="A333" s="162" t="s">
        <v>401</v>
      </c>
      <c r="B333" s="286"/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>
        <v>0</v>
      </c>
      <c r="N333" s="320">
        <f t="shared" si="96"/>
        <v>0</v>
      </c>
      <c r="O333" s="320"/>
      <c r="P333" s="321"/>
      <c r="Q333" s="322"/>
      <c r="R333" s="322"/>
      <c r="S333" s="321"/>
      <c r="T333" s="320"/>
      <c r="U333" s="320"/>
    </row>
    <row r="334" spans="1:28" x14ac:dyDescent="0.2">
      <c r="A334" s="162" t="s">
        <v>402</v>
      </c>
      <c r="B334" s="286">
        <f>[1]Detail!N185/1000</f>
        <v>0</v>
      </c>
      <c r="C334" s="286">
        <f>[1]Detail!O185/1000</f>
        <v>0</v>
      </c>
      <c r="D334" s="286">
        <f>[1]Detail!P185/1000</f>
        <v>0</v>
      </c>
      <c r="E334" s="286">
        <f>[1]Detail!Q185/1000</f>
        <v>0</v>
      </c>
      <c r="F334" s="286">
        <f>[1]Detail!R185/1000</f>
        <v>0</v>
      </c>
      <c r="G334" s="286">
        <f>[1]Detail!S185/1000</f>
        <v>0</v>
      </c>
      <c r="H334" s="286">
        <f>[1]Detail!T185/1000</f>
        <v>0</v>
      </c>
      <c r="I334" s="286">
        <f>[1]Detail!U185/1000</f>
        <v>0</v>
      </c>
      <c r="J334" s="286">
        <f>[1]Detail!V185/1000</f>
        <v>0</v>
      </c>
      <c r="K334" s="286">
        <f>[1]Detail!W185/1000</f>
        <v>0</v>
      </c>
      <c r="L334" s="286">
        <f>[1]Detail!X185/1000</f>
        <v>0</v>
      </c>
      <c r="M334" s="286">
        <f>[1]Detail!Y185/1000</f>
        <v>0</v>
      </c>
      <c r="N334" s="320">
        <f t="shared" si="96"/>
        <v>0</v>
      </c>
      <c r="O334" s="320"/>
      <c r="P334" s="321"/>
      <c r="Q334" s="321"/>
      <c r="R334" s="321"/>
      <c r="S334" s="321"/>
      <c r="T334" s="320"/>
      <c r="U334" s="320"/>
      <c r="W334" s="192"/>
      <c r="X334" s="192"/>
      <c r="Y334" s="192"/>
      <c r="Z334" s="192"/>
      <c r="AA334" s="192"/>
      <c r="AB334" s="192"/>
    </row>
    <row r="335" spans="1:28" x14ac:dyDescent="0.2">
      <c r="A335" s="162" t="s">
        <v>403</v>
      </c>
      <c r="B335" s="286">
        <v>0</v>
      </c>
      <c r="C335" s="286">
        <v>0</v>
      </c>
      <c r="D335" s="286">
        <v>0</v>
      </c>
      <c r="E335" s="286">
        <v>0</v>
      </c>
      <c r="F335" s="286">
        <v>0</v>
      </c>
      <c r="G335" s="286">
        <v>0</v>
      </c>
      <c r="H335" s="286">
        <v>0</v>
      </c>
      <c r="I335" s="286">
        <v>0</v>
      </c>
      <c r="J335" s="286">
        <v>0</v>
      </c>
      <c r="K335" s="286">
        <v>0</v>
      </c>
      <c r="L335" s="286">
        <v>0</v>
      </c>
      <c r="M335" s="286">
        <v>0</v>
      </c>
      <c r="N335" s="320">
        <f t="shared" si="96"/>
        <v>0</v>
      </c>
      <c r="O335" s="320"/>
      <c r="P335" s="321"/>
      <c r="Q335" s="322"/>
      <c r="R335" s="322"/>
      <c r="S335" s="321"/>
      <c r="T335" s="320"/>
      <c r="U335" s="320"/>
      <c r="W335"/>
      <c r="X335"/>
      <c r="Y335"/>
    </row>
    <row r="336" spans="1:28" x14ac:dyDescent="0.2">
      <c r="A336" s="162" t="s">
        <v>404</v>
      </c>
      <c r="B336" s="298">
        <f>[1]Detail!N111/1000</f>
        <v>0</v>
      </c>
      <c r="C336" s="298">
        <f>[1]Detail!O111/1000</f>
        <v>0</v>
      </c>
      <c r="D336" s="298">
        <f>[1]Detail!P111/1000</f>
        <v>0</v>
      </c>
      <c r="E336" s="298">
        <f>[1]Detail!Q111/1000</f>
        <v>0</v>
      </c>
      <c r="F336" s="298">
        <f>[1]Detail!R111/1000</f>
        <v>0</v>
      </c>
      <c r="G336" s="298">
        <f>[1]Detail!S111/1000</f>
        <v>0</v>
      </c>
      <c r="H336" s="298">
        <f>[1]Detail!T111/1000</f>
        <v>0</v>
      </c>
      <c r="I336" s="298">
        <f>[1]Detail!U111/1000</f>
        <v>0</v>
      </c>
      <c r="J336" s="298">
        <f>[1]Detail!V111/1000</f>
        <v>0</v>
      </c>
      <c r="K336" s="298">
        <f>[1]Detail!W111/1000</f>
        <v>0</v>
      </c>
      <c r="L336" s="298">
        <f>[1]Detail!X111/1000</f>
        <v>0</v>
      </c>
      <c r="M336" s="298">
        <f>[1]Detail!Y111/1000</f>
        <v>0</v>
      </c>
      <c r="N336" s="323">
        <f t="shared" si="96"/>
        <v>0</v>
      </c>
      <c r="O336" s="323"/>
      <c r="P336" s="324"/>
      <c r="Q336" s="324"/>
      <c r="R336" s="324"/>
      <c r="S336" s="324"/>
      <c r="T336" s="323"/>
      <c r="U336" s="323"/>
      <c r="W336"/>
      <c r="X336"/>
      <c r="Y336"/>
    </row>
    <row r="337" spans="1:26" x14ac:dyDescent="0.2">
      <c r="A337" s="141" t="s">
        <v>405</v>
      </c>
      <c r="B337" s="325">
        <f t="shared" ref="B337:M337" si="97">SUM(B328:B336)</f>
        <v>0</v>
      </c>
      <c r="C337" s="325">
        <f t="shared" si="97"/>
        <v>0</v>
      </c>
      <c r="D337" s="325">
        <f t="shared" si="97"/>
        <v>0</v>
      </c>
      <c r="E337" s="325">
        <f t="shared" si="97"/>
        <v>0</v>
      </c>
      <c r="F337" s="325">
        <f t="shared" si="97"/>
        <v>0</v>
      </c>
      <c r="G337" s="325">
        <f t="shared" si="97"/>
        <v>0</v>
      </c>
      <c r="H337" s="325">
        <f t="shared" si="97"/>
        <v>0</v>
      </c>
      <c r="I337" s="325">
        <f t="shared" si="97"/>
        <v>0</v>
      </c>
      <c r="J337" s="325">
        <f t="shared" si="97"/>
        <v>0</v>
      </c>
      <c r="K337" s="325">
        <f t="shared" si="97"/>
        <v>0</v>
      </c>
      <c r="L337" s="325">
        <f t="shared" si="97"/>
        <v>0</v>
      </c>
      <c r="M337" s="325">
        <f t="shared" si="97"/>
        <v>0</v>
      </c>
      <c r="N337" s="325">
        <f>SUM(N328:N336)</f>
        <v>0</v>
      </c>
      <c r="O337" s="325"/>
      <c r="P337" s="288"/>
      <c r="Q337" s="295"/>
      <c r="R337" s="295"/>
      <c r="S337" s="288"/>
      <c r="T337" s="325"/>
      <c r="U337" s="325"/>
      <c r="W337"/>
      <c r="X337"/>
      <c r="Y337"/>
    </row>
    <row r="338" spans="1:26" x14ac:dyDescent="0.2">
      <c r="A338" s="14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88"/>
      <c r="Q338" s="295"/>
      <c r="R338" s="295"/>
      <c r="S338" s="288"/>
      <c r="T338" s="191"/>
      <c r="U338" s="191"/>
      <c r="W338"/>
      <c r="X338"/>
      <c r="Y338"/>
    </row>
    <row r="339" spans="1:26" x14ac:dyDescent="0.2">
      <c r="A339" s="326" t="s">
        <v>406</v>
      </c>
      <c r="B339" s="327"/>
      <c r="C339" s="327"/>
      <c r="D339" s="327"/>
      <c r="E339" s="327"/>
      <c r="F339" s="327"/>
      <c r="G339" s="327"/>
      <c r="H339" s="163"/>
      <c r="I339" s="163"/>
      <c r="J339" s="163"/>
      <c r="K339" s="163"/>
      <c r="L339" s="163"/>
      <c r="M339" s="163"/>
      <c r="N339" s="281"/>
      <c r="O339" s="281"/>
      <c r="P339" s="288"/>
      <c r="Q339" s="295"/>
      <c r="R339" s="295"/>
      <c r="S339" s="288"/>
      <c r="T339" s="281"/>
      <c r="U339" s="281"/>
      <c r="W339"/>
      <c r="X339"/>
      <c r="Y339"/>
    </row>
    <row r="340" spans="1:26" x14ac:dyDescent="0.2">
      <c r="A340" s="162" t="s">
        <v>691</v>
      </c>
      <c r="B340" s="286">
        <v>43.942500000000003</v>
      </c>
      <c r="C340" s="286">
        <v>43.942500000000003</v>
      </c>
      <c r="D340" s="286">
        <v>43.942500000000003</v>
      </c>
      <c r="E340" s="286">
        <v>43.942500000000003</v>
      </c>
      <c r="F340" s="286">
        <v>43.942500000000003</v>
      </c>
      <c r="G340" s="286">
        <v>43.942500000000003</v>
      </c>
      <c r="H340" s="286">
        <v>43.942500000000003</v>
      </c>
      <c r="I340" s="286">
        <v>43.942500000000003</v>
      </c>
      <c r="J340" s="286">
        <v>43.942500000000003</v>
      </c>
      <c r="K340" s="286">
        <v>43.942500000000003</v>
      </c>
      <c r="L340" s="286">
        <v>43.942500000000003</v>
      </c>
      <c r="M340" s="286">
        <v>43.942500000000003</v>
      </c>
      <c r="N340" s="328">
        <v>527.30999999999995</v>
      </c>
      <c r="O340" s="328"/>
      <c r="P340" s="303"/>
      <c r="Q340" s="303"/>
      <c r="R340" s="303"/>
      <c r="S340" s="329"/>
      <c r="T340" s="328"/>
      <c r="U340" s="328"/>
      <c r="W340"/>
      <c r="X340"/>
      <c r="Y340"/>
      <c r="Z340" s="327"/>
    </row>
    <row r="341" spans="1:26" x14ac:dyDescent="0.2">
      <c r="A341" s="330" t="s">
        <v>690</v>
      </c>
      <c r="B341" s="298">
        <v>55.967400000000005</v>
      </c>
      <c r="C341" s="298">
        <v>55.967400000000005</v>
      </c>
      <c r="D341" s="298">
        <v>55.967400000000005</v>
      </c>
      <c r="E341" s="298">
        <v>55.967400000000005</v>
      </c>
      <c r="F341" s="298">
        <v>55.967400000000005</v>
      </c>
      <c r="G341" s="298">
        <v>55.967400000000005</v>
      </c>
      <c r="H341" s="298">
        <v>55.967400000000005</v>
      </c>
      <c r="I341" s="298">
        <v>55.967400000000005</v>
      </c>
      <c r="J341" s="298">
        <v>55.967400000000005</v>
      </c>
      <c r="K341" s="298">
        <v>55.967400000000005</v>
      </c>
      <c r="L341" s="298">
        <v>55.967400000000005</v>
      </c>
      <c r="M341" s="298">
        <v>55.967400000000005</v>
      </c>
      <c r="N341" s="331">
        <v>671.60880000000009</v>
      </c>
      <c r="O341" s="331"/>
      <c r="P341" s="329"/>
      <c r="Q341" s="329"/>
      <c r="R341" s="329"/>
      <c r="S341" s="329"/>
      <c r="T341" s="331"/>
      <c r="U341" s="331"/>
      <c r="W341"/>
      <c r="X341"/>
      <c r="Y341"/>
    </row>
    <row r="342" spans="1:26" x14ac:dyDescent="0.2">
      <c r="A342" s="141" t="s">
        <v>407</v>
      </c>
      <c r="B342" s="315">
        <f t="shared" ref="B342:N342" si="98">SUM(B340:B341)</f>
        <v>99.909900000000007</v>
      </c>
      <c r="C342" s="315">
        <f t="shared" si="98"/>
        <v>99.909900000000007</v>
      </c>
      <c r="D342" s="315">
        <f t="shared" si="98"/>
        <v>99.909900000000007</v>
      </c>
      <c r="E342" s="315">
        <f t="shared" si="98"/>
        <v>99.909900000000007</v>
      </c>
      <c r="F342" s="315">
        <f t="shared" si="98"/>
        <v>99.909900000000007</v>
      </c>
      <c r="G342" s="315">
        <f t="shared" si="98"/>
        <v>99.909900000000007</v>
      </c>
      <c r="H342" s="315">
        <f t="shared" si="98"/>
        <v>99.909900000000007</v>
      </c>
      <c r="I342" s="315">
        <f t="shared" si="98"/>
        <v>99.909900000000007</v>
      </c>
      <c r="J342" s="315">
        <f t="shared" si="98"/>
        <v>99.909900000000007</v>
      </c>
      <c r="K342" s="315">
        <f t="shared" si="98"/>
        <v>99.909900000000007</v>
      </c>
      <c r="L342" s="315">
        <f t="shared" si="98"/>
        <v>99.909900000000007</v>
      </c>
      <c r="M342" s="315">
        <f t="shared" si="98"/>
        <v>99.909900000000007</v>
      </c>
      <c r="N342" s="316">
        <f t="shared" si="98"/>
        <v>1198.9187999999999</v>
      </c>
      <c r="O342" s="317"/>
      <c r="P342" s="288"/>
      <c r="Q342" s="295"/>
      <c r="R342" s="295"/>
      <c r="S342" s="288"/>
      <c r="T342" s="316"/>
      <c r="U342" s="316"/>
      <c r="W342"/>
      <c r="X342"/>
      <c r="Y342"/>
    </row>
    <row r="343" spans="1:26" x14ac:dyDescent="0.2">
      <c r="A343" s="140" t="s">
        <v>408</v>
      </c>
      <c r="B343" s="308">
        <f>+B342+B337</f>
        <v>99.909900000000007</v>
      </c>
      <c r="C343" s="308">
        <f t="shared" ref="C343:N343" si="99">+C342+C337</f>
        <v>99.909900000000007</v>
      </c>
      <c r="D343" s="308">
        <f t="shared" si="99"/>
        <v>99.909900000000007</v>
      </c>
      <c r="E343" s="308">
        <f t="shared" si="99"/>
        <v>99.909900000000007</v>
      </c>
      <c r="F343" s="308">
        <f t="shared" si="99"/>
        <v>99.909900000000007</v>
      </c>
      <c r="G343" s="308">
        <f t="shared" si="99"/>
        <v>99.909900000000007</v>
      </c>
      <c r="H343" s="308">
        <f t="shared" si="99"/>
        <v>99.909900000000007</v>
      </c>
      <c r="I343" s="308">
        <f t="shared" si="99"/>
        <v>99.909900000000007</v>
      </c>
      <c r="J343" s="308">
        <f t="shared" si="99"/>
        <v>99.909900000000007</v>
      </c>
      <c r="K343" s="308">
        <f t="shared" si="99"/>
        <v>99.909900000000007</v>
      </c>
      <c r="L343" s="308">
        <f t="shared" si="99"/>
        <v>99.909900000000007</v>
      </c>
      <c r="M343" s="308">
        <f t="shared" si="99"/>
        <v>99.909900000000007</v>
      </c>
      <c r="N343" s="309">
        <f t="shared" si="99"/>
        <v>1198.9187999999999</v>
      </c>
      <c r="O343" s="311"/>
      <c r="P343" s="288"/>
      <c r="Q343" s="295"/>
      <c r="R343" s="295"/>
      <c r="S343" s="288"/>
      <c r="T343" s="309"/>
      <c r="U343" s="309"/>
      <c r="W343"/>
      <c r="X343"/>
      <c r="Y343"/>
    </row>
    <row r="344" spans="1:26" x14ac:dyDescent="0.2">
      <c r="A344" s="140" t="s">
        <v>409</v>
      </c>
      <c r="B344" s="315">
        <f t="shared" ref="B344:N344" si="100">+B292</f>
        <v>12632.967681068001</v>
      </c>
      <c r="C344" s="315">
        <f t="shared" si="100"/>
        <v>11270.843422384001</v>
      </c>
      <c r="D344" s="315">
        <f t="shared" si="100"/>
        <v>12351.679524568</v>
      </c>
      <c r="E344" s="315">
        <f t="shared" si="100"/>
        <v>12063.561164160001</v>
      </c>
      <c r="F344" s="315">
        <f t="shared" si="100"/>
        <v>12428.450112572</v>
      </c>
      <c r="G344" s="315">
        <f t="shared" si="100"/>
        <v>12992.382440679999</v>
      </c>
      <c r="H344" s="315">
        <f t="shared" si="100"/>
        <v>13944.646417947999</v>
      </c>
      <c r="I344" s="315">
        <f t="shared" si="100"/>
        <v>13936.099199503999</v>
      </c>
      <c r="J344" s="315">
        <f t="shared" si="100"/>
        <v>13483.75733572</v>
      </c>
      <c r="K344" s="315">
        <f t="shared" si="100"/>
        <v>13828.331135500001</v>
      </c>
      <c r="L344" s="315">
        <f t="shared" si="100"/>
        <v>14099.423967999999</v>
      </c>
      <c r="M344" s="315">
        <f t="shared" si="100"/>
        <v>14602.389400999999</v>
      </c>
      <c r="N344" s="316">
        <f t="shared" si="100"/>
        <v>157634.53180310398</v>
      </c>
      <c r="O344" s="317"/>
      <c r="P344" s="288"/>
      <c r="Q344" s="295"/>
      <c r="R344" s="295"/>
      <c r="S344" s="288"/>
      <c r="T344" s="316"/>
      <c r="U344" s="316"/>
    </row>
    <row r="345" spans="1:26" x14ac:dyDescent="0.2">
      <c r="A345" s="140" t="s">
        <v>410</v>
      </c>
      <c r="B345" s="315">
        <f>+B344-B343</f>
        <v>12533.057781068001</v>
      </c>
      <c r="C345" s="315">
        <f t="shared" ref="C345:N345" si="101">+C344-C343</f>
        <v>11170.933522384001</v>
      </c>
      <c r="D345" s="315">
        <f t="shared" si="101"/>
        <v>12251.769624568</v>
      </c>
      <c r="E345" s="315">
        <f t="shared" si="101"/>
        <v>11963.65126416</v>
      </c>
      <c r="F345" s="315">
        <f t="shared" si="101"/>
        <v>12328.540212571999</v>
      </c>
      <c r="G345" s="315">
        <f t="shared" si="101"/>
        <v>12892.472540679999</v>
      </c>
      <c r="H345" s="315">
        <f t="shared" si="101"/>
        <v>13844.736517947998</v>
      </c>
      <c r="I345" s="315">
        <f t="shared" si="101"/>
        <v>13836.189299503998</v>
      </c>
      <c r="J345" s="315">
        <f t="shared" si="101"/>
        <v>13383.847435719999</v>
      </c>
      <c r="K345" s="315">
        <f t="shared" si="101"/>
        <v>13728.4212355</v>
      </c>
      <c r="L345" s="315">
        <f t="shared" si="101"/>
        <v>13999.514067999999</v>
      </c>
      <c r="M345" s="315">
        <f t="shared" si="101"/>
        <v>14502.479500999998</v>
      </c>
      <c r="N345" s="316">
        <f t="shared" si="101"/>
        <v>156435.61300310396</v>
      </c>
      <c r="O345" s="317"/>
      <c r="P345" s="288"/>
      <c r="Q345" s="295"/>
      <c r="R345" s="295"/>
      <c r="S345" s="288"/>
      <c r="T345" s="316"/>
      <c r="U345" s="316"/>
    </row>
    <row r="346" spans="1:26" ht="13.5" thickBot="1" x14ac:dyDescent="0.25">
      <c r="A346" s="140" t="s">
        <v>411</v>
      </c>
      <c r="B346" s="332">
        <f>+B345+B318</f>
        <v>13323.664281068</v>
      </c>
      <c r="C346" s="332">
        <f t="shared" ref="C346:N346" si="102">+C345+C318</f>
        <v>11862.537522384</v>
      </c>
      <c r="D346" s="332">
        <f t="shared" si="102"/>
        <v>12963.934124568001</v>
      </c>
      <c r="E346" s="332">
        <f t="shared" si="102"/>
        <v>12780.646264160001</v>
      </c>
      <c r="F346" s="332">
        <f t="shared" si="102"/>
        <v>13235.490212572</v>
      </c>
      <c r="G346" s="332">
        <f t="shared" si="102"/>
        <v>13933.881540679999</v>
      </c>
      <c r="H346" s="332">
        <f t="shared" si="102"/>
        <v>14979.267517947999</v>
      </c>
      <c r="I346" s="332">
        <f t="shared" si="102"/>
        <v>14954.846299503997</v>
      </c>
      <c r="J346" s="332">
        <f t="shared" si="102"/>
        <v>14424.222435719999</v>
      </c>
      <c r="K346" s="332">
        <f t="shared" si="102"/>
        <v>14757.621235500001</v>
      </c>
      <c r="L346" s="332">
        <f t="shared" si="102"/>
        <v>14930.126067999998</v>
      </c>
      <c r="M346" s="332">
        <f t="shared" si="102"/>
        <v>15474.000500999999</v>
      </c>
      <c r="N346" s="333">
        <f t="shared" si="102"/>
        <v>167620.33800310397</v>
      </c>
      <c r="O346" s="334"/>
      <c r="P346" s="335"/>
      <c r="Q346" s="335"/>
      <c r="R346" s="335"/>
      <c r="S346" s="335"/>
      <c r="T346" s="333"/>
      <c r="U346" s="333"/>
    </row>
    <row r="347" spans="1:26" ht="13.5" thickTop="1" x14ac:dyDescent="0.2">
      <c r="A347" s="336" t="s">
        <v>412</v>
      </c>
      <c r="B347" s="311">
        <f>B294-B344-B317</f>
        <v>0</v>
      </c>
      <c r="C347" s="311">
        <f t="shared" ref="C347:N347" si="103">C294-C344-C317</f>
        <v>0</v>
      </c>
      <c r="D347" s="311">
        <f t="shared" si="103"/>
        <v>0</v>
      </c>
      <c r="E347" s="311">
        <f t="shared" si="103"/>
        <v>0</v>
      </c>
      <c r="F347" s="311">
        <f t="shared" si="103"/>
        <v>0</v>
      </c>
      <c r="G347" s="311">
        <f t="shared" si="103"/>
        <v>0</v>
      </c>
      <c r="H347" s="311">
        <f t="shared" si="103"/>
        <v>0</v>
      </c>
      <c r="I347" s="311">
        <f t="shared" si="103"/>
        <v>0</v>
      </c>
      <c r="J347" s="311">
        <f t="shared" si="103"/>
        <v>0</v>
      </c>
      <c r="K347" s="311">
        <f t="shared" si="103"/>
        <v>0</v>
      </c>
      <c r="L347" s="311">
        <f t="shared" si="103"/>
        <v>0</v>
      </c>
      <c r="M347" s="311">
        <f t="shared" si="103"/>
        <v>0</v>
      </c>
      <c r="N347" s="311">
        <f t="shared" si="103"/>
        <v>4.1836756281554699E-11</v>
      </c>
      <c r="O347" s="311"/>
      <c r="P347" s="335"/>
      <c r="Q347" s="335"/>
      <c r="R347" s="335"/>
      <c r="S347" s="335"/>
      <c r="T347" s="311"/>
      <c r="U347" s="311"/>
    </row>
    <row r="348" spans="1:26" x14ac:dyDescent="0.2">
      <c r="A348" s="336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281"/>
      <c r="O348" s="281"/>
      <c r="P348" s="282"/>
      <c r="Q348" s="282"/>
      <c r="R348" s="282"/>
      <c r="S348" s="282"/>
      <c r="T348" s="281"/>
      <c r="U348" s="281"/>
    </row>
    <row r="349" spans="1:26" x14ac:dyDescent="0.2">
      <c r="A349" s="162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281"/>
      <c r="O349" s="281"/>
      <c r="P349" s="282"/>
      <c r="Q349" s="282"/>
      <c r="R349" s="282"/>
      <c r="S349" s="282"/>
      <c r="T349" s="281"/>
      <c r="U349" s="281"/>
    </row>
    <row r="350" spans="1:26" x14ac:dyDescent="0.2">
      <c r="A350" s="339" t="s">
        <v>413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281"/>
      <c r="O350" s="281"/>
      <c r="P350" s="282"/>
      <c r="Q350" s="282"/>
      <c r="R350" s="282"/>
      <c r="S350" s="282"/>
      <c r="T350" s="281"/>
      <c r="U350" s="281"/>
    </row>
    <row r="351" spans="1:26" x14ac:dyDescent="0.2">
      <c r="A351" s="162" t="s">
        <v>414</v>
      </c>
      <c r="B351" s="341">
        <f>'Annual Fuel Calc Alt'!C53</f>
        <v>626.21549999999991</v>
      </c>
      <c r="C351" s="341">
        <f>'Annual Fuel Calc Alt'!D53</f>
        <v>579.726</v>
      </c>
      <c r="D351" s="341">
        <f>'Annual Fuel Calc Alt'!E53</f>
        <v>575.577</v>
      </c>
      <c r="E351" s="341">
        <f>'Annual Fuel Calc Alt'!F53</f>
        <v>529.20000000000005</v>
      </c>
      <c r="F351" s="341">
        <f>'Annual Fuel Calc Alt'!G53</f>
        <v>525.21749999999997</v>
      </c>
      <c r="G351" s="341">
        <f>'Annual Fuel Calc Alt'!H53</f>
        <v>522.31499999999994</v>
      </c>
      <c r="H351" s="341">
        <f>'Annual Fuel Calc Alt'!I53</f>
        <v>536.09850000000006</v>
      </c>
      <c r="I351" s="341">
        <f>'Annual Fuel Calc Alt'!J53</f>
        <v>575.577</v>
      </c>
      <c r="J351" s="341">
        <f>'Annual Fuel Calc Alt'!K53</f>
        <v>550.125</v>
      </c>
      <c r="K351" s="341">
        <f>'Annual Fuel Calc Alt'!L53</f>
        <v>539.72550000000001</v>
      </c>
      <c r="L351" s="341">
        <f>'Annual Fuel Calc Alt'!M53</f>
        <v>390.01499999999999</v>
      </c>
      <c r="M351" s="341">
        <f>'Annual Fuel Calc Alt'!N53</f>
        <v>449.74799999999999</v>
      </c>
      <c r="N351" s="281">
        <f t="shared" ref="N351:N356" si="104">SUM(B351:M351)</f>
        <v>6399.54</v>
      </c>
      <c r="O351" s="281"/>
      <c r="P351" s="288"/>
      <c r="Q351" s="288"/>
      <c r="R351" s="288"/>
      <c r="S351" s="338"/>
      <c r="T351" s="281"/>
      <c r="U351" s="281"/>
    </row>
    <row r="352" spans="1:26" x14ac:dyDescent="0.2">
      <c r="A352" s="162" t="s">
        <v>415</v>
      </c>
      <c r="B352" s="341">
        <f>'Annual Fuel Calc Alt'!C52</f>
        <v>583.88499999999999</v>
      </c>
      <c r="C352" s="341">
        <f>'Annual Fuel Calc Alt'!D52</f>
        <v>511.1400000000001</v>
      </c>
      <c r="D352" s="341">
        <f>'Annual Fuel Calc Alt'!E52</f>
        <v>538.93500000000006</v>
      </c>
      <c r="E352" s="341">
        <f>'Annual Fuel Calc Alt'!F52</f>
        <v>469.34999999999997</v>
      </c>
      <c r="F352" s="341">
        <f>'Annual Fuel Calc Alt'!G52</f>
        <v>484.995</v>
      </c>
      <c r="G352" s="341">
        <f>'Annual Fuel Calc Alt'!H52</f>
        <v>686.85</v>
      </c>
      <c r="H352" s="341">
        <f>'Annual Fuel Calc Alt'!I52</f>
        <v>765.85500000000002</v>
      </c>
      <c r="I352" s="341">
        <f>'Annual Fuel Calc Alt'!J52</f>
        <v>732.995</v>
      </c>
      <c r="J352" s="341">
        <f>'Annual Fuel Calc Alt'!K52</f>
        <v>741.15000000000009</v>
      </c>
      <c r="K352" s="341">
        <f>'Annual Fuel Calc Alt'!L52</f>
        <v>776.70500000000015</v>
      </c>
      <c r="L352" s="341">
        <f>'Annual Fuel Calc Alt'!M52</f>
        <v>778.80000000000018</v>
      </c>
      <c r="M352" s="341">
        <f>'Annual Fuel Calc Alt'!N52</f>
        <v>741.21</v>
      </c>
      <c r="N352" s="281">
        <f t="shared" si="104"/>
        <v>7811.8700000000008</v>
      </c>
      <c r="O352" s="281"/>
      <c r="P352" s="288"/>
      <c r="Q352" s="288"/>
      <c r="R352" s="288"/>
      <c r="S352" s="338"/>
      <c r="T352" s="281"/>
      <c r="U352" s="281"/>
    </row>
    <row r="353" spans="1:21" x14ac:dyDescent="0.2">
      <c r="A353" s="162" t="s">
        <v>416</v>
      </c>
      <c r="B353" s="341">
        <f>'Annual Fuel Calc Alt'!C54</f>
        <v>323.80275</v>
      </c>
      <c r="C353" s="341">
        <f>'Annual Fuel Calc Alt'!D54</f>
        <v>295.92500000000001</v>
      </c>
      <c r="D353" s="341">
        <f>'Annual Fuel Calc Alt'!E54</f>
        <v>382.99725000000001</v>
      </c>
      <c r="E353" s="341">
        <f>'Annual Fuel Calc Alt'!F54</f>
        <v>323.33250000000004</v>
      </c>
      <c r="F353" s="341">
        <f>'Annual Fuel Calc Alt'!G54</f>
        <v>354.57800000000003</v>
      </c>
      <c r="G353" s="341">
        <f>'Annual Fuel Calc Alt'!H54</f>
        <v>362.80500000000001</v>
      </c>
      <c r="H353" s="341">
        <f>'Annual Fuel Calc Alt'!I54</f>
        <v>370.77550000000002</v>
      </c>
      <c r="I353" s="341">
        <f>'Annual Fuel Calc Alt'!J54</f>
        <v>382.99725000000001</v>
      </c>
      <c r="J353" s="341">
        <f>'Annual Fuel Calc Alt'!K54</f>
        <v>343.14000000000004</v>
      </c>
      <c r="K353" s="341">
        <f>'Annual Fuel Calc Alt'!L54</f>
        <v>382.99725000000001</v>
      </c>
      <c r="L353" s="341">
        <f>'Annual Fuel Calc Alt'!M54</f>
        <v>386.46</v>
      </c>
      <c r="M353" s="341">
        <f>'Annual Fuel Calc Alt'!N54</f>
        <v>403.46500000000003</v>
      </c>
      <c r="N353" s="281">
        <f t="shared" si="104"/>
        <v>4313.2754999999997</v>
      </c>
      <c r="O353" s="281"/>
      <c r="P353" s="288"/>
      <c r="Q353" s="288"/>
      <c r="R353" s="288"/>
      <c r="S353" s="338"/>
      <c r="T353" s="281"/>
      <c r="U353" s="281"/>
    </row>
    <row r="354" spans="1:21" x14ac:dyDescent="0.2">
      <c r="A354" s="162" t="s">
        <v>417</v>
      </c>
      <c r="B354" s="341">
        <f>'Annual Fuel Calc Alt'!C57+'Annual Fuel Calc Alt'!C58</f>
        <v>157.40900999999997</v>
      </c>
      <c r="C354" s="341">
        <f>'Annual Fuel Calc Alt'!D57+'Annual Fuel Calc Alt'!D58</f>
        <v>143.96675999999999</v>
      </c>
      <c r="D354" s="341">
        <f>'Annual Fuel Calc Alt'!E57+'Annual Fuel Calc Alt'!E58</f>
        <v>149.24639999999999</v>
      </c>
      <c r="E354" s="341">
        <f>'Annual Fuel Calc Alt'!F57+'Annual Fuel Calc Alt'!F58</f>
        <v>184.46429999999998</v>
      </c>
      <c r="F354" s="341">
        <f>'Annual Fuel Calc Alt'!G57+'Annual Fuel Calc Alt'!G58</f>
        <v>187.49110000000002</v>
      </c>
      <c r="G354" s="341">
        <f>'Annual Fuel Calc Alt'!H57+'Annual Fuel Calc Alt'!H58</f>
        <v>179.75310000000002</v>
      </c>
      <c r="H354" s="341">
        <f>'Annual Fuel Calc Alt'!I57+'Annual Fuel Calc Alt'!I58</f>
        <v>181.35403000000002</v>
      </c>
      <c r="I354" s="341">
        <f>'Annual Fuel Calc Alt'!J57+'Annual Fuel Calc Alt'!J58</f>
        <v>176.27064999999999</v>
      </c>
      <c r="J354" s="341">
        <f>'Annual Fuel Calc Alt'!K57+'Annual Fuel Calc Alt'!K58</f>
        <v>162.63210000000001</v>
      </c>
      <c r="K354" s="341">
        <f>'Annual Fuel Calc Alt'!L57+'Annual Fuel Calc Alt'!L58</f>
        <v>163.90878000000001</v>
      </c>
      <c r="L354" s="341">
        <f>'Annual Fuel Calc Alt'!M57+'Annual Fuel Calc Alt'!M58</f>
        <v>174.06360000000001</v>
      </c>
      <c r="M354" s="341">
        <f>'Annual Fuel Calc Alt'!N57+'Annual Fuel Calc Alt'!N58</f>
        <v>185.04240999999999</v>
      </c>
      <c r="N354" s="281">
        <f t="shared" si="104"/>
        <v>2045.6022399999999</v>
      </c>
      <c r="O354" s="281"/>
      <c r="P354" s="288"/>
      <c r="Q354" s="288"/>
      <c r="R354" s="288"/>
      <c r="S354" s="338"/>
      <c r="T354" s="281"/>
      <c r="U354" s="281"/>
    </row>
    <row r="355" spans="1:21" x14ac:dyDescent="0.2">
      <c r="A355" s="162" t="s">
        <v>418</v>
      </c>
      <c r="B355" s="341">
        <f>'Annual Fuel Calc Alt'!C56</f>
        <v>53.405250000000002</v>
      </c>
      <c r="C355" s="341">
        <f>'Annual Fuel Calc Alt'!D56</f>
        <v>48.390999999999998</v>
      </c>
      <c r="D355" s="341">
        <f>'Annual Fuel Calc Alt'!E56</f>
        <v>50.739250000000006</v>
      </c>
      <c r="E355" s="341">
        <f>'Annual Fuel Calc Alt'!F56</f>
        <v>47.242499999999993</v>
      </c>
      <c r="F355" s="341">
        <f>'Annual Fuel Calc Alt'!G56</f>
        <v>47.600500000000004</v>
      </c>
      <c r="G355" s="341">
        <f>'Annual Fuel Calc Alt'!H56</f>
        <v>44.925000000000004</v>
      </c>
      <c r="H355" s="341">
        <f>'Annual Fuel Calc Alt'!I56</f>
        <v>52.149749999999997</v>
      </c>
      <c r="I355" s="341">
        <f>'Annual Fuel Calc Alt'!J56</f>
        <v>48.685500000000005</v>
      </c>
      <c r="J355" s="341">
        <f>'Annual Fuel Calc Alt'!K56</f>
        <v>49.222499999999997</v>
      </c>
      <c r="K355" s="341">
        <f>'Annual Fuel Calc Alt'!L56</f>
        <v>51.033749999999998</v>
      </c>
      <c r="L355" s="341">
        <f>'Annual Fuel Calc Alt'!M56</f>
        <v>47.167499999999997</v>
      </c>
      <c r="M355" s="341">
        <f>'Annual Fuel Calc Alt'!N56</f>
        <v>45.872249999999994</v>
      </c>
      <c r="N355" s="281">
        <f t="shared" si="104"/>
        <v>586.43475000000001</v>
      </c>
      <c r="O355" s="281"/>
      <c r="P355" s="288"/>
      <c r="Q355" s="288"/>
      <c r="R355" s="288"/>
      <c r="S355" s="338"/>
      <c r="T355" s="281"/>
      <c r="U355" s="281"/>
    </row>
    <row r="356" spans="1:21" x14ac:dyDescent="0.2">
      <c r="A356" s="162" t="s">
        <v>419</v>
      </c>
      <c r="B356" s="298">
        <f>'Annual Fuel Calc Alt'!C55</f>
        <v>23.02525</v>
      </c>
      <c r="C356" s="298">
        <f>'Annual Fuel Calc Alt'!D55</f>
        <v>22.904</v>
      </c>
      <c r="D356" s="298">
        <f>'Annual Fuel Calc Alt'!E55</f>
        <v>25.869500000000002</v>
      </c>
      <c r="E356" s="298">
        <f>'Annual Fuel Calc Alt'!F55</f>
        <v>20.5275</v>
      </c>
      <c r="F356" s="298">
        <f>'Annual Fuel Calc Alt'!G55</f>
        <v>21.994500000000002</v>
      </c>
      <c r="G356" s="298">
        <f>'Annual Fuel Calc Alt'!H55</f>
        <v>25.035</v>
      </c>
      <c r="H356" s="298">
        <f>'Annual Fuel Calc Alt'!I55</f>
        <v>18.561250000000001</v>
      </c>
      <c r="I356" s="298">
        <f>'Annual Fuel Calc Alt'!J55</f>
        <v>27.001000000000001</v>
      </c>
      <c r="J356" s="298">
        <f>'Annual Fuel Calc Alt'!K55</f>
        <v>19.327500000000001</v>
      </c>
      <c r="K356" s="298">
        <f>'Annual Fuel Calc Alt'!L55</f>
        <v>19.405999999999999</v>
      </c>
      <c r="L356" s="298">
        <f>'Annual Fuel Calc Alt'!M55</f>
        <v>23.287500000000001</v>
      </c>
      <c r="M356" s="298">
        <f>'Annual Fuel Calc Alt'!N55</f>
        <v>31.046500000000002</v>
      </c>
      <c r="N356" s="305">
        <f t="shared" si="104"/>
        <v>277.9855</v>
      </c>
      <c r="O356" s="342"/>
      <c r="P356" s="288"/>
      <c r="Q356" s="288"/>
      <c r="R356" s="288"/>
      <c r="S356" s="338"/>
      <c r="T356" s="305"/>
      <c r="U356" s="305"/>
    </row>
    <row r="357" spans="1:21" x14ac:dyDescent="0.2">
      <c r="A357" s="150" t="s">
        <v>420</v>
      </c>
      <c r="B357" s="136">
        <f t="shared" ref="B357:M357" si="105">SUM(B351:B356)</f>
        <v>1767.7427600000001</v>
      </c>
      <c r="C357" s="136">
        <f t="shared" si="105"/>
        <v>1602.05276</v>
      </c>
      <c r="D357" s="136">
        <f t="shared" si="105"/>
        <v>1723.3644000000002</v>
      </c>
      <c r="E357" s="136">
        <f t="shared" si="105"/>
        <v>1574.1167999999998</v>
      </c>
      <c r="F357" s="136">
        <f t="shared" si="105"/>
        <v>1621.8766000000001</v>
      </c>
      <c r="G357" s="136">
        <f t="shared" si="105"/>
        <v>1821.6831000000002</v>
      </c>
      <c r="H357" s="136">
        <f t="shared" si="105"/>
        <v>1924.79403</v>
      </c>
      <c r="I357" s="136">
        <f t="shared" si="105"/>
        <v>1943.5264</v>
      </c>
      <c r="J357" s="136">
        <f t="shared" si="105"/>
        <v>1865.5971000000004</v>
      </c>
      <c r="K357" s="136">
        <f t="shared" si="105"/>
        <v>1933.7762800000003</v>
      </c>
      <c r="L357" s="136">
        <f t="shared" si="105"/>
        <v>1799.7936</v>
      </c>
      <c r="M357" s="136">
        <f t="shared" si="105"/>
        <v>1856.3841600000001</v>
      </c>
      <c r="N357" s="343">
        <f>SUM(B357:M357)</f>
        <v>21434.707990000006</v>
      </c>
      <c r="O357" s="344"/>
      <c r="P357" s="288"/>
      <c r="Q357" s="288"/>
      <c r="R357" s="288"/>
      <c r="S357" s="288"/>
      <c r="T357" s="315"/>
      <c r="U357" s="315"/>
    </row>
    <row r="358" spans="1:21" x14ac:dyDescent="0.2">
      <c r="A358" s="150" t="s">
        <v>421</v>
      </c>
      <c r="B358" s="136">
        <f>'Annual Fuel Calc Alt'!C62</f>
        <v>-907.51991099999998</v>
      </c>
      <c r="C358" s="136">
        <f>'Annual Fuel Calc Alt'!D62</f>
        <v>-837.963436</v>
      </c>
      <c r="D358" s="136">
        <f>'Annual Fuel Calc Alt'!E62</f>
        <v>-906.88103999999998</v>
      </c>
      <c r="E358" s="136">
        <f>'Annual Fuel Calc Alt'!F62</f>
        <v>-841.95073000000002</v>
      </c>
      <c r="F358" s="136">
        <f>'Annual Fuel Calc Alt'!G62</f>
        <v>-872.03021000000001</v>
      </c>
      <c r="G358" s="136">
        <f>'Annual Fuel Calc Alt'!H62</f>
        <v>-1125.2284099999999</v>
      </c>
      <c r="H358" s="136">
        <f>'Annual Fuel Calc Alt'!I62</f>
        <v>-1113.479433</v>
      </c>
      <c r="I358" s="136">
        <f>'Annual Fuel Calc Alt'!J62</f>
        <v>-1192.667715</v>
      </c>
      <c r="J358" s="136">
        <f>'Annual Fuel Calc Alt'!K62</f>
        <v>-1082.29531</v>
      </c>
      <c r="K358" s="136">
        <f>'Annual Fuel Calc Alt'!L62</f>
        <v>-1113.8796580000001</v>
      </c>
      <c r="L358" s="136">
        <f>'Annual Fuel Calc Alt'!M62</f>
        <v>-1105.65996</v>
      </c>
      <c r="M358" s="136">
        <f>'Annual Fuel Calc Alt'!N62</f>
        <v>-1206.936651</v>
      </c>
      <c r="N358" s="343">
        <f>SUM(B358:M358)</f>
        <v>-12306.492463999999</v>
      </c>
      <c r="O358" s="344"/>
      <c r="P358" s="288"/>
      <c r="Q358" s="345"/>
      <c r="R358" s="288"/>
      <c r="S358" s="288"/>
      <c r="T358" s="315"/>
      <c r="U358" s="315"/>
    </row>
    <row r="359" spans="1:21" ht="13.5" thickBot="1" x14ac:dyDescent="0.25">
      <c r="A359" s="150" t="s">
        <v>422</v>
      </c>
      <c r="B359" s="346">
        <f>SUM(B357:B358)</f>
        <v>860.22284900000011</v>
      </c>
      <c r="C359" s="346">
        <f t="shared" ref="C359:M359" si="106">SUM(C357:C358)</f>
        <v>764.08932400000003</v>
      </c>
      <c r="D359" s="346">
        <f t="shared" si="106"/>
        <v>816.48336000000018</v>
      </c>
      <c r="E359" s="346">
        <f t="shared" si="106"/>
        <v>732.16606999999976</v>
      </c>
      <c r="F359" s="346">
        <f t="shared" si="106"/>
        <v>749.84639000000004</v>
      </c>
      <c r="G359" s="346">
        <f t="shared" si="106"/>
        <v>696.45469000000026</v>
      </c>
      <c r="H359" s="346">
        <f t="shared" si="106"/>
        <v>811.31459700000005</v>
      </c>
      <c r="I359" s="346">
        <f t="shared" si="106"/>
        <v>750.85868499999992</v>
      </c>
      <c r="J359" s="346">
        <f t="shared" si="106"/>
        <v>783.30179000000044</v>
      </c>
      <c r="K359" s="346">
        <f t="shared" si="106"/>
        <v>819.89662200000021</v>
      </c>
      <c r="L359" s="346">
        <f t="shared" si="106"/>
        <v>694.13364000000001</v>
      </c>
      <c r="M359" s="346">
        <f t="shared" si="106"/>
        <v>649.44750900000008</v>
      </c>
      <c r="N359" s="347">
        <f>SUM(B359:M359)</f>
        <v>9128.2155260000018</v>
      </c>
      <c r="O359" s="344"/>
      <c r="P359" s="288"/>
      <c r="Q359" s="288"/>
      <c r="R359" s="288"/>
      <c r="S359" s="288"/>
      <c r="T359" s="346"/>
      <c r="U359" s="346"/>
    </row>
    <row r="360" spans="1:21" ht="13.5" thickTop="1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281"/>
      <c r="O360" s="281"/>
      <c r="P360" s="282"/>
      <c r="Q360" s="282"/>
      <c r="R360" s="282"/>
      <c r="S360" s="288"/>
      <c r="T360" s="281"/>
      <c r="U360" s="281"/>
    </row>
    <row r="361" spans="1:21" x14ac:dyDescent="0.2">
      <c r="A361" s="150" t="s">
        <v>423</v>
      </c>
      <c r="B361" s="969">
        <v>2.62</v>
      </c>
      <c r="C361" s="969">
        <v>2.62</v>
      </c>
      <c r="D361" s="969">
        <v>2.56</v>
      </c>
      <c r="E361" s="969">
        <v>2.4500000000000002</v>
      </c>
      <c r="F361" s="969">
        <v>2.48</v>
      </c>
      <c r="G361" s="969">
        <v>2.5299999999999998</v>
      </c>
      <c r="H361" s="969">
        <v>2.57</v>
      </c>
      <c r="I361" s="969">
        <v>2.61</v>
      </c>
      <c r="J361" s="969">
        <v>2.61</v>
      </c>
      <c r="K361" s="969">
        <v>2.62</v>
      </c>
      <c r="L361" s="969">
        <v>2.84</v>
      </c>
      <c r="M361" s="969">
        <v>3</v>
      </c>
      <c r="N361" s="970">
        <f>AVERAGE(B361:M361)</f>
        <v>2.625833333333333</v>
      </c>
      <c r="O361" s="349"/>
      <c r="P361" s="350"/>
      <c r="Q361" s="351"/>
      <c r="R361" s="352"/>
      <c r="S361" s="350"/>
      <c r="T361" s="353"/>
      <c r="U361" s="353"/>
    </row>
    <row r="362" spans="1:21" x14ac:dyDescent="0.2">
      <c r="A362" s="163" t="s">
        <v>412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281"/>
      <c r="O362" s="281"/>
      <c r="P362" s="282"/>
      <c r="Q362" s="282"/>
      <c r="R362" s="282"/>
      <c r="S362" s="282"/>
      <c r="T362" s="281"/>
      <c r="U362" s="281"/>
    </row>
    <row r="363" spans="1:21" x14ac:dyDescent="0.2"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6"/>
      <c r="O363" s="356"/>
      <c r="P363" s="355"/>
      <c r="Q363" s="355"/>
      <c r="R363" s="355"/>
      <c r="S363" s="355"/>
      <c r="T363" s="356"/>
      <c r="U363" s="356"/>
    </row>
    <row r="364" spans="1:21" x14ac:dyDescent="0.2"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56"/>
      <c r="O364" s="356"/>
      <c r="P364" s="355"/>
      <c r="Q364" s="355"/>
      <c r="R364" s="355"/>
      <c r="S364" s="355"/>
      <c r="T364" s="356"/>
      <c r="U364" s="356"/>
    </row>
    <row r="365" spans="1:21" x14ac:dyDescent="0.2">
      <c r="B365" s="348"/>
      <c r="C365" s="348"/>
      <c r="D365" s="348"/>
      <c r="E365" s="348"/>
      <c r="F365" s="348"/>
      <c r="G365" s="348"/>
      <c r="H365" s="348"/>
      <c r="I365" s="348"/>
      <c r="J365" s="348"/>
      <c r="K365" s="348"/>
      <c r="L365" s="348"/>
      <c r="M365" s="348"/>
      <c r="N365" s="349"/>
      <c r="O365" s="349"/>
      <c r="P365" s="355"/>
      <c r="Q365" s="355"/>
      <c r="R365" s="355"/>
      <c r="S365" s="355"/>
      <c r="T365" s="356"/>
      <c r="U365" s="356"/>
    </row>
    <row r="366" spans="1:21" x14ac:dyDescent="0.2"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49"/>
      <c r="O366" s="349"/>
      <c r="P366" s="355"/>
      <c r="Q366" s="355"/>
      <c r="R366" s="355"/>
      <c r="S366" s="355"/>
      <c r="T366" s="356"/>
      <c r="U366" s="356"/>
    </row>
  </sheetData>
  <phoneticPr fontId="10" type="noConversion"/>
  <printOptions horizontalCentered="1"/>
  <pageMargins left="0.25" right="0.25" top="0.5" bottom="0.5" header="0.5" footer="0.25"/>
  <pageSetup scale="64" fitToHeight="1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Demand - Summ</vt:lpstr>
      <vt:lpstr>Demand Detail</vt:lpstr>
      <vt:lpstr>Red Rock &amp; New Ks</vt:lpstr>
      <vt:lpstr>Out Years Data Input</vt:lpstr>
      <vt:lpstr>Negociate Rate K</vt:lpstr>
      <vt:lpstr>IT</vt:lpstr>
      <vt:lpstr>Stretch</vt:lpstr>
      <vt:lpstr>Fuel Hedge-Stretch</vt:lpstr>
      <vt:lpstr>Summary</vt:lpstr>
      <vt:lpstr>Detail- 2001 Plan</vt:lpstr>
      <vt:lpstr>Annual Fuel Calc Alt</vt:lpstr>
      <vt:lpstr>Not Used -Annual Fuel Calc</vt:lpstr>
      <vt:lpstr>2002 Plan by Qtr</vt:lpstr>
      <vt:lpstr>Contracted &amp; Uncontracted</vt:lpstr>
      <vt:lpstr>Contracted</vt:lpstr>
      <vt:lpstr>Firm Book</vt:lpstr>
      <vt:lpstr>Surcharges Detail</vt:lpstr>
      <vt:lpstr>Termination-Resubscription</vt:lpstr>
      <vt:lpstr>WESTCompare0201</vt:lpstr>
      <vt:lpstr>'2002 Plan by Qtr'!Print_Area</vt:lpstr>
      <vt:lpstr>'Annual Fuel Calc Alt'!Print_Area</vt:lpstr>
      <vt:lpstr>Contracted!Print_Area</vt:lpstr>
      <vt:lpstr>'Contracted &amp; Uncontracted'!Print_Area</vt:lpstr>
      <vt:lpstr>'Demand - Summ'!Print_Area</vt:lpstr>
      <vt:lpstr>'Firm Book'!Print_Area</vt:lpstr>
      <vt:lpstr>IT!Print_Area</vt:lpstr>
      <vt:lpstr>'Negociate Rate K'!Print_Area</vt:lpstr>
      <vt:lpstr>'Not Used -Annual Fuel Calc'!Print_Area</vt:lpstr>
      <vt:lpstr>'Out Years Data Input'!Print_Area</vt:lpstr>
      <vt:lpstr>'Red Rock &amp; New Ks'!Print_Area</vt:lpstr>
      <vt:lpstr>Stretch!Print_Area</vt:lpstr>
      <vt:lpstr>Summary!Print_Area</vt:lpstr>
      <vt:lpstr>'Surcharges Detail'!Print_Area</vt:lpstr>
      <vt:lpstr>'Termination-Resubscription'!Print_Area</vt:lpstr>
      <vt:lpstr>WESTCompare0201!Print_Area</vt:lpstr>
      <vt:lpstr>'Demand - Summ'!Print_Titles</vt:lpstr>
      <vt:lpstr>'Termination-Resubscription'!Print_Titles</vt:lpstr>
      <vt:lpstr>WESTCompare0201!Print_Titles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Doll</dc:creator>
  <cp:lastModifiedBy>Felienne</cp:lastModifiedBy>
  <cp:lastPrinted>2001-11-07T22:32:39Z</cp:lastPrinted>
  <dcterms:created xsi:type="dcterms:W3CDTF">2001-02-06T04:59:25Z</dcterms:created>
  <dcterms:modified xsi:type="dcterms:W3CDTF">2014-09-03T20:16:10Z</dcterms:modified>
</cp:coreProperties>
</file>