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05" activeTab="3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Net!$A$1:$AO$51</definedName>
    <definedName name="_xlnm.Print_Area" localSheetId="2">'Orig ''02 Plan Gross'!$A$1:$AK$47</definedName>
    <definedName name="_xlnm.Print_Area" localSheetId="3">'Orig ''02 Plan Net'!$A$1:$AK$48</definedName>
  </definedNames>
  <calcPr calcId="152511"/>
</workbook>
</file>

<file path=xl/calcChain.xml><?xml version="1.0" encoding="utf-8"?>
<calcChain xmlns="http://schemas.openxmlformats.org/spreadsheetml/2006/main">
  <c r="C13" i="1" l="1"/>
  <c r="E13" i="1" s="1"/>
  <c r="G13" i="1"/>
  <c r="I13" i="1"/>
  <c r="I24" i="1" s="1"/>
  <c r="K13" i="1"/>
  <c r="M13" i="1"/>
  <c r="O13" i="1"/>
  <c r="O24" i="1" s="1"/>
  <c r="Q13" i="1"/>
  <c r="Q24" i="1" s="1"/>
  <c r="S13" i="1"/>
  <c r="S24" i="1" s="1"/>
  <c r="U13" i="1"/>
  <c r="W13" i="1"/>
  <c r="Y13" i="1"/>
  <c r="Y24" i="1" s="1"/>
  <c r="AA13" i="1"/>
  <c r="AC13" i="1"/>
  <c r="AE13" i="1"/>
  <c r="AE24" i="1" s="1"/>
  <c r="AG13" i="1"/>
  <c r="AI13" i="1"/>
  <c r="AI24" i="1" s="1"/>
  <c r="C14" i="1"/>
  <c r="E14" i="1"/>
  <c r="G14" i="1"/>
  <c r="G24" i="1" s="1"/>
  <c r="I14" i="1"/>
  <c r="K14" i="1"/>
  <c r="M14" i="1"/>
  <c r="O14" i="1"/>
  <c r="Q14" i="1"/>
  <c r="S14" i="1"/>
  <c r="U14" i="1"/>
  <c r="U24" i="1" s="1"/>
  <c r="W14" i="1"/>
  <c r="W24" i="1" s="1"/>
  <c r="Y14" i="1"/>
  <c r="AA14" i="1"/>
  <c r="AC14" i="1"/>
  <c r="AE14" i="1"/>
  <c r="AG14" i="1"/>
  <c r="AI14" i="1"/>
  <c r="C15" i="1"/>
  <c r="E15" i="1" s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E17" i="1"/>
  <c r="AK17" i="1"/>
  <c r="E18" i="1"/>
  <c r="AK18" i="1"/>
  <c r="AM18" i="1"/>
  <c r="AO18" i="1"/>
  <c r="C19" i="1"/>
  <c r="E19" i="1" s="1"/>
  <c r="AK19" i="1"/>
  <c r="AO19" i="1" s="1"/>
  <c r="AM19" i="1"/>
  <c r="C20" i="1"/>
  <c r="E20" i="1"/>
  <c r="AK20" i="1"/>
  <c r="AO20" i="1" s="1"/>
  <c r="AM20" i="1"/>
  <c r="E21" i="1"/>
  <c r="AK21" i="1"/>
  <c r="E22" i="1"/>
  <c r="AG22" i="1"/>
  <c r="AK22" i="1"/>
  <c r="K24" i="1"/>
  <c r="M24" i="1"/>
  <c r="AA24" i="1"/>
  <c r="AA28" i="1" s="1"/>
  <c r="AC24" i="1"/>
  <c r="A50" i="1"/>
  <c r="A51" i="1"/>
  <c r="C13" i="4"/>
  <c r="E13" i="4"/>
  <c r="G13" i="4"/>
  <c r="G24" i="4" s="1"/>
  <c r="I13" i="4"/>
  <c r="K13" i="4"/>
  <c r="M13" i="4"/>
  <c r="O13" i="4"/>
  <c r="AK13" i="4" s="1"/>
  <c r="Q13" i="4"/>
  <c r="Q24" i="4" s="1"/>
  <c r="S13" i="4"/>
  <c r="U13" i="4"/>
  <c r="W13" i="4"/>
  <c r="W24" i="4" s="1"/>
  <c r="Y13" i="4"/>
  <c r="AA13" i="4"/>
  <c r="AC13" i="4"/>
  <c r="AE13" i="4"/>
  <c r="AG13" i="4"/>
  <c r="AI13" i="4"/>
  <c r="C14" i="4"/>
  <c r="E14" i="4"/>
  <c r="G14" i="4"/>
  <c r="I14" i="4"/>
  <c r="I24" i="4" s="1"/>
  <c r="K14" i="4"/>
  <c r="M14" i="4"/>
  <c r="AK14" i="4" s="1"/>
  <c r="O14" i="4"/>
  <c r="Q14" i="4"/>
  <c r="S14" i="4"/>
  <c r="U14" i="4"/>
  <c r="W14" i="4"/>
  <c r="Y14" i="4"/>
  <c r="Y24" i="4" s="1"/>
  <c r="AA14" i="4"/>
  <c r="AC14" i="4"/>
  <c r="AE14" i="4"/>
  <c r="AG14" i="4"/>
  <c r="AI14" i="4"/>
  <c r="C15" i="4"/>
  <c r="E15" i="4"/>
  <c r="G15" i="4"/>
  <c r="I15" i="4"/>
  <c r="K15" i="4"/>
  <c r="M15" i="4"/>
  <c r="O15" i="4"/>
  <c r="AK15" i="4" s="1"/>
  <c r="AO15" i="4" s="1"/>
  <c r="Q15" i="4"/>
  <c r="S15" i="4"/>
  <c r="U15" i="4"/>
  <c r="W15" i="4"/>
  <c r="Y15" i="4"/>
  <c r="AA15" i="4"/>
  <c r="AC15" i="4"/>
  <c r="AE15" i="4"/>
  <c r="AG15" i="4"/>
  <c r="AI15" i="4"/>
  <c r="C16" i="4"/>
  <c r="E16" i="4"/>
  <c r="G16" i="4"/>
  <c r="I16" i="4"/>
  <c r="K16" i="4"/>
  <c r="M16" i="4"/>
  <c r="AK16" i="4" s="1"/>
  <c r="AO16" i="4" s="1"/>
  <c r="O16" i="4"/>
  <c r="Q16" i="4"/>
  <c r="S16" i="4"/>
  <c r="U16" i="4"/>
  <c r="W16" i="4"/>
  <c r="AG16" i="4" s="1"/>
  <c r="Y16" i="4"/>
  <c r="AA16" i="4"/>
  <c r="AC16" i="4"/>
  <c r="AE16" i="4"/>
  <c r="AI16" i="4"/>
  <c r="E17" i="4"/>
  <c r="AK17" i="4"/>
  <c r="AO17" i="4" s="1"/>
  <c r="AM17" i="4"/>
  <c r="E18" i="4"/>
  <c r="AK18" i="4"/>
  <c r="AM18" i="4"/>
  <c r="AO18" i="4"/>
  <c r="C19" i="4"/>
  <c r="E19" i="4"/>
  <c r="AK19" i="4"/>
  <c r="E20" i="4"/>
  <c r="AK20" i="4"/>
  <c r="AO20" i="4" s="1"/>
  <c r="AM20" i="4"/>
  <c r="E21" i="4"/>
  <c r="AK21" i="4"/>
  <c r="E22" i="4"/>
  <c r="AK22" i="4"/>
  <c r="AO22" i="4" s="1"/>
  <c r="C24" i="4"/>
  <c r="E24" i="4"/>
  <c r="K24" i="4"/>
  <c r="M24" i="4"/>
  <c r="M28" i="4" s="1"/>
  <c r="O24" i="4"/>
  <c r="O28" i="4" s="1"/>
  <c r="S24" i="4"/>
  <c r="U24" i="4"/>
  <c r="AA24" i="4"/>
  <c r="AC24" i="4"/>
  <c r="AC28" i="4" s="1"/>
  <c r="AE24" i="4"/>
  <c r="AI24" i="4"/>
  <c r="AI28" i="4" s="1"/>
  <c r="A50" i="4"/>
  <c r="A51" i="4"/>
  <c r="K13" i="5"/>
  <c r="AK13" i="1" s="1"/>
  <c r="M13" i="5"/>
  <c r="O13" i="5"/>
  <c r="O24" i="5" s="1"/>
  <c r="O26" i="1" s="1"/>
  <c r="Q13" i="5"/>
  <c r="Q24" i="5" s="1"/>
  <c r="Q26" i="1" s="1"/>
  <c r="S13" i="5"/>
  <c r="U13" i="5"/>
  <c r="W13" i="5"/>
  <c r="W24" i="5" s="1"/>
  <c r="Y13" i="5"/>
  <c r="Y24" i="5" s="1"/>
  <c r="Y26" i="1" s="1"/>
  <c r="AA13" i="5"/>
  <c r="AA24" i="5" s="1"/>
  <c r="AA26" i="1" s="1"/>
  <c r="AC13" i="5"/>
  <c r="AE13" i="5"/>
  <c r="AE24" i="5" s="1"/>
  <c r="AE26" i="1" s="1"/>
  <c r="AG13" i="5"/>
  <c r="AI13" i="5"/>
  <c r="K14" i="5"/>
  <c r="AK14" i="5" s="1"/>
  <c r="AM14" i="1" s="1"/>
  <c r="M14" i="5"/>
  <c r="M24" i="5" s="1"/>
  <c r="M26" i="1" s="1"/>
  <c r="O14" i="5"/>
  <c r="Q14" i="5"/>
  <c r="S14" i="5"/>
  <c r="U14" i="5"/>
  <c r="W14" i="5"/>
  <c r="Y14" i="5"/>
  <c r="AA14" i="5"/>
  <c r="AC14" i="5"/>
  <c r="AC24" i="5" s="1"/>
  <c r="AC26" i="1" s="1"/>
  <c r="AE14" i="5"/>
  <c r="AG14" i="5"/>
  <c r="AI14" i="5"/>
  <c r="K15" i="5"/>
  <c r="M15" i="5"/>
  <c r="AK15" i="1" s="1"/>
  <c r="O15" i="5"/>
  <c r="Q15" i="5"/>
  <c r="S15" i="5"/>
  <c r="S24" i="5" s="1"/>
  <c r="S26" i="1" s="1"/>
  <c r="U15" i="5"/>
  <c r="W15" i="5"/>
  <c r="Y15" i="5"/>
  <c r="AA15" i="5"/>
  <c r="AC15" i="5"/>
  <c r="AE15" i="5"/>
  <c r="AG15" i="5"/>
  <c r="AI15" i="5"/>
  <c r="AI24" i="5" s="1"/>
  <c r="AI26" i="1" s="1"/>
  <c r="K16" i="5"/>
  <c r="AK16" i="1" s="1"/>
  <c r="M16" i="5"/>
  <c r="O16" i="5"/>
  <c r="Q16" i="5"/>
  <c r="S16" i="5"/>
  <c r="U16" i="5"/>
  <c r="W16" i="5"/>
  <c r="AG16" i="5" s="1"/>
  <c r="Y16" i="5"/>
  <c r="AA16" i="5"/>
  <c r="AC16" i="5"/>
  <c r="AE16" i="5"/>
  <c r="AI16" i="5"/>
  <c r="AK17" i="5"/>
  <c r="AM17" i="1" s="1"/>
  <c r="AO17" i="1" s="1"/>
  <c r="AK18" i="5"/>
  <c r="AK19" i="5"/>
  <c r="AK20" i="5"/>
  <c r="AK21" i="5"/>
  <c r="AM21" i="1" s="1"/>
  <c r="AK22" i="5"/>
  <c r="AM22" i="1" s="1"/>
  <c r="C24" i="5"/>
  <c r="E24" i="5"/>
  <c r="G24" i="5"/>
  <c r="I24" i="5"/>
  <c r="U24" i="5"/>
  <c r="U26" i="1" s="1"/>
  <c r="A47" i="5"/>
  <c r="A48" i="5"/>
  <c r="K13" i="6"/>
  <c r="K24" i="6" s="1"/>
  <c r="K26" i="4" s="1"/>
  <c r="K28" i="4" s="1"/>
  <c r="M13" i="6"/>
  <c r="M24" i="6" s="1"/>
  <c r="M26" i="4" s="1"/>
  <c r="O13" i="6"/>
  <c r="Q13" i="6"/>
  <c r="S13" i="6"/>
  <c r="U13" i="6"/>
  <c r="U24" i="6" s="1"/>
  <c r="U26" i="4" s="1"/>
  <c r="U28" i="4" s="1"/>
  <c r="W13" i="6"/>
  <c r="W24" i="6" s="1"/>
  <c r="Y13" i="6"/>
  <c r="AA13" i="6"/>
  <c r="AA24" i="6" s="1"/>
  <c r="AA26" i="4" s="1"/>
  <c r="AA28" i="4" s="1"/>
  <c r="AC13" i="6"/>
  <c r="AC24" i="6" s="1"/>
  <c r="AC26" i="4" s="1"/>
  <c r="AE13" i="6"/>
  <c r="AG13" i="6"/>
  <c r="AI13" i="6"/>
  <c r="K14" i="6"/>
  <c r="AK14" i="6" s="1"/>
  <c r="AM14" i="4" s="1"/>
  <c r="M14" i="6"/>
  <c r="O14" i="6"/>
  <c r="Q14" i="6"/>
  <c r="S14" i="6"/>
  <c r="U14" i="6"/>
  <c r="W14" i="6"/>
  <c r="Y14" i="6"/>
  <c r="Y24" i="6" s="1"/>
  <c r="Y26" i="4" s="1"/>
  <c r="AA14" i="6"/>
  <c r="AC14" i="6"/>
  <c r="AE14" i="6"/>
  <c r="AG14" i="6"/>
  <c r="AI14" i="6"/>
  <c r="K15" i="6"/>
  <c r="AK15" i="6" s="1"/>
  <c r="AM15" i="4" s="1"/>
  <c r="M15" i="6"/>
  <c r="O15" i="6"/>
  <c r="O24" i="6" s="1"/>
  <c r="O26" i="4" s="1"/>
  <c r="Q15" i="6"/>
  <c r="S15" i="6"/>
  <c r="U15" i="6"/>
  <c r="W15" i="6"/>
  <c r="Y15" i="6"/>
  <c r="AA15" i="6"/>
  <c r="AC15" i="6"/>
  <c r="AE15" i="6"/>
  <c r="AE24" i="6" s="1"/>
  <c r="AE26" i="4" s="1"/>
  <c r="AG15" i="6"/>
  <c r="AI15" i="6"/>
  <c r="K16" i="6"/>
  <c r="M16" i="6"/>
  <c r="O16" i="6"/>
  <c r="AK16" i="6" s="1"/>
  <c r="AM16" i="4" s="1"/>
  <c r="Q16" i="6"/>
  <c r="S16" i="6"/>
  <c r="U16" i="6"/>
  <c r="W16" i="6"/>
  <c r="Y16" i="6"/>
  <c r="AA16" i="6"/>
  <c r="AC16" i="6"/>
  <c r="AE16" i="6"/>
  <c r="AG16" i="6"/>
  <c r="AI16" i="6"/>
  <c r="AK17" i="6"/>
  <c r="AK18" i="6"/>
  <c r="AK19" i="6"/>
  <c r="AM19" i="4" s="1"/>
  <c r="AK20" i="6"/>
  <c r="AK21" i="6"/>
  <c r="AM21" i="4" s="1"/>
  <c r="AK22" i="6"/>
  <c r="AM22" i="4" s="1"/>
  <c r="C24" i="6"/>
  <c r="E24" i="6"/>
  <c r="G24" i="6"/>
  <c r="I24" i="6"/>
  <c r="Q24" i="6"/>
  <c r="Q26" i="4" s="1"/>
  <c r="S24" i="6"/>
  <c r="S26" i="4" s="1"/>
  <c r="AI24" i="6"/>
  <c r="AI26" i="4" s="1"/>
  <c r="A47" i="6"/>
  <c r="A48" i="6"/>
  <c r="AG24" i="6" l="1"/>
  <c r="W26" i="4"/>
  <c r="W28" i="4" s="1"/>
  <c r="AO21" i="1"/>
  <c r="AE28" i="4"/>
  <c r="AI28" i="1"/>
  <c r="Y28" i="4"/>
  <c r="M28" i="1"/>
  <c r="O28" i="1"/>
  <c r="AG24" i="4"/>
  <c r="K28" i="1"/>
  <c r="AO14" i="4"/>
  <c r="AC28" i="1"/>
  <c r="S28" i="1"/>
  <c r="AO19" i="4"/>
  <c r="Q28" i="1"/>
  <c r="AE28" i="1"/>
  <c r="S28" i="4"/>
  <c r="AO21" i="4"/>
  <c r="AO22" i="1"/>
  <c r="W28" i="1"/>
  <c r="AG24" i="1"/>
  <c r="Y28" i="1"/>
  <c r="W26" i="1"/>
  <c r="AG24" i="5"/>
  <c r="Q28" i="4"/>
  <c r="U28" i="1"/>
  <c r="AK24" i="4"/>
  <c r="E24" i="1"/>
  <c r="AK16" i="5"/>
  <c r="AM16" i="1" s="1"/>
  <c r="AO16" i="1" s="1"/>
  <c r="AK13" i="5"/>
  <c r="AK14" i="1"/>
  <c r="AO14" i="1" s="1"/>
  <c r="AK13" i="6"/>
  <c r="C24" i="1"/>
  <c r="K24" i="5"/>
  <c r="K26" i="1" s="1"/>
  <c r="AK15" i="5"/>
  <c r="AM15" i="1" s="1"/>
  <c r="AO15" i="1" s="1"/>
  <c r="AK24" i="6" l="1"/>
  <c r="AM24" i="4" s="1"/>
  <c r="AM13" i="4"/>
  <c r="AO13" i="4" s="1"/>
  <c r="AO24" i="4" s="1"/>
  <c r="AK24" i="1"/>
  <c r="AO24" i="1" s="1"/>
  <c r="AK24" i="5"/>
  <c r="AM24" i="1" s="1"/>
  <c r="AM13" i="1"/>
  <c r="AO13" i="1" s="1"/>
</calcChain>
</file>

<file path=xl/sharedStrings.xml><?xml version="1.0" encoding="utf-8"?>
<sst xmlns="http://schemas.openxmlformats.org/spreadsheetml/2006/main" count="226" uniqueCount="48">
  <si>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</si>
  <si>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</si>
  <si>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</si>
  <si>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</si>
  <si>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</si>
  <si>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</si>
  <si>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</si>
  <si>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</si>
  <si>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</si>
  <si>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</si>
  <si>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</si>
  <si>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EMMS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</si>
  <si>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</si>
  <si>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</si>
  <si>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</si>
  <si>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</si>
  <si>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</si>
  <si>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</si>
  <si>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</si>
  <si>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</si>
  <si>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</si>
  <si>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</si>
  <si>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</si>
  <si>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</si>
  <si>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</si>
  <si>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</si>
  <si>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</si>
  <si>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</si>
  <si>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</si>
  <si>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</si>
  <si>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</si>
  <si>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</si>
  <si>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</si>
  <si>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</si>
  <si>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</si>
  <si>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</si>
  <si>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</si>
  <si>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</si>
  <si>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</si>
  <si>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</si>
  <si>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</si>
  <si>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</si>
  <si>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</si>
  <si>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 SUPPORT SERVICES (Included in Finance &amp; Accounting)</t>
  </si>
  <si>
    <t>GCO/HPL</t>
  </si>
  <si>
    <t>EOTT (Co 1195) **</t>
  </si>
  <si>
    <t>**  Exclude Co. 1195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</si>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</sst>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  <xf numFmtId="164" fontId="7" fillId="0" borderId="0" xfId="1" applyNumberFormat="1" applyFont="1"/>
    <xf numFmtId="164" fontId="0" fillId="0" borderId="0" xfId="1" applyNumberFormat="1" applyFont="1" applyBorder="1"/>
    <xf numFmtId="164" fontId="1" fillId="0" borderId="0" xfId="1" applyNumberFormat="1" applyFont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Y5" workbookViewId="0">
      <pane xSplit="14910" topLeftCell="AF1"/>
      <selection activeCell="A13" sqref="A13"/>
      <selection pane="topRight" activeCell="AF1" sqref="AF1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11" customWidth="1"/>
    <col min="37" max="37" width="10.7109375" style="2" customWidth="1"/>
    <col min="38" max="38" width="1.7109375" style="2" customWidth="1"/>
    <col min="39" max="39" width="10.7109375" style="2" customWidth="1"/>
    <col min="40" max="40" width="1.7109375" style="2" customWidth="1"/>
    <col min="41" max="41" width="10.7109375" style="2" customWidth="1"/>
    <col min="42" max="42" width="9.28515625" style="2" bestFit="1" customWidth="1"/>
    <col min="43" max="16384" width="9.140625" style="2"/>
  </cols>
  <sheetData>
    <row r="1" spans="1:44" ht="15.75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">
      <c r="A6" s="4"/>
    </row>
    <row r="8" spans="1:44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">
      <c r="E9" s="6"/>
      <c r="O9" s="6"/>
      <c r="Y9" s="6"/>
      <c r="AM9" s="6" t="s">
        <v>41</v>
      </c>
      <c r="AN9" s="6"/>
    </row>
    <row r="10" spans="1:44" x14ac:dyDescent="0.2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4" x14ac:dyDescent="0.2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4" x14ac:dyDescent="0.2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32</v>
      </c>
      <c r="AL12" s="11"/>
      <c r="AM12" s="7" t="s">
        <v>32</v>
      </c>
      <c r="AN12" s="7"/>
      <c r="AO12" s="7" t="s">
        <v>42</v>
      </c>
      <c r="AP12" s="11"/>
    </row>
    <row r="13" spans="1:44" x14ac:dyDescent="0.2">
      <c r="A13" s="20" t="s">
        <v>6</v>
      </c>
      <c r="C13" s="12">
        <f>5967-643-721+275.288-22.038-22.038</f>
        <v>4834.2120000000014</v>
      </c>
      <c r="D13" s="12"/>
      <c r="E13" s="12">
        <f>C13/10</f>
        <v>483.42120000000011</v>
      </c>
      <c r="F13" s="12"/>
      <c r="G13" s="12">
        <f>643+22.039</f>
        <v>665.03899999999999</v>
      </c>
      <c r="H13" s="12"/>
      <c r="I13" s="12">
        <f>721+22.039</f>
        <v>743.03899999999999</v>
      </c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4"/>
      <c r="AK13" s="12">
        <f>SUM('Orig ''02 Plan Gross'!K13:AJ13)</f>
        <v>5940.2732992647716</v>
      </c>
      <c r="AL13" s="12"/>
      <c r="AM13" s="12">
        <f>'Orig ''02 Plan Gross'!AK13</f>
        <v>5940.2732992647716</v>
      </c>
      <c r="AN13" s="12"/>
      <c r="AO13" s="12">
        <f t="shared" ref="AO13:AO22" si="0">AK13-AM13</f>
        <v>0</v>
      </c>
      <c r="AP13"/>
      <c r="AQ13"/>
      <c r="AR13" s="12"/>
    </row>
    <row r="14" spans="1:44" x14ac:dyDescent="0.2">
      <c r="A14" s="20" t="s">
        <v>7</v>
      </c>
      <c r="C14" s="12">
        <f>986-80-79+37.954-3.038-3.038</f>
        <v>858.87799999999993</v>
      </c>
      <c r="D14" s="12"/>
      <c r="E14" s="12">
        <f t="shared" ref="E14:E22" si="1">C14/10</f>
        <v>85.887799999999999</v>
      </c>
      <c r="F14" s="12"/>
      <c r="G14" s="12">
        <f>80+3.038</f>
        <v>83.037999999999997</v>
      </c>
      <c r="H14" s="12"/>
      <c r="I14" s="12">
        <f>79+3.038</f>
        <v>82.037999999999997</v>
      </c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4"/>
      <c r="AK14" s="12">
        <f>SUM('Orig ''02 Plan Gross'!K14:AJ14)</f>
        <v>919.51942541436483</v>
      </c>
      <c r="AL14" s="12"/>
      <c r="AM14" s="12">
        <f>'Orig ''02 Plan Gross'!AK14</f>
        <v>919.51942541436483</v>
      </c>
      <c r="AN14" s="12"/>
      <c r="AO14" s="12">
        <f t="shared" si="0"/>
        <v>0</v>
      </c>
      <c r="AP14"/>
      <c r="AQ14"/>
      <c r="AR14" s="12"/>
    </row>
    <row r="15" spans="1:44" x14ac:dyDescent="0.2">
      <c r="A15" s="20" t="s">
        <v>10</v>
      </c>
      <c r="C15" s="12">
        <f>2852-288-288+107.637-8.617-8.617</f>
        <v>2366.4029999999998</v>
      </c>
      <c r="D15" s="39"/>
      <c r="E15" s="12">
        <f t="shared" si="1"/>
        <v>236.64029999999997</v>
      </c>
      <c r="F15" s="39"/>
      <c r="G15" s="12">
        <f>288+8.617</f>
        <v>296.61700000000002</v>
      </c>
      <c r="H15" s="39"/>
      <c r="I15" s="12">
        <f>288+8.617</f>
        <v>296.61700000000002</v>
      </c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4"/>
      <c r="AK15" s="12">
        <f>SUM('Orig ''02 Plan Gross'!K15:AJ15)</f>
        <v>2942.4346227667179</v>
      </c>
      <c r="AL15" s="12"/>
      <c r="AM15" s="12">
        <f>'Orig ''02 Plan Gross'!AK15</f>
        <v>2942.4346227667179</v>
      </c>
      <c r="AN15" s="12"/>
      <c r="AO15" s="12">
        <f t="shared" si="0"/>
        <v>0</v>
      </c>
      <c r="AP15"/>
      <c r="AQ15"/>
      <c r="AR15" s="12"/>
    </row>
    <row r="16" spans="1:44" x14ac:dyDescent="0.2">
      <c r="A16" s="20" t="s">
        <v>9</v>
      </c>
      <c r="C16" s="39">
        <f>1945-180-219-5.948-5.948+74.3</f>
        <v>1608.4039999999998</v>
      </c>
      <c r="D16" s="39"/>
      <c r="E16" s="12">
        <f t="shared" si="1"/>
        <v>160.84039999999999</v>
      </c>
      <c r="F16" s="39"/>
      <c r="G16" s="39">
        <f>180+5.948</f>
        <v>185.94800000000001</v>
      </c>
      <c r="H16" s="39"/>
      <c r="I16" s="39">
        <f>219+5.948</f>
        <v>224.94800000000001</v>
      </c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14"/>
      <c r="AK16" s="12">
        <f>SUM('Orig ''02 Plan Gross'!K16:AJ16)</f>
        <v>2435.5306625904809</v>
      </c>
      <c r="AL16" s="12"/>
      <c r="AM16" s="12">
        <f>'Orig ''02 Plan Gross'!AK16</f>
        <v>2435.5306625904809</v>
      </c>
      <c r="AN16" s="12"/>
      <c r="AO16" s="12">
        <f t="shared" si="0"/>
        <v>0</v>
      </c>
      <c r="AP16"/>
      <c r="AQ16"/>
      <c r="AR16" s="12"/>
    </row>
    <row r="17" spans="1:46" x14ac:dyDescent="0.2">
      <c r="A17" s="20" t="s">
        <v>45</v>
      </c>
      <c r="C17" s="39"/>
      <c r="D17" s="39"/>
      <c r="E17" s="12">
        <f t="shared" si="1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4"/>
      <c r="AK17" s="12">
        <f>SUM('Orig ''02 Plan Gross'!K17:AJ17)</f>
        <v>0</v>
      </c>
      <c r="AL17" s="12"/>
      <c r="AM17" s="12">
        <f>'Orig ''02 Plan Gross'!AK17</f>
        <v>0</v>
      </c>
      <c r="AN17" s="12"/>
      <c r="AO17" s="12">
        <f t="shared" si="0"/>
        <v>0</v>
      </c>
      <c r="AP17"/>
      <c r="AQ17"/>
      <c r="AR17" s="12"/>
    </row>
    <row r="18" spans="1:46" x14ac:dyDescent="0.2">
      <c r="A18" s="20" t="s">
        <v>11</v>
      </c>
      <c r="C18" s="39"/>
      <c r="D18" s="39"/>
      <c r="E18" s="12">
        <f t="shared" si="1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4"/>
      <c r="AK18" s="12">
        <f>SUM('Orig ''02 Plan Gross'!K18:AJ18)</f>
        <v>0</v>
      </c>
      <c r="AL18" s="12"/>
      <c r="AM18" s="12">
        <f>'Orig ''02 Plan Gross'!AK18</f>
        <v>0</v>
      </c>
      <c r="AN18" s="12"/>
      <c r="AO18" s="12">
        <f t="shared" si="0"/>
        <v>0</v>
      </c>
      <c r="AP18"/>
      <c r="AQ18"/>
      <c r="AR18" s="12"/>
    </row>
    <row r="19" spans="1:46" x14ac:dyDescent="0.2">
      <c r="A19" s="20" t="s">
        <v>44</v>
      </c>
      <c r="C19" s="39">
        <f>1223-94-94</f>
        <v>1035</v>
      </c>
      <c r="D19" s="39"/>
      <c r="E19" s="12">
        <f t="shared" si="1"/>
        <v>103.5</v>
      </c>
      <c r="F19" s="39"/>
      <c r="G19" s="39">
        <v>94</v>
      </c>
      <c r="H19" s="39"/>
      <c r="I19" s="39">
        <v>94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4"/>
      <c r="AK19" s="12">
        <f>SUM('Orig ''02 Plan Gross'!K19:AJ19)</f>
        <v>0</v>
      </c>
      <c r="AL19" s="12"/>
      <c r="AM19" s="12">
        <f>'Orig ''02 Plan Gross'!AK19</f>
        <v>0</v>
      </c>
      <c r="AN19" s="12"/>
      <c r="AO19" s="12">
        <f t="shared" si="0"/>
        <v>0</v>
      </c>
      <c r="AP19"/>
      <c r="AQ19"/>
      <c r="AR19" s="12"/>
    </row>
    <row r="20" spans="1:46" x14ac:dyDescent="0.2">
      <c r="A20" s="20" t="s">
        <v>12</v>
      </c>
      <c r="C20" s="39">
        <f>741-73-58</f>
        <v>610</v>
      </c>
      <c r="D20" s="39"/>
      <c r="E20" s="12">
        <f t="shared" si="1"/>
        <v>61</v>
      </c>
      <c r="F20" s="39"/>
      <c r="G20" s="39">
        <v>73</v>
      </c>
      <c r="H20" s="39"/>
      <c r="I20" s="39">
        <v>58</v>
      </c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14"/>
      <c r="AK20" s="12">
        <f>SUM('Orig ''02 Plan Gross'!K20:AJ20)</f>
        <v>3753.5479999999993</v>
      </c>
      <c r="AL20" s="12"/>
      <c r="AM20" s="12">
        <f>'Orig ''02 Plan Gross'!AK20</f>
        <v>3753.5479999999993</v>
      </c>
      <c r="AN20" s="12"/>
      <c r="AO20" s="12">
        <f t="shared" si="0"/>
        <v>0</v>
      </c>
      <c r="AP20"/>
      <c r="AQ20"/>
      <c r="AR20" s="12"/>
    </row>
    <row r="21" spans="1:46" x14ac:dyDescent="0.2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4"/>
      <c r="AK21" s="12">
        <f>SUM('Orig ''02 Plan Gross'!K21:AJ21)</f>
        <v>0</v>
      </c>
      <c r="AL21" s="12"/>
      <c r="AM21" s="12">
        <f>'Orig ''02 Plan Gross'!AK21</f>
        <v>0</v>
      </c>
      <c r="AN21" s="12"/>
      <c r="AO21" s="12">
        <f t="shared" si="0"/>
        <v>0</v>
      </c>
      <c r="AP21"/>
      <c r="AQ21"/>
      <c r="AR21" s="12"/>
    </row>
    <row r="22" spans="1:46" x14ac:dyDescent="0.2">
      <c r="A22" s="20" t="s">
        <v>13</v>
      </c>
      <c r="C22" s="12"/>
      <c r="D22" s="12"/>
      <c r="E22" s="12">
        <f t="shared" si="1"/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0</v>
      </c>
      <c r="N22" s="12"/>
      <c r="O22" s="12">
        <v>0</v>
      </c>
      <c r="P22" s="12"/>
      <c r="Q22" s="12">
        <v>0</v>
      </c>
      <c r="R22" s="12"/>
      <c r="S22" s="12">
        <v>0</v>
      </c>
      <c r="T22" s="12"/>
      <c r="U22" s="12">
        <v>0</v>
      </c>
      <c r="V22" s="12"/>
      <c r="W22" s="12">
        <v>0</v>
      </c>
      <c r="X22" s="12"/>
      <c r="Y22" s="12">
        <v>0</v>
      </c>
      <c r="Z22" s="12"/>
      <c r="AA22" s="12">
        <v>0</v>
      </c>
      <c r="AB22" s="12"/>
      <c r="AC22" s="12">
        <v>0</v>
      </c>
      <c r="AD22" s="12"/>
      <c r="AE22" s="12">
        <v>0</v>
      </c>
      <c r="AF22" s="12"/>
      <c r="AG22" s="12" t="e">
        <f>(W22-M22)/M22</f>
        <v>#DIV/0!</v>
      </c>
      <c r="AH22" s="12"/>
      <c r="AI22" s="12">
        <v>0</v>
      </c>
      <c r="AJ22" s="14"/>
      <c r="AK22" s="12">
        <f>SUM('Orig ''02 Plan Gross'!K22:AJ22)</f>
        <v>0</v>
      </c>
      <c r="AL22" s="12"/>
      <c r="AM22" s="12">
        <f>'Orig ''02 Plan Gross'!AK22</f>
        <v>0</v>
      </c>
      <c r="AN22" s="12"/>
      <c r="AO22" s="12">
        <f t="shared" si="0"/>
        <v>0</v>
      </c>
      <c r="AP22"/>
      <c r="AQ22"/>
      <c r="AR22" s="12"/>
    </row>
    <row r="23" spans="1:46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4"/>
      <c r="AK23" s="12"/>
      <c r="AL23" s="12"/>
      <c r="AM23" s="12"/>
      <c r="AN23" s="12"/>
      <c r="AO23" s="12"/>
      <c r="AP23"/>
      <c r="AQ23"/>
      <c r="AR23" s="12"/>
    </row>
    <row r="24" spans="1:46" ht="13.5" thickBot="1" x14ac:dyDescent="0.25">
      <c r="A24" s="20" t="s">
        <v>32</v>
      </c>
      <c r="C24" s="16">
        <f>SUM(C13:C23)</f>
        <v>11312.897000000001</v>
      </c>
      <c r="D24" s="12"/>
      <c r="E24" s="16">
        <f>SUM(E13:E23)</f>
        <v>1131.2897</v>
      </c>
      <c r="F24" s="14"/>
      <c r="G24" s="16">
        <f>SUM(G13:G23)</f>
        <v>1397.6420000000001</v>
      </c>
      <c r="H24" s="14"/>
      <c r="I24" s="16">
        <f>SUM(I13:I23)</f>
        <v>1498.6420000000001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6">
        <f>(W24-M24)/M24</f>
        <v>-1.5151548855477622E-2</v>
      </c>
      <c r="AH24" s="12"/>
      <c r="AI24" s="16">
        <f>SUM(AI13:AI23)</f>
        <v>1321.279</v>
      </c>
      <c r="AJ24" s="14"/>
      <c r="AK24" s="16">
        <f>SUM(AK13:AK23)</f>
        <v>15991.306010036335</v>
      </c>
      <c r="AL24" s="12"/>
      <c r="AM24" s="16">
        <f>'Orig ''02 Plan Gross'!AK24</f>
        <v>15991.306010036335</v>
      </c>
      <c r="AN24" s="14"/>
      <c r="AO24" s="16">
        <f>AK24-AM24</f>
        <v>0</v>
      </c>
      <c r="AP24"/>
      <c r="AQ24"/>
      <c r="AR24" s="12"/>
    </row>
    <row r="25" spans="1:46" ht="25.5" customHeight="1" thickTop="1" x14ac:dyDescent="0.2">
      <c r="A25" s="20"/>
      <c r="C25" s="46" t="s">
        <v>47</v>
      </c>
      <c r="D25" s="12"/>
      <c r="E25" s="46" t="s">
        <v>47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44"/>
      <c r="AF25" s="12"/>
      <c r="AG25" s="12"/>
      <c r="AH25" s="12"/>
      <c r="AI25" s="12"/>
      <c r="AJ25" s="14"/>
      <c r="AK25" s="12"/>
      <c r="AL25" s="12"/>
      <c r="AM25" s="12"/>
      <c r="AN25" s="12"/>
      <c r="AO25" s="12"/>
      <c r="AP25" s="46" t="s">
        <v>47</v>
      </c>
      <c r="AQ25" s="12"/>
      <c r="AR25" s="12"/>
    </row>
    <row r="26" spans="1:46" x14ac:dyDescent="0.2">
      <c r="A26" s="20" t="s">
        <v>39</v>
      </c>
      <c r="B26"/>
      <c r="C26" s="39"/>
      <c r="D26" s="39"/>
      <c r="E26" s="39"/>
      <c r="F26" s="39"/>
      <c r="G26" s="39"/>
      <c r="H26" s="39"/>
      <c r="I26" s="39"/>
      <c r="J26" s="39"/>
      <c r="K26" s="39">
        <f>'Orig ''02 Plan Gross'!K24</f>
        <v>1315.3030000000001</v>
      </c>
      <c r="L26" s="39"/>
      <c r="M26" s="39">
        <f>'Orig ''02 Plan Gross'!M24</f>
        <v>1348.6410000000001</v>
      </c>
      <c r="N26" s="39"/>
      <c r="O26" s="39">
        <f>'Orig ''02 Plan Gross'!O24</f>
        <v>1337.5520000000001</v>
      </c>
      <c r="P26" s="39"/>
      <c r="Q26" s="39">
        <f>'Orig ''02 Plan Gross'!Q24</f>
        <v>1333.152</v>
      </c>
      <c r="R26" s="39"/>
      <c r="S26" s="39">
        <f>'Orig ''02 Plan Gross'!S24</f>
        <v>1333.5149999999999</v>
      </c>
      <c r="T26" s="39"/>
      <c r="U26" s="39">
        <f>'Orig ''02 Plan Gross'!U24</f>
        <v>1339.165</v>
      </c>
      <c r="V26" s="39"/>
      <c r="W26" s="39">
        <f>'Orig ''02 Plan Gross'!W24</f>
        <v>1328.2069999999999</v>
      </c>
      <c r="X26" s="39"/>
      <c r="Y26" s="39">
        <f>'Orig ''02 Plan Gross'!Y24</f>
        <v>1325.377</v>
      </c>
      <c r="Z26" s="39"/>
      <c r="AA26" s="39">
        <f>'Orig ''02 Plan Gross'!AA24</f>
        <v>1335.4730000000002</v>
      </c>
      <c r="AB26" s="39"/>
      <c r="AC26" s="39">
        <f>'Orig ''02 Plan Gross'!AC24</f>
        <v>1345.8109999999999</v>
      </c>
      <c r="AD26" s="39"/>
      <c r="AE26" s="39">
        <f>'Orig ''02 Plan Gross'!AE24</f>
        <v>1328.028</v>
      </c>
      <c r="AF26" s="39"/>
      <c r="AG26" s="39"/>
      <c r="AH26" s="39"/>
      <c r="AI26" s="39">
        <f>'Orig ''02 Plan Gross'!AI24</f>
        <v>1321.279</v>
      </c>
      <c r="AJ26" s="45"/>
      <c r="AK26" s="12"/>
      <c r="AL26" s="12"/>
      <c r="AM26" s="39"/>
      <c r="AN26" s="39"/>
      <c r="AO26" s="46" t="s">
        <v>47</v>
      </c>
      <c r="AP26" s="12"/>
      <c r="AQ26" s="12"/>
      <c r="AR26" s="12"/>
      <c r="AS26" s="39"/>
      <c r="AT26" s="39"/>
    </row>
    <row r="27" spans="1:4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">
      <c r="A50" s="18" t="str">
        <f ca="1">CELL("filename")</f>
        <v>C:\Users\Felienne\Enron\EnronSpreadsheets\[tracy_geaccone__40442__OM EST - OSS - 2001 - 2002 REVISED FORMAT.xls]Orig '02 Plan 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">
      <c r="A51" s="19">
        <f ca="1">NOW()</f>
        <v>41886.681212615738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opLeftCell="P4" workbookViewId="0">
      <selection activeCell="A35" sqref="A35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6.7109375" style="2" customWidth="1"/>
    <col min="12" max="12" width="1.7109375" style="2" customWidth="1"/>
    <col min="13" max="13" width="6.7109375" style="2" customWidth="1"/>
    <col min="14" max="14" width="1.7109375" style="2" customWidth="1"/>
    <col min="15" max="15" width="6.7109375" style="2" customWidth="1"/>
    <col min="16" max="16" width="1.7109375" style="2" customWidth="1"/>
    <col min="17" max="17" width="6.7109375" style="2" customWidth="1"/>
    <col min="18" max="18" width="1.7109375" style="2" customWidth="1"/>
    <col min="19" max="19" width="6.7109375" style="2" customWidth="1"/>
    <col min="20" max="20" width="1.7109375" style="2" customWidth="1"/>
    <col min="21" max="21" width="6.7109375" style="2" customWidth="1"/>
    <col min="22" max="22" width="1.7109375" style="2" customWidth="1"/>
    <col min="23" max="23" width="6.7109375" style="2" customWidth="1"/>
    <col min="24" max="24" width="1.7109375" style="2" customWidth="1"/>
    <col min="25" max="25" width="6.7109375" style="2" customWidth="1"/>
    <col min="26" max="26" width="1.7109375" style="2" customWidth="1"/>
    <col min="27" max="27" width="6.7109375" style="2" customWidth="1"/>
    <col min="28" max="28" width="1.7109375" style="2" customWidth="1"/>
    <col min="29" max="29" width="6.7109375" style="2" customWidth="1"/>
    <col min="30" max="30" width="1.7109375" style="2" customWidth="1"/>
    <col min="31" max="31" width="6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6.7109375" style="2" customWidth="1"/>
    <col min="36" max="36" width="1.7109375" style="2" customWidth="1"/>
    <col min="37" max="37" width="9" style="2" customWidth="1"/>
    <col min="38" max="38" width="1.5703125" style="2" customWidth="1"/>
    <col min="39" max="39" width="10.28515625" style="2" customWidth="1"/>
    <col min="40" max="40" width="1.7109375" style="2" customWidth="1"/>
    <col min="41" max="41" width="9.140625" style="2"/>
    <col min="42" max="42" width="9.28515625" style="2" bestFit="1" customWidth="1"/>
    <col min="43" max="16384" width="9.140625" style="2"/>
  </cols>
  <sheetData>
    <row r="1" spans="1:44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">
      <c r="A6" s="4"/>
    </row>
    <row r="8" spans="1:44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">
      <c r="E9" s="6"/>
      <c r="O9" s="6"/>
      <c r="Y9" s="6"/>
      <c r="AM9" s="6" t="s">
        <v>41</v>
      </c>
    </row>
    <row r="10" spans="1:44" x14ac:dyDescent="0.2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4" x14ac:dyDescent="0.2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4" x14ac:dyDescent="0.2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32</v>
      </c>
      <c r="AL12" s="11"/>
      <c r="AM12" s="7" t="s">
        <v>32</v>
      </c>
      <c r="AO12" s="7" t="s">
        <v>42</v>
      </c>
    </row>
    <row r="13" spans="1:44" x14ac:dyDescent="0.2">
      <c r="A13" s="20" t="s">
        <v>6</v>
      </c>
      <c r="C13" s="12">
        <f>4301-496-540+275.288-22.038-22.038</f>
        <v>3496.212</v>
      </c>
      <c r="D13" s="12"/>
      <c r="E13" s="12">
        <f t="shared" ref="E13:E22" si="0">C13/10</f>
        <v>349.62119999999999</v>
      </c>
      <c r="F13" s="12"/>
      <c r="G13" s="12">
        <f>496+22.039</f>
        <v>518.03899999999999</v>
      </c>
      <c r="H13" s="12"/>
      <c r="I13" s="12">
        <f>540+22.039</f>
        <v>562.03899999999999</v>
      </c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12">
        <f t="shared" ref="AK13:AK22" si="1">SUM(K13:AI13)</f>
        <v>5057.3812992647727</v>
      </c>
      <c r="AL13" s="12"/>
      <c r="AM13" s="12">
        <f>'Orig ''02 Plan Net'!AK13</f>
        <v>5057.3812992647727</v>
      </c>
      <c r="AN13" s="12"/>
      <c r="AO13" s="12">
        <f t="shared" ref="AO13:AO22" si="2">AK13-AM13</f>
        <v>0</v>
      </c>
      <c r="AP13"/>
      <c r="AQ13"/>
      <c r="AR13" s="12"/>
    </row>
    <row r="14" spans="1:44" x14ac:dyDescent="0.2">
      <c r="A14" s="20" t="s">
        <v>7</v>
      </c>
      <c r="C14" s="12">
        <f>1046-89-102+37.954-3.038-3.038</f>
        <v>886.87799999999993</v>
      </c>
      <c r="D14" s="12"/>
      <c r="E14" s="12">
        <f t="shared" si="0"/>
        <v>88.687799999999996</v>
      </c>
      <c r="F14" s="12"/>
      <c r="G14" s="12">
        <f>89+3.038</f>
        <v>92.037999999999997</v>
      </c>
      <c r="H14" s="12"/>
      <c r="I14" s="12">
        <f>102+3.038</f>
        <v>105.038</v>
      </c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12">
        <f t="shared" si="1"/>
        <v>1141.8194254143648</v>
      </c>
      <c r="AL14" s="12"/>
      <c r="AM14" s="12">
        <f>'Orig ''02 Plan Net'!AK14</f>
        <v>1141.8194254143648</v>
      </c>
      <c r="AN14" s="12"/>
      <c r="AO14" s="12">
        <f t="shared" si="2"/>
        <v>0</v>
      </c>
      <c r="AP14"/>
      <c r="AQ14"/>
      <c r="AR14" s="12"/>
    </row>
    <row r="15" spans="1:44" x14ac:dyDescent="0.2">
      <c r="A15" s="20" t="s">
        <v>10</v>
      </c>
      <c r="C15" s="12">
        <f>2664-275-295+107.637-8.617-8.617</f>
        <v>2184.4029999999998</v>
      </c>
      <c r="D15" s="39"/>
      <c r="E15" s="12">
        <f t="shared" si="0"/>
        <v>218.44029999999998</v>
      </c>
      <c r="F15" s="39"/>
      <c r="G15" s="12">
        <f>275+8.617</f>
        <v>283.61700000000002</v>
      </c>
      <c r="H15" s="39"/>
      <c r="I15" s="12">
        <f>295+8.617</f>
        <v>303.61700000000002</v>
      </c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12">
        <f t="shared" si="1"/>
        <v>2254.7986227667179</v>
      </c>
      <c r="AL15" s="12"/>
      <c r="AM15" s="12">
        <f>'Orig ''02 Plan Net'!AK15</f>
        <v>2254.7986227667179</v>
      </c>
      <c r="AN15" s="12"/>
      <c r="AO15" s="12">
        <f t="shared" si="2"/>
        <v>0</v>
      </c>
      <c r="AP15"/>
      <c r="AQ15"/>
      <c r="AR15" s="12"/>
    </row>
    <row r="16" spans="1:44" x14ac:dyDescent="0.2">
      <c r="A16" s="20" t="s">
        <v>9</v>
      </c>
      <c r="C16" s="39">
        <f>1888-173-217+74.308-5.948-5.948</f>
        <v>1560.4119999999998</v>
      </c>
      <c r="D16" s="39"/>
      <c r="E16" s="12">
        <f t="shared" si="0"/>
        <v>156.04119999999998</v>
      </c>
      <c r="F16" s="39"/>
      <c r="G16" s="39">
        <f>173+5.948</f>
        <v>178.94800000000001</v>
      </c>
      <c r="H16" s="39"/>
      <c r="I16" s="39">
        <f>217+5.948</f>
        <v>222.94800000000001</v>
      </c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12">
        <f t="shared" si="1"/>
        <v>2470.2269192184217</v>
      </c>
      <c r="AL16" s="12"/>
      <c r="AM16" s="12">
        <f>'Orig ''02 Plan Net'!AK16</f>
        <v>2470.2269192184217</v>
      </c>
      <c r="AN16" s="12"/>
      <c r="AO16" s="12">
        <f t="shared" si="2"/>
        <v>0</v>
      </c>
      <c r="AP16"/>
      <c r="AQ16"/>
      <c r="AR16" s="12"/>
    </row>
    <row r="17" spans="1:44" x14ac:dyDescent="0.2">
      <c r="A17" s="20" t="s">
        <v>45</v>
      </c>
      <c r="C17" s="39"/>
      <c r="D17" s="39"/>
      <c r="E17" s="12">
        <f t="shared" si="0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2"/>
      <c r="AK17" s="12">
        <f t="shared" si="1"/>
        <v>0</v>
      </c>
      <c r="AL17" s="12"/>
      <c r="AM17" s="12">
        <f>'Orig ''02 Plan Net'!AK17</f>
        <v>0</v>
      </c>
      <c r="AN17" s="12"/>
      <c r="AO17" s="12">
        <f t="shared" si="2"/>
        <v>0</v>
      </c>
      <c r="AP17"/>
      <c r="AQ17"/>
      <c r="AR17" s="12"/>
    </row>
    <row r="18" spans="1:44" x14ac:dyDescent="0.2">
      <c r="A18" s="20" t="s">
        <v>11</v>
      </c>
      <c r="C18" s="39"/>
      <c r="D18" s="39"/>
      <c r="E18" s="12">
        <f t="shared" si="0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2"/>
      <c r="AK18" s="12">
        <f t="shared" si="1"/>
        <v>0</v>
      </c>
      <c r="AL18" s="12"/>
      <c r="AM18" s="12">
        <f>'Orig ''02 Plan Net'!AK18</f>
        <v>0</v>
      </c>
      <c r="AN18" s="12"/>
      <c r="AO18" s="12">
        <f t="shared" si="2"/>
        <v>0</v>
      </c>
      <c r="AP18"/>
      <c r="AQ18"/>
      <c r="AR18" s="12"/>
    </row>
    <row r="19" spans="1:44" x14ac:dyDescent="0.2">
      <c r="A19" s="20" t="s">
        <v>44</v>
      </c>
      <c r="C19" s="39">
        <f>226-7</f>
        <v>219</v>
      </c>
      <c r="D19" s="39"/>
      <c r="E19" s="12">
        <f t="shared" si="0"/>
        <v>21.9</v>
      </c>
      <c r="F19" s="39"/>
      <c r="G19" s="39">
        <v>0</v>
      </c>
      <c r="H19" s="39"/>
      <c r="I19" s="39">
        <v>7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2"/>
      <c r="AK19" s="12">
        <f t="shared" si="1"/>
        <v>0</v>
      </c>
      <c r="AL19" s="12"/>
      <c r="AM19" s="12">
        <f>'Orig ''02 Plan Net'!AK19</f>
        <v>0</v>
      </c>
      <c r="AN19" s="12"/>
      <c r="AO19" s="12">
        <f t="shared" si="2"/>
        <v>0</v>
      </c>
      <c r="AP19"/>
      <c r="AQ19"/>
      <c r="AR19" s="12"/>
    </row>
    <row r="20" spans="1:44" x14ac:dyDescent="0.2">
      <c r="A20" s="20" t="s">
        <v>12</v>
      </c>
      <c r="C20" s="39"/>
      <c r="D20" s="39"/>
      <c r="E20" s="12">
        <f t="shared" si="0"/>
        <v>0</v>
      </c>
      <c r="F20" s="39"/>
      <c r="G20" s="39"/>
      <c r="H20" s="39"/>
      <c r="I20" s="39"/>
      <c r="J20" s="12"/>
      <c r="K20" s="12"/>
      <c r="L20" s="12"/>
      <c r="M20" s="39"/>
      <c r="N20" s="39"/>
      <c r="O20" s="39"/>
      <c r="P20" s="39"/>
      <c r="Q20" s="39"/>
      <c r="R20" s="39"/>
      <c r="S20" s="39"/>
      <c r="T20" s="12"/>
      <c r="U20" s="12"/>
      <c r="V20" s="12"/>
      <c r="W20" s="39"/>
      <c r="X20" s="39"/>
      <c r="Y20" s="39"/>
      <c r="Z20" s="39"/>
      <c r="AA20" s="39"/>
      <c r="AB20" s="39"/>
      <c r="AC20" s="39"/>
      <c r="AD20" s="12"/>
      <c r="AE20" s="12"/>
      <c r="AF20" s="12"/>
      <c r="AG20" s="12"/>
      <c r="AH20" s="12"/>
      <c r="AI20" s="12"/>
      <c r="AJ20" s="12"/>
      <c r="AK20" s="12">
        <f t="shared" si="1"/>
        <v>0</v>
      </c>
      <c r="AL20" s="12"/>
      <c r="AM20" s="12">
        <f>'Orig ''02 Plan Net'!AK20</f>
        <v>0</v>
      </c>
      <c r="AN20" s="12"/>
      <c r="AO20" s="12">
        <f t="shared" si="2"/>
        <v>0</v>
      </c>
      <c r="AP20"/>
      <c r="AQ20"/>
      <c r="AR20" s="12"/>
    </row>
    <row r="21" spans="1:44" x14ac:dyDescent="0.2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f t="shared" si="1"/>
        <v>0</v>
      </c>
      <c r="AL21" s="12"/>
      <c r="AM21" s="12">
        <f>'Orig ''02 Plan Net'!AK21</f>
        <v>0</v>
      </c>
      <c r="AN21" s="12"/>
      <c r="AO21" s="12">
        <f t="shared" si="2"/>
        <v>0</v>
      </c>
      <c r="AP21"/>
      <c r="AQ21"/>
      <c r="AR21" s="12"/>
    </row>
    <row r="22" spans="1:44" x14ac:dyDescent="0.2">
      <c r="A22" s="20" t="s">
        <v>13</v>
      </c>
      <c r="C22" s="12"/>
      <c r="D22" s="12"/>
      <c r="E22" s="12">
        <f t="shared" si="0"/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"/>
        <v>0</v>
      </c>
      <c r="AL22" s="12"/>
      <c r="AM22" s="12">
        <f>'Orig ''02 Plan Net'!AK22</f>
        <v>0</v>
      </c>
      <c r="AN22" s="12"/>
      <c r="AO22" s="12">
        <f t="shared" si="2"/>
        <v>0</v>
      </c>
      <c r="AP22"/>
      <c r="AQ22"/>
      <c r="AR22" s="12"/>
    </row>
    <row r="23" spans="1:4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/>
      <c r="AQ23"/>
      <c r="AR23" s="12"/>
    </row>
    <row r="24" spans="1:44" ht="13.5" thickBot="1" x14ac:dyDescent="0.25">
      <c r="A24" s="20" t="s">
        <v>32</v>
      </c>
      <c r="C24" s="16">
        <f>SUM(C13:C23)</f>
        <v>8346.9050000000007</v>
      </c>
      <c r="D24" s="12"/>
      <c r="E24" s="16">
        <f>SUM(E13:E23)</f>
        <v>834.69049999999993</v>
      </c>
      <c r="F24" s="14"/>
      <c r="G24" s="16">
        <f>SUM(G13:G23)</f>
        <v>1072.6420000000001</v>
      </c>
      <c r="H24" s="14"/>
      <c r="I24" s="16">
        <f>SUM(I13:I23)</f>
        <v>1200.6420000000001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6">
        <f>(W24-M24)/M24</f>
        <v>-2.0622190887459108E-2</v>
      </c>
      <c r="AH24" s="12"/>
      <c r="AI24" s="16">
        <f>SUM(AI13:AI23)</f>
        <v>898.63400000000001</v>
      </c>
      <c r="AJ24" s="12"/>
      <c r="AK24" s="16">
        <f>SUM(AK13:AK23)</f>
        <v>10924.226266664276</v>
      </c>
      <c r="AL24" s="12"/>
      <c r="AM24" s="16">
        <f>'Orig ''02 Plan Net'!AK24</f>
        <v>10924.226266664276</v>
      </c>
      <c r="AN24" s="12"/>
      <c r="AO24" s="16">
        <f>SUM(AO13:AO23)</f>
        <v>0</v>
      </c>
      <c r="AP24"/>
      <c r="AQ24"/>
      <c r="AR24" s="12"/>
    </row>
    <row r="25" spans="1:44" ht="25.5" customHeight="1" thickTop="1" x14ac:dyDescent="0.2">
      <c r="A25" s="20"/>
      <c r="AE25" s="22"/>
      <c r="AP25"/>
      <c r="AQ25"/>
    </row>
    <row r="26" spans="1:44" x14ac:dyDescent="0.2">
      <c r="A26" s="20" t="s">
        <v>39</v>
      </c>
      <c r="B26"/>
      <c r="C26"/>
      <c r="D26"/>
      <c r="E26"/>
      <c r="F26"/>
      <c r="G26"/>
      <c r="H26"/>
      <c r="I26"/>
      <c r="J26"/>
      <c r="K26" s="21">
        <f>'Orig ''02 Plan Net'!K24</f>
        <v>896.05</v>
      </c>
      <c r="L26" s="37"/>
      <c r="M26" s="21">
        <f>'Orig ''02 Plan Net'!M24</f>
        <v>930.45399999999995</v>
      </c>
      <c r="N26" s="37"/>
      <c r="O26" s="21">
        <f>'Orig ''02 Plan Net'!O24</f>
        <v>913.745</v>
      </c>
      <c r="P26" s="37"/>
      <c r="Q26" s="21">
        <f>'Orig ''02 Plan Net'!Q24</f>
        <v>908.91899999999998</v>
      </c>
      <c r="R26" s="37"/>
      <c r="S26" s="21">
        <f>'Orig ''02 Plan Net'!S24</f>
        <v>909.29100000000005</v>
      </c>
      <c r="T26" s="37"/>
      <c r="U26" s="21">
        <f>'Orig ''02 Plan Net'!U24</f>
        <v>912.69299999999998</v>
      </c>
      <c r="V26" s="37"/>
      <c r="W26" s="21">
        <f>'Orig ''02 Plan Net'!W24</f>
        <v>911.26600000000008</v>
      </c>
      <c r="X26" s="37"/>
      <c r="Y26" s="21">
        <f>'Orig ''02 Plan Net'!Y24</f>
        <v>910.30899999999997</v>
      </c>
      <c r="Z26" s="37"/>
      <c r="AA26" s="21">
        <f>'Orig ''02 Plan Net'!AA24</f>
        <v>911.44999999999982</v>
      </c>
      <c r="AB26" s="37"/>
      <c r="AC26" s="21">
        <f>'Orig ''02 Plan Net'!AC24</f>
        <v>910.46</v>
      </c>
      <c r="AD26" s="37"/>
      <c r="AE26" s="21">
        <f>'Orig ''02 Plan Net'!AE24</f>
        <v>911.14800000000014</v>
      </c>
      <c r="AF26" s="37"/>
      <c r="AG26" s="37"/>
      <c r="AH26" s="37"/>
      <c r="AI26" s="21">
        <f>'Orig ''02 Plan Net'!AI24</f>
        <v>898.63400000000001</v>
      </c>
      <c r="AJ26" s="38"/>
      <c r="AK26" s="38"/>
      <c r="AL26" s="38"/>
      <c r="AM26" s="39"/>
      <c r="AP26"/>
      <c r="AQ26"/>
      <c r="AR26" s="39"/>
    </row>
    <row r="27" spans="1:4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">
      <c r="A50" s="18" t="str">
        <f ca="1">CELL("filename")</f>
        <v>C:\Users\Felienne\Enron\EnronSpreadsheets\[tracy_geaccone__40442__OM EST - OSS - 2001 - 2002 REVISED FORMAT.xls]Orig '02 Plan 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">
      <c r="A51" s="19">
        <f ca="1">NOW()</f>
        <v>41886.681212615738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workbookViewId="0">
      <selection activeCell="AJ28" sqref="AJ28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5" customWidth="1"/>
    <col min="4" max="4" width="1.7109375" style="25" customWidth="1"/>
    <col min="5" max="5" width="6.7109375" style="25" customWidth="1"/>
    <col min="6" max="6" width="3.7109375" style="25" customWidth="1"/>
    <col min="7" max="7" width="6.7109375" style="25" customWidth="1"/>
    <col min="8" max="8" width="1.7109375" style="25" customWidth="1"/>
    <col min="9" max="9" width="6.7109375" style="25" customWidth="1"/>
    <col min="10" max="10" width="1.7109375" style="2" customWidth="1"/>
    <col min="11" max="11" width="10.7109375" style="2" customWidth="1"/>
    <col min="12" max="12" width="1.7109375" style="2" customWidth="1"/>
    <col min="13" max="13" width="10.14062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43" max="16384" width="9.140625" style="2"/>
  </cols>
  <sheetData>
    <row r="1" spans="1:37" ht="15.75" x14ac:dyDescent="0.25">
      <c r="A1" s="1" t="s">
        <v>36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16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43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35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27"/>
      <c r="O9" s="6"/>
      <c r="Y9" s="6"/>
    </row>
    <row r="10" spans="1:37" x14ac:dyDescent="0.2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37</v>
      </c>
    </row>
    <row r="13" spans="1:37" x14ac:dyDescent="0.2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1"/>
      <c r="AK13" s="33">
        <f t="shared" ref="AK13:AK22" si="0">SUM(K13:AI13)</f>
        <v>5940.2732992647716</v>
      </c>
    </row>
    <row r="14" spans="1:37" x14ac:dyDescent="0.2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1"/>
      <c r="AK14" s="33">
        <f t="shared" si="0"/>
        <v>919.51942541436483</v>
      </c>
    </row>
    <row r="15" spans="1:37" x14ac:dyDescent="0.2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1"/>
      <c r="AK15" s="33">
        <f t="shared" si="0"/>
        <v>2942.4346227667179</v>
      </c>
    </row>
    <row r="16" spans="1:37" x14ac:dyDescent="0.2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40"/>
      <c r="AK16" s="33">
        <f t="shared" si="0"/>
        <v>2435.5306625904809</v>
      </c>
    </row>
    <row r="17" spans="1:37" x14ac:dyDescent="0.2">
      <c r="A17" s="20" t="s">
        <v>45</v>
      </c>
      <c r="C17" s="28"/>
      <c r="D17" s="28"/>
      <c r="E17" s="32"/>
      <c r="F17" s="28"/>
      <c r="G17" s="28"/>
      <c r="H17" s="28"/>
      <c r="I17" s="28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40"/>
      <c r="AK17" s="33">
        <f t="shared" si="0"/>
        <v>0</v>
      </c>
    </row>
    <row r="18" spans="1:37" x14ac:dyDescent="0.2">
      <c r="A18" s="20" t="s">
        <v>11</v>
      </c>
      <c r="C18" s="28"/>
      <c r="D18" s="28"/>
      <c r="E18" s="32"/>
      <c r="F18" s="28"/>
      <c r="G18" s="28"/>
      <c r="H18" s="28"/>
      <c r="I18" s="28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40"/>
      <c r="AK18" s="33">
        <f t="shared" si="0"/>
        <v>0</v>
      </c>
    </row>
    <row r="19" spans="1:37" x14ac:dyDescent="0.2">
      <c r="A19" s="20" t="s">
        <v>44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40"/>
      <c r="AK19" s="33">
        <f t="shared" si="0"/>
        <v>0</v>
      </c>
    </row>
    <row r="20" spans="1:37" x14ac:dyDescent="0.2">
      <c r="A20" s="20" t="s">
        <v>12</v>
      </c>
      <c r="C20" s="28"/>
      <c r="D20" s="28"/>
      <c r="E20" s="32"/>
      <c r="F20" s="28"/>
      <c r="G20" s="28"/>
      <c r="H20" s="28"/>
      <c r="I20" s="28"/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40"/>
      <c r="AK20" s="33">
        <f t="shared" si="0"/>
        <v>3753.5479999999993</v>
      </c>
    </row>
    <row r="21" spans="1:37" x14ac:dyDescent="0.2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13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5" thickBot="1" x14ac:dyDescent="0.25">
      <c r="A24" s="20" t="s">
        <v>32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7">
        <f>(W24-M24)/M24</f>
        <v>-1.5151548855477622E-2</v>
      </c>
      <c r="AI24" s="16">
        <f>SUM(AI13:AI23)</f>
        <v>1321.279</v>
      </c>
      <c r="AK24" s="16">
        <f>SUM(AK13:AK23)</f>
        <v>15991.306010036335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">
      <c r="A27" t="s">
        <v>14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">
      <c r="A28" t="s">
        <v>46</v>
      </c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 s="18" t="str">
        <f ca="1">CELL("filename")</f>
        <v>C:\Users\Felienne\Enron\EnronSpreadsheets\[tracy_geaccone__40442__OM EST - OSS - 2001 - 2002 REVISED FORMAT.xls]Orig '02 Plan Net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">
      <c r="A48" s="19">
        <f ca="1">NOW()</f>
        <v>41886.681212615738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tabSelected="1" workbookViewId="0">
      <selection activeCell="A18" sqref="A18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" customWidth="1"/>
    <col min="4" max="4" width="1.7109375" style="2" customWidth="1"/>
    <col min="5" max="5" width="6.7109375" style="2" customWidth="1"/>
    <col min="6" max="6" width="3.7109375" style="2" customWidth="1"/>
    <col min="7" max="7" width="6.7109375" style="2" customWidth="1"/>
    <col min="8" max="8" width="1.7109375" style="2" customWidth="1"/>
    <col min="9" max="9" width="6.7109375" style="2" customWidth="1"/>
    <col min="10" max="10" width="1.7109375" style="2" customWidth="1"/>
    <col min="11" max="11" width="6.7109375" style="2" customWidth="1"/>
    <col min="12" max="12" width="1.7109375" style="2" customWidth="1"/>
    <col min="13" max="13" width="6.7109375" style="2" customWidth="1"/>
    <col min="14" max="14" width="1.7109375" style="2" customWidth="1"/>
    <col min="15" max="15" width="6.7109375" style="2" customWidth="1"/>
    <col min="16" max="16" width="1.7109375" style="2" customWidth="1"/>
    <col min="17" max="17" width="6.7109375" style="2" customWidth="1"/>
    <col min="18" max="18" width="1.7109375" style="2" customWidth="1"/>
    <col min="19" max="19" width="6.7109375" style="2" customWidth="1"/>
    <col min="20" max="20" width="1.7109375" style="2" customWidth="1"/>
    <col min="21" max="21" width="6.7109375" style="2" customWidth="1"/>
    <col min="22" max="22" width="1.7109375" style="2" customWidth="1"/>
    <col min="23" max="23" width="6.7109375" style="2" customWidth="1"/>
    <col min="24" max="24" width="1.7109375" style="2" customWidth="1"/>
    <col min="25" max="25" width="6.7109375" style="2" customWidth="1"/>
    <col min="26" max="26" width="1.7109375" style="2" customWidth="1"/>
    <col min="27" max="27" width="6.7109375" style="2" customWidth="1"/>
    <col min="28" max="28" width="1.7109375" style="2" customWidth="1"/>
    <col min="29" max="29" width="6.7109375" style="2" customWidth="1"/>
    <col min="30" max="30" width="1.7109375" style="2" customWidth="1"/>
    <col min="31" max="31" width="6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6.7109375" style="2" customWidth="1"/>
    <col min="36" max="36" width="1.7109375" style="2" customWidth="1"/>
    <col min="37" max="37" width="10.7109375" style="2" customWidth="1"/>
    <col min="38" max="16384" width="9.140625" style="2"/>
  </cols>
  <sheetData>
    <row r="1" spans="1:37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6"/>
      <c r="O9" s="6"/>
      <c r="Y9" s="6"/>
    </row>
    <row r="10" spans="1:37" x14ac:dyDescent="0.2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37</v>
      </c>
    </row>
    <row r="13" spans="1:37" x14ac:dyDescent="0.2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33">
        <f t="shared" ref="AK13:AK22" si="0">SUM(K13:AI13)</f>
        <v>5057.3812992647727</v>
      </c>
    </row>
    <row r="14" spans="1:37" x14ac:dyDescent="0.2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33">
        <f t="shared" si="0"/>
        <v>1141.8194254143648</v>
      </c>
    </row>
    <row r="15" spans="1:37" x14ac:dyDescent="0.2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33">
        <f t="shared" si="0"/>
        <v>2254.7986227667179</v>
      </c>
    </row>
    <row r="16" spans="1:37" x14ac:dyDescent="0.2">
      <c r="A16" s="20" t="s">
        <v>9</v>
      </c>
      <c r="C16"/>
      <c r="D16"/>
      <c r="E16" s="12"/>
      <c r="F16"/>
      <c r="G16"/>
      <c r="H16"/>
      <c r="I16"/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33">
        <f t="shared" si="0"/>
        <v>2470.2269192184217</v>
      </c>
    </row>
    <row r="17" spans="1:37" x14ac:dyDescent="0.2">
      <c r="A17" s="20" t="s">
        <v>45</v>
      </c>
      <c r="C17"/>
      <c r="D17"/>
      <c r="E17" s="12"/>
      <c r="F17"/>
      <c r="G17"/>
      <c r="H17"/>
      <c r="I17"/>
      <c r="J17" s="12"/>
      <c r="K17" s="12"/>
      <c r="M17"/>
      <c r="N17"/>
      <c r="O17"/>
      <c r="P17"/>
      <c r="Q17"/>
      <c r="R17"/>
      <c r="S17"/>
      <c r="T17" s="12"/>
      <c r="U17" s="12"/>
      <c r="V17" s="12"/>
      <c r="W17"/>
      <c r="X17"/>
      <c r="Y17"/>
      <c r="Z17"/>
      <c r="AA17"/>
      <c r="AB17"/>
      <c r="AC17"/>
      <c r="AD17" s="12"/>
      <c r="AE17" s="12"/>
      <c r="AG17" s="13"/>
      <c r="AI17" s="13"/>
      <c r="AJ17" s="12"/>
      <c r="AK17" s="33">
        <f t="shared" si="0"/>
        <v>0</v>
      </c>
    </row>
    <row r="18" spans="1:37" x14ac:dyDescent="0.2">
      <c r="A18" s="20" t="s">
        <v>11</v>
      </c>
      <c r="C18"/>
      <c r="D18"/>
      <c r="E18" s="12"/>
      <c r="F18"/>
      <c r="G18"/>
      <c r="H18"/>
      <c r="I18"/>
      <c r="J18" s="12"/>
      <c r="K18" s="12"/>
      <c r="M18"/>
      <c r="N18"/>
      <c r="O18"/>
      <c r="P18"/>
      <c r="Q18"/>
      <c r="R18"/>
      <c r="S18"/>
      <c r="T18" s="12"/>
      <c r="U18" s="12"/>
      <c r="V18" s="12"/>
      <c r="W18"/>
      <c r="X18"/>
      <c r="Y18"/>
      <c r="Z18"/>
      <c r="AA18"/>
      <c r="AB18"/>
      <c r="AC18"/>
      <c r="AD18" s="12"/>
      <c r="AE18" s="12"/>
      <c r="AG18" s="13"/>
      <c r="AI18" s="13"/>
      <c r="AJ18" s="13"/>
      <c r="AK18" s="33">
        <f t="shared" si="0"/>
        <v>0</v>
      </c>
    </row>
    <row r="19" spans="1:37" x14ac:dyDescent="0.2">
      <c r="A19" s="20" t="s">
        <v>44</v>
      </c>
      <c r="C19"/>
      <c r="D19"/>
      <c r="E19" s="12"/>
      <c r="F19"/>
      <c r="G19"/>
      <c r="H19"/>
      <c r="I19"/>
      <c r="J19" s="12"/>
      <c r="K19" s="12"/>
      <c r="M19"/>
      <c r="N19"/>
      <c r="O19"/>
      <c r="P19"/>
      <c r="Q19"/>
      <c r="R19"/>
      <c r="S19"/>
      <c r="T19" s="12"/>
      <c r="U19" s="12"/>
      <c r="V19" s="12"/>
      <c r="W19"/>
      <c r="X19"/>
      <c r="Y19"/>
      <c r="Z19"/>
      <c r="AA19"/>
      <c r="AB19"/>
      <c r="AC19"/>
      <c r="AD19" s="12"/>
      <c r="AE19" s="12"/>
      <c r="AG19" s="13"/>
      <c r="AI19" s="13"/>
      <c r="AJ19" s="13"/>
      <c r="AK19" s="33">
        <f t="shared" si="0"/>
        <v>0</v>
      </c>
    </row>
    <row r="20" spans="1:37" x14ac:dyDescent="0.2">
      <c r="A20" s="20" t="s">
        <v>12</v>
      </c>
      <c r="C20"/>
      <c r="D20"/>
      <c r="E20" s="12"/>
      <c r="F20"/>
      <c r="G20"/>
      <c r="H20"/>
      <c r="I20"/>
      <c r="J20" s="12"/>
      <c r="K20" s="12"/>
      <c r="M20"/>
      <c r="N20"/>
      <c r="O20"/>
      <c r="P20"/>
      <c r="Q20"/>
      <c r="R20"/>
      <c r="S20"/>
      <c r="T20" s="12"/>
      <c r="U20" s="12"/>
      <c r="V20" s="12"/>
      <c r="W20"/>
      <c r="X20"/>
      <c r="Y20"/>
      <c r="Z20"/>
      <c r="AA20"/>
      <c r="AB20"/>
      <c r="AC20"/>
      <c r="AD20" s="12"/>
      <c r="AE20" s="12"/>
      <c r="AG20" s="13"/>
      <c r="AI20" s="13"/>
      <c r="AJ20" s="13"/>
      <c r="AK20" s="33">
        <f t="shared" si="0"/>
        <v>0</v>
      </c>
    </row>
    <row r="21" spans="1:37" x14ac:dyDescent="0.2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13</v>
      </c>
      <c r="C22" s="12"/>
      <c r="D22" s="12"/>
      <c r="E22" s="12"/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5" thickBot="1" x14ac:dyDescent="0.25">
      <c r="A24" s="20" t="s">
        <v>32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7">
        <f>(W24-M24)/M24</f>
        <v>-2.0622190887459108E-2</v>
      </c>
      <c r="AI24" s="16">
        <f>SUM(AI13:AI23)</f>
        <v>898.63400000000001</v>
      </c>
      <c r="AJ24" s="14"/>
      <c r="AK24" s="16">
        <f>SUM(AK13:AK23)</f>
        <v>10924.226266664276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">
      <c r="A27" t="s">
        <v>14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">
      <c r="A28" t="s">
        <v>46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 s="20" t="s">
        <v>47</v>
      </c>
    </row>
    <row r="29" spans="1:37" x14ac:dyDescent="0.2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 s="20" t="s">
        <v>47</v>
      </c>
    </row>
    <row r="30" spans="1:3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">
      <c r="A47" s="18" t="str">
        <f ca="1">CELL("filename")</f>
        <v>C:\Users\Felienne\Enron\EnronSpreadsheets\[tracy_geaccone__40442__OM EST - OSS - 2001 - 2002 REVISED FORMAT.xls]Orig '02 Plan Net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">
      <c r="A48" s="19">
        <f ca="1">NOW()</f>
        <v>41886.681212615738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2001-11-26T19:23:09Z</cp:lastPrinted>
  <dcterms:created xsi:type="dcterms:W3CDTF">2001-07-19T21:53:52Z</dcterms:created>
  <dcterms:modified xsi:type="dcterms:W3CDTF">2014-09-04T14:20:56Z</dcterms:modified>
</cp:coreProperties>
</file>