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05" windowHeight="8715" tabRatio="590"/>
  </bookViews>
  <sheets>
    <sheet name="Model_source_data" sheetId="15" r:id="rId1"/>
    <sheet name="Forecast01" sheetId="1" r:id="rId2"/>
    <sheet name="Lay" sheetId="2" r:id="rId3"/>
    <sheet name="Fuel Calc" sheetId="13" r:id="rId4"/>
    <sheet name="2000 2ce compare" sheetId="12" r:id="rId5"/>
    <sheet name="Detail" sheetId="4" r:id="rId6"/>
    <sheet name="IT Study" sheetId="5" r:id="rId7"/>
    <sheet name="load factor study" sheetId="6" r:id="rId8"/>
    <sheet name="Terminations" sheetId="7" r:id="rId9"/>
    <sheet name="Resubscriptions" sheetId="10" r:id="rId10"/>
    <sheet name="Stretch" sheetId="9" r:id="rId11"/>
    <sheet name="Capital" sheetId="11" r:id="rId12"/>
    <sheet name="Rolling Schedules" sheetId="8" r:id="rId13"/>
  </sheets>
  <externalReferences>
    <externalReference r:id="rId14"/>
    <externalReference r:id="rId15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Forecast01!$A$296:$U$309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Forecast01!$A$118:$U$184</definedName>
    <definedName name="_xlnm.Print_Area" localSheetId="5">Detail!$A$9:$AE$634</definedName>
    <definedName name="_xlnm.Print_Area" localSheetId="1">Forecast01!$A$1:$S$401</definedName>
    <definedName name="_xlnm.Print_Area" localSheetId="2">Lay!$A$1:$T$19</definedName>
    <definedName name="_xlnm.Print_Area" localSheetId="7">'load factor study'!$A$6:$N$218</definedName>
    <definedName name="_xlnm.Print_Area" localSheetId="9">Resubscriptions!$A$6:$AA$39</definedName>
    <definedName name="_xlnm.Print_Area" localSheetId="12">'Rolling Schedules'!$A$6:$X$84</definedName>
    <definedName name="_xlnm.Print_Area" localSheetId="10">Stretch!$A$6:$X$58</definedName>
    <definedName name="_xlnm.Print_Area" localSheetId="8">Terminations!$A$7:$X$40</definedName>
    <definedName name="_xlnm.Print_Titles" localSheetId="5">Detail!$2:$7</definedName>
    <definedName name="_xlnm.Print_Titles" localSheetId="1">Forecast01!$1:$10</definedName>
    <definedName name="_xlnm.Print_Titles" localSheetId="3">'Fuel Calc'!$1:$8</definedName>
    <definedName name="_xlnm.Print_Titles" localSheetId="7">'load factor study'!$1:$4</definedName>
    <definedName name="_xlnm.Print_Titles" localSheetId="12">'Rolling Schedules'!$1:$6</definedName>
    <definedName name="R_ACT95">#REF!</definedName>
    <definedName name="RATES_ACT95">#REF!</definedName>
    <definedName name="REVENUE_PLAN97_A">Forecast01!$A$185:$U$295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Forecast01!$A$1:$N$382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Forecast01!$A$3:$S$295</definedName>
    <definedName name="VAR_ACT95">#REF!</definedName>
    <definedName name="VOLUME_CE">#REF!</definedName>
    <definedName name="VOLUME_EST">#REF!</definedName>
    <definedName name="VOLUME_PLAN">#REF!</definedName>
    <definedName name="VOLUME_PLAN97_A">Forecast01!$A$3:$U$115</definedName>
  </definedNames>
  <calcPr calcId="152511" fullCalcOnLoad="1"/>
</workbook>
</file>

<file path=xl/calcChain.xml><?xml version="1.0" encoding="utf-8"?>
<calcChain xmlns="http://schemas.openxmlformats.org/spreadsheetml/2006/main">
  <c r="D258" i="12" l="1"/>
  <c r="D259" i="12"/>
  <c r="T11" i="11"/>
  <c r="U11" i="11"/>
  <c r="W11" i="11" s="1"/>
  <c r="W20" i="11" s="1"/>
  <c r="V11" i="11"/>
  <c r="N9" i="4"/>
  <c r="N10" i="4"/>
  <c r="O10" i="4"/>
  <c r="O33" i="4" s="1"/>
  <c r="P10" i="4"/>
  <c r="Q10" i="4"/>
  <c r="Q33" i="4" s="1"/>
  <c r="R10" i="4"/>
  <c r="S10" i="4"/>
  <c r="S33" i="4" s="1"/>
  <c r="S78" i="4" s="1"/>
  <c r="S55" i="4" s="1"/>
  <c r="T10" i="4"/>
  <c r="T33" i="4" s="1"/>
  <c r="U10" i="4"/>
  <c r="V10" i="4"/>
  <c r="W10" i="4"/>
  <c r="W33" i="4" s="1"/>
  <c r="N11" i="4"/>
  <c r="O11" i="4"/>
  <c r="P11" i="4"/>
  <c r="X11" i="4"/>
  <c r="Y11" i="4"/>
  <c r="N12" i="4"/>
  <c r="O12" i="4"/>
  <c r="P12" i="4"/>
  <c r="Q12" i="4"/>
  <c r="R12" i="4"/>
  <c r="S12" i="4"/>
  <c r="T12" i="4"/>
  <c r="U12" i="4"/>
  <c r="V12" i="4"/>
  <c r="W12" i="4"/>
  <c r="X12" i="4"/>
  <c r="Y12" i="4"/>
  <c r="N13" i="4"/>
  <c r="N36" i="4" s="1"/>
  <c r="O13" i="4"/>
  <c r="P13" i="4"/>
  <c r="Q13" i="4"/>
  <c r="R13" i="4"/>
  <c r="S13" i="4"/>
  <c r="T13" i="4"/>
  <c r="U13" i="4"/>
  <c r="V13" i="4"/>
  <c r="V36" i="4" s="1"/>
  <c r="W13" i="4"/>
  <c r="X13" i="4"/>
  <c r="Y13" i="4"/>
  <c r="N14" i="4"/>
  <c r="O14" i="4"/>
  <c r="P14" i="4"/>
  <c r="P37" i="4" s="1"/>
  <c r="P82" i="4" s="1"/>
  <c r="P59" i="4" s="1"/>
  <c r="Q14" i="4"/>
  <c r="R14" i="4"/>
  <c r="R37" i="4" s="1"/>
  <c r="S14" i="4"/>
  <c r="T14" i="4"/>
  <c r="U14" i="4"/>
  <c r="V14" i="4"/>
  <c r="W14" i="4"/>
  <c r="X14" i="4"/>
  <c r="Y14" i="4"/>
  <c r="O15" i="4"/>
  <c r="O38" i="4" s="1"/>
  <c r="P15" i="4"/>
  <c r="Q15" i="4"/>
  <c r="R15" i="4"/>
  <c r="S15" i="4"/>
  <c r="T15" i="4"/>
  <c r="U15" i="4"/>
  <c r="U38" i="4" s="1"/>
  <c r="V15" i="4"/>
  <c r="W15" i="4"/>
  <c r="W38" i="4" s="1"/>
  <c r="X15" i="4"/>
  <c r="Y15" i="4"/>
  <c r="N16" i="4"/>
  <c r="O16" i="4"/>
  <c r="P16" i="4"/>
  <c r="Q16" i="4"/>
  <c r="R16" i="4"/>
  <c r="S16" i="4"/>
  <c r="T16" i="4"/>
  <c r="U16" i="4"/>
  <c r="V16" i="4"/>
  <c r="W16" i="4"/>
  <c r="X16" i="4"/>
  <c r="X39" i="4" s="1"/>
  <c r="X84" i="4" s="1"/>
  <c r="Y16" i="4"/>
  <c r="Y39" i="4" s="1"/>
  <c r="Y84" i="4" s="1"/>
  <c r="N17" i="4"/>
  <c r="O17" i="4"/>
  <c r="P17" i="4"/>
  <c r="N18" i="4"/>
  <c r="O18" i="4"/>
  <c r="P18" i="4"/>
  <c r="Q18" i="4"/>
  <c r="R18" i="4"/>
  <c r="S18" i="4"/>
  <c r="S41" i="4" s="1"/>
  <c r="T18" i="4"/>
  <c r="T41" i="4" s="1"/>
  <c r="U18" i="4"/>
  <c r="V18" i="4"/>
  <c r="W18" i="4"/>
  <c r="X18" i="4"/>
  <c r="Y18" i="4"/>
  <c r="Q19" i="4"/>
  <c r="R19" i="4"/>
  <c r="R42" i="4" s="1"/>
  <c r="S19" i="4"/>
  <c r="S42" i="4" s="1"/>
  <c r="T19" i="4"/>
  <c r="U19" i="4"/>
  <c r="V19" i="4"/>
  <c r="W19" i="4"/>
  <c r="X19" i="4"/>
  <c r="Y19" i="4"/>
  <c r="Y65" i="4" s="1"/>
  <c r="Q20" i="4"/>
  <c r="Q43" i="4" s="1"/>
  <c r="R20" i="4"/>
  <c r="R43" i="4" s="1"/>
  <c r="S20" i="4"/>
  <c r="T20" i="4"/>
  <c r="U20" i="4"/>
  <c r="V20" i="4"/>
  <c r="W20" i="4"/>
  <c r="N21" i="4"/>
  <c r="O21" i="4"/>
  <c r="O44" i="4" s="1"/>
  <c r="P21" i="4"/>
  <c r="P44" i="4" s="1"/>
  <c r="Q21" i="4"/>
  <c r="R21" i="4"/>
  <c r="S21" i="4"/>
  <c r="T21" i="4"/>
  <c r="U21" i="4"/>
  <c r="V21" i="4"/>
  <c r="W21" i="4"/>
  <c r="W44" i="4" s="1"/>
  <c r="X21" i="4"/>
  <c r="X44" i="4" s="1"/>
  <c r="Y21" i="4"/>
  <c r="X22" i="4"/>
  <c r="Y22" i="4"/>
  <c r="P23" i="4"/>
  <c r="P46" i="4" s="1"/>
  <c r="X24" i="4"/>
  <c r="Y24" i="4"/>
  <c r="X25" i="4"/>
  <c r="Y26" i="4"/>
  <c r="I28" i="4"/>
  <c r="O28" i="4"/>
  <c r="R28" i="4"/>
  <c r="N31" i="4"/>
  <c r="O31" i="4"/>
  <c r="P31" i="4"/>
  <c r="Q31" i="4"/>
  <c r="R31" i="4"/>
  <c r="S31" i="4"/>
  <c r="T31" i="4"/>
  <c r="U31" i="4"/>
  <c r="V31" i="4"/>
  <c r="W31" i="4"/>
  <c r="X31" i="4"/>
  <c r="Y31" i="4"/>
  <c r="R32" i="4"/>
  <c r="V32" i="4"/>
  <c r="V77" i="4" s="1"/>
  <c r="P33" i="4"/>
  <c r="R33" i="4"/>
  <c r="U33" i="4"/>
  <c r="U78" i="4" s="1"/>
  <c r="U55" i="4" s="1"/>
  <c r="X33" i="4"/>
  <c r="Y33" i="4"/>
  <c r="N34" i="4"/>
  <c r="N79" i="4" s="1"/>
  <c r="P34" i="4"/>
  <c r="X34" i="4"/>
  <c r="Y34" i="4"/>
  <c r="N35" i="4"/>
  <c r="N80" i="4" s="1"/>
  <c r="Q35" i="4"/>
  <c r="S35" i="4"/>
  <c r="T35" i="4"/>
  <c r="T80" i="4" s="1"/>
  <c r="U35" i="4"/>
  <c r="U80" i="4" s="1"/>
  <c r="V35" i="4"/>
  <c r="Y35" i="4"/>
  <c r="Y87" i="4" s="1"/>
  <c r="Y64" i="4" s="1"/>
  <c r="O36" i="4"/>
  <c r="P36" i="4"/>
  <c r="Q36" i="4"/>
  <c r="R36" i="4"/>
  <c r="R81" i="4" s="1"/>
  <c r="U36" i="4"/>
  <c r="W36" i="4"/>
  <c r="X36" i="4"/>
  <c r="Y36" i="4"/>
  <c r="N37" i="4"/>
  <c r="Q37" i="4"/>
  <c r="S37" i="4"/>
  <c r="T37" i="4"/>
  <c r="U37" i="4"/>
  <c r="V37" i="4"/>
  <c r="V82" i="4" s="1"/>
  <c r="Y37" i="4"/>
  <c r="P38" i="4"/>
  <c r="Q38" i="4"/>
  <c r="R38" i="4"/>
  <c r="R83" i="4" s="1"/>
  <c r="R60" i="4" s="1"/>
  <c r="S38" i="4"/>
  <c r="V38" i="4"/>
  <c r="V83" i="4" s="1"/>
  <c r="X38" i="4"/>
  <c r="Y38" i="4"/>
  <c r="N39" i="4"/>
  <c r="O39" i="4"/>
  <c r="P39" i="4"/>
  <c r="P84" i="4" s="1"/>
  <c r="R39" i="4"/>
  <c r="T39" i="4"/>
  <c r="U39" i="4"/>
  <c r="U84" i="4" s="1"/>
  <c r="U61" i="4" s="1"/>
  <c r="V39" i="4"/>
  <c r="W39" i="4"/>
  <c r="N40" i="4"/>
  <c r="N85" i="4" s="1"/>
  <c r="P40" i="4"/>
  <c r="Q40" i="4"/>
  <c r="R40" i="4"/>
  <c r="S40" i="4"/>
  <c r="S85" i="4" s="1"/>
  <c r="T40" i="4"/>
  <c r="U40" i="4"/>
  <c r="V40" i="4"/>
  <c r="W40" i="4"/>
  <c r="X40" i="4"/>
  <c r="Y40" i="4"/>
  <c r="N41" i="4"/>
  <c r="O41" i="4"/>
  <c r="P41" i="4"/>
  <c r="P86" i="4" s="1"/>
  <c r="P63" i="4" s="1"/>
  <c r="U41" i="4"/>
  <c r="V41" i="4"/>
  <c r="W41" i="4"/>
  <c r="X41" i="4"/>
  <c r="T42" i="4"/>
  <c r="T88" i="4" s="1"/>
  <c r="T65" i="4" s="1"/>
  <c r="U42" i="4"/>
  <c r="U88" i="4" s="1"/>
  <c r="U65" i="4" s="1"/>
  <c r="V42" i="4"/>
  <c r="W42" i="4"/>
  <c r="Y42" i="4"/>
  <c r="Y88" i="4" s="1"/>
  <c r="S43" i="4"/>
  <c r="S89" i="4" s="1"/>
  <c r="S66" i="4" s="1"/>
  <c r="T43" i="4"/>
  <c r="U43" i="4"/>
  <c r="V43" i="4"/>
  <c r="V89" i="4" s="1"/>
  <c r="V66" i="4" s="1"/>
  <c r="N44" i="4"/>
  <c r="Q44" i="4"/>
  <c r="R44" i="4"/>
  <c r="S44" i="4"/>
  <c r="S90" i="4" s="1"/>
  <c r="S67" i="4" s="1"/>
  <c r="T44" i="4"/>
  <c r="Y44" i="4"/>
  <c r="X45" i="4"/>
  <c r="X91" i="4" s="1"/>
  <c r="Y45" i="4"/>
  <c r="Y91" i="4" s="1"/>
  <c r="Y68" i="4" s="1"/>
  <c r="X48" i="4"/>
  <c r="Y49" i="4"/>
  <c r="I51" i="4"/>
  <c r="S54" i="4"/>
  <c r="T54" i="4"/>
  <c r="R55" i="4"/>
  <c r="T55" i="4"/>
  <c r="X55" i="4"/>
  <c r="Y55" i="4"/>
  <c r="P56" i="4"/>
  <c r="N57" i="4"/>
  <c r="Q57" i="4"/>
  <c r="S57" i="4"/>
  <c r="V57" i="4"/>
  <c r="K58" i="4"/>
  <c r="Q58" i="4"/>
  <c r="S58" i="4"/>
  <c r="V58" i="4"/>
  <c r="X58" i="4"/>
  <c r="O60" i="4"/>
  <c r="V60" i="4"/>
  <c r="T61" i="4"/>
  <c r="X61" i="4"/>
  <c r="Y61" i="4"/>
  <c r="S62" i="4"/>
  <c r="V62" i="4"/>
  <c r="X62" i="4"/>
  <c r="U63" i="4"/>
  <c r="X63" i="4"/>
  <c r="Q66" i="4"/>
  <c r="T66" i="4"/>
  <c r="P67" i="4"/>
  <c r="Q67" i="4"/>
  <c r="X68" i="4"/>
  <c r="X70" i="4"/>
  <c r="I74" i="4"/>
  <c r="O76" i="4"/>
  <c r="O54" i="4" s="1"/>
  <c r="P76" i="4"/>
  <c r="Q76" i="4"/>
  <c r="Q54" i="4" s="1"/>
  <c r="R76" i="4"/>
  <c r="R54" i="4" s="1"/>
  <c r="S76" i="4"/>
  <c r="T76" i="4"/>
  <c r="W76" i="4"/>
  <c r="W54" i="4" s="1"/>
  <c r="X76" i="4"/>
  <c r="Y76" i="4"/>
  <c r="Q77" i="4"/>
  <c r="R77" i="4"/>
  <c r="Q78" i="4"/>
  <c r="R78" i="4"/>
  <c r="T78" i="4"/>
  <c r="X78" i="4"/>
  <c r="Y78" i="4"/>
  <c r="P79" i="4"/>
  <c r="X79" i="4"/>
  <c r="X56" i="4" s="1"/>
  <c r="Y79" i="4"/>
  <c r="Q80" i="4"/>
  <c r="S80" i="4"/>
  <c r="V80" i="4"/>
  <c r="K81" i="4"/>
  <c r="N81" i="4"/>
  <c r="O81" i="4"/>
  <c r="P81" i="4"/>
  <c r="Q81" i="4"/>
  <c r="U81" i="4"/>
  <c r="V81" i="4"/>
  <c r="W81" i="4"/>
  <c r="X81" i="4"/>
  <c r="Y81" i="4"/>
  <c r="N82" i="4"/>
  <c r="R82" i="4"/>
  <c r="R59" i="4" s="1"/>
  <c r="S82" i="4"/>
  <c r="S59" i="4" s="1"/>
  <c r="T82" i="4"/>
  <c r="T59" i="4" s="1"/>
  <c r="U82" i="4"/>
  <c r="U59" i="4" s="1"/>
  <c r="Y82" i="4"/>
  <c r="Y59" i="4" s="1"/>
  <c r="O83" i="4"/>
  <c r="P83" i="4"/>
  <c r="P60" i="4" s="1"/>
  <c r="Q83" i="4"/>
  <c r="Q60" i="4" s="1"/>
  <c r="S83" i="4"/>
  <c r="U83" i="4"/>
  <c r="W83" i="4"/>
  <c r="W60" i="4" s="1"/>
  <c r="X83" i="4"/>
  <c r="X60" i="4" s="1"/>
  <c r="Y83" i="4"/>
  <c r="Y60" i="4" s="1"/>
  <c r="N84" i="4"/>
  <c r="O84" i="4"/>
  <c r="R84" i="4"/>
  <c r="R61" i="4" s="1"/>
  <c r="T84" i="4"/>
  <c r="V84" i="4"/>
  <c r="W84" i="4"/>
  <c r="W61" i="4" s="1"/>
  <c r="AD84" i="4"/>
  <c r="P85" i="4"/>
  <c r="P62" i="4" s="1"/>
  <c r="Q85" i="4"/>
  <c r="Q62" i="4" s="1"/>
  <c r="R85" i="4"/>
  <c r="R62" i="4" s="1"/>
  <c r="T85" i="4"/>
  <c r="T62" i="4" s="1"/>
  <c r="U85" i="4"/>
  <c r="U62" i="4" s="1"/>
  <c r="V85" i="4"/>
  <c r="W85" i="4"/>
  <c r="W62" i="4" s="1"/>
  <c r="X85" i="4"/>
  <c r="Y85" i="4"/>
  <c r="Y62" i="4" s="1"/>
  <c r="AD85" i="4"/>
  <c r="N86" i="4"/>
  <c r="N63" i="4" s="1"/>
  <c r="O86" i="4"/>
  <c r="S86" i="4"/>
  <c r="S63" i="4" s="1"/>
  <c r="T86" i="4"/>
  <c r="T63" i="4" s="1"/>
  <c r="U86" i="4"/>
  <c r="V86" i="4"/>
  <c r="V63" i="4" s="1"/>
  <c r="W86" i="4"/>
  <c r="W63" i="4" s="1"/>
  <c r="X86" i="4"/>
  <c r="AD86" i="4"/>
  <c r="R88" i="4"/>
  <c r="R65" i="4" s="1"/>
  <c r="S88" i="4"/>
  <c r="S65" i="4" s="1"/>
  <c r="V88" i="4"/>
  <c r="V65" i="4" s="1"/>
  <c r="W88" i="4"/>
  <c r="Q89" i="4"/>
  <c r="R89" i="4"/>
  <c r="R66" i="4" s="1"/>
  <c r="T89" i="4"/>
  <c r="U89" i="4"/>
  <c r="AD89" i="4"/>
  <c r="N90" i="4"/>
  <c r="O90" i="4"/>
  <c r="O67" i="4" s="1"/>
  <c r="P90" i="4"/>
  <c r="Q90" i="4"/>
  <c r="R90" i="4"/>
  <c r="R67" i="4" s="1"/>
  <c r="T90" i="4"/>
  <c r="T67" i="4" s="1"/>
  <c r="W90" i="4"/>
  <c r="W67" i="4" s="1"/>
  <c r="X90" i="4"/>
  <c r="X67" i="4" s="1"/>
  <c r="Y90" i="4"/>
  <c r="Y67" i="4" s="1"/>
  <c r="P92" i="4"/>
  <c r="P69" i="4" s="1"/>
  <c r="X93" i="4"/>
  <c r="Y93" i="4"/>
  <c r="X94" i="4"/>
  <c r="X71" i="4" s="1"/>
  <c r="Y95" i="4"/>
  <c r="Y72" i="4" s="1"/>
  <c r="I97" i="4"/>
  <c r="W101" i="4"/>
  <c r="X101" i="4"/>
  <c r="Y101" i="4"/>
  <c r="Z101" i="4" s="1"/>
  <c r="N104" i="4"/>
  <c r="O104" i="4"/>
  <c r="P104" i="4"/>
  <c r="Q104" i="4"/>
  <c r="R104" i="4"/>
  <c r="S104" i="4"/>
  <c r="T104" i="4"/>
  <c r="U104" i="4"/>
  <c r="V104" i="4"/>
  <c r="W104" i="4"/>
  <c r="Z104" i="4"/>
  <c r="N107" i="4"/>
  <c r="O107" i="4"/>
  <c r="P107" i="4"/>
  <c r="N108" i="4"/>
  <c r="O108" i="4"/>
  <c r="P108" i="4"/>
  <c r="Q108" i="4"/>
  <c r="Q110" i="4" s="1"/>
  <c r="R108" i="4"/>
  <c r="R110" i="4" s="1"/>
  <c r="S108" i="4"/>
  <c r="S110" i="4" s="1"/>
  <c r="T108" i="4"/>
  <c r="U108" i="4"/>
  <c r="V108" i="4"/>
  <c r="V110" i="4" s="1"/>
  <c r="W108" i="4"/>
  <c r="X108" i="4"/>
  <c r="Y108" i="4"/>
  <c r="Y110" i="4" s="1"/>
  <c r="N110" i="4"/>
  <c r="Z110" i="4" s="1"/>
  <c r="O110" i="4"/>
  <c r="P110" i="4"/>
  <c r="T110" i="4"/>
  <c r="U110" i="4"/>
  <c r="W110" i="4"/>
  <c r="X110" i="4"/>
  <c r="AB110" i="4"/>
  <c r="N115" i="4"/>
  <c r="O115" i="4"/>
  <c r="P115" i="4"/>
  <c r="Q115" i="4"/>
  <c r="R115" i="4"/>
  <c r="S115" i="4"/>
  <c r="T115" i="4"/>
  <c r="T125" i="4" s="1"/>
  <c r="U115" i="4"/>
  <c r="V115" i="4"/>
  <c r="V128" i="4" s="1"/>
  <c r="W115" i="4"/>
  <c r="W142" i="4" s="1"/>
  <c r="X115" i="4"/>
  <c r="Y115" i="4"/>
  <c r="N116" i="4"/>
  <c r="N143" i="4" s="1"/>
  <c r="O116" i="4"/>
  <c r="P116" i="4"/>
  <c r="Q116" i="4"/>
  <c r="R116" i="4"/>
  <c r="R130" i="4" s="1"/>
  <c r="R157" i="4" s="1"/>
  <c r="S116" i="4"/>
  <c r="S130" i="4" s="1"/>
  <c r="T116" i="4"/>
  <c r="U116" i="4"/>
  <c r="V116" i="4"/>
  <c r="V143" i="4" s="1"/>
  <c r="W116" i="4"/>
  <c r="X116" i="4"/>
  <c r="X143" i="4" s="1"/>
  <c r="Y116" i="4"/>
  <c r="N117" i="4"/>
  <c r="O117" i="4"/>
  <c r="O131" i="4" s="1"/>
  <c r="O158" i="4" s="1"/>
  <c r="P117" i="4"/>
  <c r="Q117" i="4"/>
  <c r="R117" i="4"/>
  <c r="S117" i="4"/>
  <c r="T117" i="4"/>
  <c r="U117" i="4"/>
  <c r="V117" i="4"/>
  <c r="V131" i="4" s="1"/>
  <c r="V158" i="4" s="1"/>
  <c r="W117" i="4"/>
  <c r="X117" i="4"/>
  <c r="X131" i="4" s="1"/>
  <c r="Y117" i="4"/>
  <c r="N118" i="4"/>
  <c r="O118" i="4"/>
  <c r="P118" i="4"/>
  <c r="P145" i="4" s="1"/>
  <c r="Q118" i="4"/>
  <c r="R118" i="4"/>
  <c r="S118" i="4"/>
  <c r="S132" i="4" s="1"/>
  <c r="S159" i="4" s="1"/>
  <c r="T118" i="4"/>
  <c r="T132" i="4" s="1"/>
  <c r="U118" i="4"/>
  <c r="V118" i="4"/>
  <c r="W118" i="4"/>
  <c r="X118" i="4"/>
  <c r="X132" i="4" s="1"/>
  <c r="Y118" i="4"/>
  <c r="N119" i="4"/>
  <c r="O119" i="4"/>
  <c r="P119" i="4"/>
  <c r="P133" i="4" s="1"/>
  <c r="Q119" i="4"/>
  <c r="R119" i="4"/>
  <c r="R146" i="4" s="1"/>
  <c r="S119" i="4"/>
  <c r="T119" i="4"/>
  <c r="U119" i="4"/>
  <c r="V119" i="4"/>
  <c r="V133" i="4" s="1"/>
  <c r="V160" i="4" s="1"/>
  <c r="W119" i="4"/>
  <c r="X119" i="4"/>
  <c r="X133" i="4" s="1"/>
  <c r="Y119" i="4"/>
  <c r="R120" i="4"/>
  <c r="R134" i="4" s="1"/>
  <c r="S120" i="4"/>
  <c r="T120" i="4"/>
  <c r="U120" i="4"/>
  <c r="V120" i="4"/>
  <c r="V134" i="4" s="1"/>
  <c r="V161" i="4" s="1"/>
  <c r="W120" i="4"/>
  <c r="W134" i="4" s="1"/>
  <c r="W161" i="4" s="1"/>
  <c r="X120" i="4"/>
  <c r="X134" i="4" s="1"/>
  <c r="Y120" i="4"/>
  <c r="N121" i="4"/>
  <c r="N148" i="4" s="1"/>
  <c r="O121" i="4"/>
  <c r="P121" i="4"/>
  <c r="P148" i="4" s="1"/>
  <c r="Q121" i="4"/>
  <c r="R121" i="4"/>
  <c r="R135" i="4" s="1"/>
  <c r="R162" i="4" s="1"/>
  <c r="S121" i="4"/>
  <c r="S135" i="4" s="1"/>
  <c r="S162" i="4" s="1"/>
  <c r="T121" i="4"/>
  <c r="T135" i="4" s="1"/>
  <c r="U121" i="4"/>
  <c r="V121" i="4"/>
  <c r="V148" i="4" s="1"/>
  <c r="W121" i="4"/>
  <c r="X121" i="4"/>
  <c r="X148" i="4" s="1"/>
  <c r="Y121" i="4"/>
  <c r="Y148" i="4" s="1"/>
  <c r="N122" i="4"/>
  <c r="N149" i="4" s="1"/>
  <c r="O122" i="4"/>
  <c r="P122" i="4"/>
  <c r="P136" i="4" s="1"/>
  <c r="Q122" i="4"/>
  <c r="R122" i="4"/>
  <c r="S122" i="4"/>
  <c r="T122" i="4"/>
  <c r="U122" i="4"/>
  <c r="V122" i="4"/>
  <c r="V149" i="4" s="1"/>
  <c r="W122" i="4"/>
  <c r="X122" i="4"/>
  <c r="X136" i="4" s="1"/>
  <c r="Y122" i="4"/>
  <c r="I125" i="4"/>
  <c r="O125" i="4"/>
  <c r="P125" i="4"/>
  <c r="Q125" i="4"/>
  <c r="E14" i="1" s="1"/>
  <c r="S125" i="4"/>
  <c r="W125" i="4"/>
  <c r="X125" i="4"/>
  <c r="N128" i="4"/>
  <c r="O128" i="4"/>
  <c r="O155" i="4" s="1"/>
  <c r="P128" i="4"/>
  <c r="P155" i="4" s="1"/>
  <c r="Q128" i="4"/>
  <c r="S128" i="4"/>
  <c r="T128" i="4"/>
  <c r="W128" i="4"/>
  <c r="X128" i="4"/>
  <c r="X155" i="4" s="1"/>
  <c r="Y128" i="4"/>
  <c r="V129" i="4"/>
  <c r="W129" i="4"/>
  <c r="X129" i="4"/>
  <c r="N130" i="4"/>
  <c r="N157" i="4" s="1"/>
  <c r="O130" i="4"/>
  <c r="P130" i="4"/>
  <c r="P157" i="4" s="1"/>
  <c r="T130" i="4"/>
  <c r="U130" i="4"/>
  <c r="V130" i="4"/>
  <c r="W130" i="4"/>
  <c r="X130" i="4"/>
  <c r="Y130" i="4"/>
  <c r="N131" i="4"/>
  <c r="Q131" i="4"/>
  <c r="S131" i="4"/>
  <c r="T131" i="4"/>
  <c r="W131" i="4"/>
  <c r="W158" i="4" s="1"/>
  <c r="Y131" i="4"/>
  <c r="O132" i="4"/>
  <c r="Q132" i="4"/>
  <c r="Q159" i="4" s="1"/>
  <c r="R132" i="4"/>
  <c r="R159" i="4" s="1"/>
  <c r="U132" i="4"/>
  <c r="U159" i="4" s="1"/>
  <c r="W132" i="4"/>
  <c r="N133" i="4"/>
  <c r="N160" i="4" s="1"/>
  <c r="O133" i="4"/>
  <c r="Q133" i="4"/>
  <c r="R133" i="4"/>
  <c r="R160" i="4" s="1"/>
  <c r="S133" i="4"/>
  <c r="T133" i="4"/>
  <c r="W133" i="4"/>
  <c r="Y133" i="4"/>
  <c r="Y160" i="4" s="1"/>
  <c r="S134" i="4"/>
  <c r="T134" i="4"/>
  <c r="Y134" i="4"/>
  <c r="Y161" i="4" s="1"/>
  <c r="N135" i="4"/>
  <c r="N162" i="4" s="1"/>
  <c r="O135" i="4"/>
  <c r="O162" i="4" s="1"/>
  <c r="P135" i="4"/>
  <c r="P162" i="4" s="1"/>
  <c r="U135" i="4"/>
  <c r="V135" i="4"/>
  <c r="V162" i="4" s="1"/>
  <c r="W135" i="4"/>
  <c r="W162" i="4" s="1"/>
  <c r="X135" i="4"/>
  <c r="X162" i="4" s="1"/>
  <c r="N136" i="4"/>
  <c r="N163" i="4" s="1"/>
  <c r="O136" i="4"/>
  <c r="Q136" i="4"/>
  <c r="S136" i="4"/>
  <c r="S163" i="4" s="1"/>
  <c r="T136" i="4"/>
  <c r="V136" i="4"/>
  <c r="V163" i="4" s="1"/>
  <c r="W136" i="4"/>
  <c r="Y136" i="4"/>
  <c r="I139" i="4"/>
  <c r="O139" i="4"/>
  <c r="K142" i="4"/>
  <c r="S142" i="4" s="1"/>
  <c r="O142" i="4"/>
  <c r="P142" i="4"/>
  <c r="Q142" i="4"/>
  <c r="T142" i="4"/>
  <c r="X142" i="4"/>
  <c r="Y142" i="4"/>
  <c r="K143" i="4"/>
  <c r="W143" i="4" s="1"/>
  <c r="P143" i="4"/>
  <c r="R143" i="4"/>
  <c r="T143" i="4"/>
  <c r="U143" i="4"/>
  <c r="K144" i="4"/>
  <c r="N144" i="4" s="1"/>
  <c r="W144" i="4"/>
  <c r="Y144" i="4"/>
  <c r="K145" i="4"/>
  <c r="X145" i="4" s="1"/>
  <c r="R145" i="4"/>
  <c r="S145" i="4"/>
  <c r="U145" i="4"/>
  <c r="K146" i="4"/>
  <c r="N146" i="4"/>
  <c r="O146" i="4"/>
  <c r="P146" i="4"/>
  <c r="Q146" i="4"/>
  <c r="S146" i="4"/>
  <c r="T146" i="4"/>
  <c r="W146" i="4"/>
  <c r="X146" i="4"/>
  <c r="Y146" i="4"/>
  <c r="R147" i="4"/>
  <c r="S147" i="4"/>
  <c r="T147" i="4"/>
  <c r="W147" i="4"/>
  <c r="X147" i="4"/>
  <c r="Y147" i="4"/>
  <c r="K148" i="4"/>
  <c r="O148" i="4" s="1"/>
  <c r="R148" i="4"/>
  <c r="T148" i="4"/>
  <c r="U148" i="4"/>
  <c r="K149" i="4"/>
  <c r="O149" i="4" s="1"/>
  <c r="T149" i="4"/>
  <c r="W149" i="4"/>
  <c r="I152" i="4"/>
  <c r="K155" i="4"/>
  <c r="Q155" i="4"/>
  <c r="S155" i="4"/>
  <c r="Y155" i="4"/>
  <c r="Q156" i="4"/>
  <c r="R156" i="4"/>
  <c r="V156" i="4"/>
  <c r="W156" i="4"/>
  <c r="Y156" i="4"/>
  <c r="K157" i="4"/>
  <c r="O157" i="4"/>
  <c r="S157" i="4"/>
  <c r="T157" i="4"/>
  <c r="U157" i="4"/>
  <c r="V157" i="4"/>
  <c r="W157" i="4"/>
  <c r="X157" i="4"/>
  <c r="K158" i="4"/>
  <c r="N158" i="4"/>
  <c r="P158" i="4"/>
  <c r="Q158" i="4"/>
  <c r="S158" i="4"/>
  <c r="T158" i="4"/>
  <c r="X158" i="4"/>
  <c r="Y158" i="4"/>
  <c r="K159" i="4"/>
  <c r="O159" i="4"/>
  <c r="T159" i="4"/>
  <c r="W159" i="4"/>
  <c r="X159" i="4"/>
  <c r="K160" i="4"/>
  <c r="O160" i="4"/>
  <c r="P160" i="4"/>
  <c r="Q160" i="4"/>
  <c r="S160" i="4"/>
  <c r="T160" i="4"/>
  <c r="W160" i="4"/>
  <c r="X160" i="4"/>
  <c r="R161" i="4"/>
  <c r="S161" i="4"/>
  <c r="T161" i="4"/>
  <c r="X161" i="4"/>
  <c r="K162" i="4"/>
  <c r="T162" i="4"/>
  <c r="U162" i="4"/>
  <c r="K163" i="4"/>
  <c r="O163" i="4"/>
  <c r="P163" i="4"/>
  <c r="Q163" i="4"/>
  <c r="T163" i="4"/>
  <c r="W163" i="4"/>
  <c r="X163" i="4"/>
  <c r="Y163" i="4"/>
  <c r="I166" i="4"/>
  <c r="S166" i="4"/>
  <c r="N168" i="4"/>
  <c r="O168" i="4"/>
  <c r="P168" i="4"/>
  <c r="Q168" i="4"/>
  <c r="R168" i="4"/>
  <c r="S168" i="4"/>
  <c r="T168" i="4"/>
  <c r="U168" i="4"/>
  <c r="V168" i="4"/>
  <c r="V177" i="4" s="1"/>
  <c r="W168" i="4"/>
  <c r="N169" i="4"/>
  <c r="O169" i="4"/>
  <c r="P169" i="4"/>
  <c r="Q169" i="4"/>
  <c r="R169" i="4"/>
  <c r="S169" i="4"/>
  <c r="T169" i="4"/>
  <c r="U169" i="4"/>
  <c r="V169" i="4"/>
  <c r="W169" i="4"/>
  <c r="N170" i="4"/>
  <c r="O170" i="4"/>
  <c r="P170" i="4"/>
  <c r="Q170" i="4"/>
  <c r="R170" i="4"/>
  <c r="S170" i="4"/>
  <c r="T170" i="4"/>
  <c r="U170" i="4"/>
  <c r="V170" i="4"/>
  <c r="W170" i="4"/>
  <c r="N171" i="4"/>
  <c r="O171" i="4"/>
  <c r="P171" i="4"/>
  <c r="P177" i="4" s="1"/>
  <c r="Q171" i="4"/>
  <c r="R171" i="4"/>
  <c r="S171" i="4"/>
  <c r="T171" i="4"/>
  <c r="U171" i="4"/>
  <c r="V171" i="4"/>
  <c r="W171" i="4"/>
  <c r="N172" i="4"/>
  <c r="O172" i="4"/>
  <c r="P172" i="4"/>
  <c r="Q172" i="4"/>
  <c r="R172" i="4"/>
  <c r="S172" i="4"/>
  <c r="T172" i="4"/>
  <c r="U172" i="4"/>
  <c r="V172" i="4"/>
  <c r="W172" i="4"/>
  <c r="N173" i="4"/>
  <c r="O173" i="4"/>
  <c r="P173" i="4"/>
  <c r="Q173" i="4"/>
  <c r="R173" i="4"/>
  <c r="S173" i="4"/>
  <c r="T173" i="4"/>
  <c r="U173" i="4"/>
  <c r="V173" i="4"/>
  <c r="W173" i="4"/>
  <c r="N174" i="4"/>
  <c r="O174" i="4"/>
  <c r="P174" i="4"/>
  <c r="Q174" i="4"/>
  <c r="R174" i="4"/>
  <c r="S174" i="4"/>
  <c r="T174" i="4"/>
  <c r="U174" i="4"/>
  <c r="V174" i="4"/>
  <c r="W174" i="4"/>
  <c r="S177" i="4"/>
  <c r="T177" i="4"/>
  <c r="X177" i="4"/>
  <c r="Y177" i="4"/>
  <c r="N179" i="4"/>
  <c r="O179" i="4"/>
  <c r="P179" i="4"/>
  <c r="R179" i="4"/>
  <c r="S179" i="4"/>
  <c r="T179" i="4"/>
  <c r="U179" i="4"/>
  <c r="V179" i="4"/>
  <c r="W179" i="4"/>
  <c r="X179" i="4"/>
  <c r="N180" i="4"/>
  <c r="O180" i="4"/>
  <c r="P180" i="4"/>
  <c r="Q180" i="4"/>
  <c r="R180" i="4"/>
  <c r="S180" i="4"/>
  <c r="T180" i="4"/>
  <c r="T186" i="4" s="1"/>
  <c r="V180" i="4"/>
  <c r="W180" i="4"/>
  <c r="X180" i="4"/>
  <c r="Y180" i="4"/>
  <c r="N181" i="4"/>
  <c r="O181" i="4"/>
  <c r="P181" i="4"/>
  <c r="R181" i="4"/>
  <c r="S181" i="4"/>
  <c r="T181" i="4"/>
  <c r="U181" i="4"/>
  <c r="V181" i="4"/>
  <c r="W181" i="4"/>
  <c r="X181" i="4"/>
  <c r="N182" i="4"/>
  <c r="O182" i="4"/>
  <c r="P182" i="4"/>
  <c r="Q182" i="4"/>
  <c r="R182" i="4"/>
  <c r="S182" i="4"/>
  <c r="T182" i="4"/>
  <c r="V182" i="4"/>
  <c r="W182" i="4"/>
  <c r="X182" i="4"/>
  <c r="Y182" i="4"/>
  <c r="N183" i="4"/>
  <c r="O183" i="4"/>
  <c r="P183" i="4"/>
  <c r="Q183" i="4"/>
  <c r="R183" i="4"/>
  <c r="S183" i="4"/>
  <c r="T183" i="4"/>
  <c r="V183" i="4"/>
  <c r="W183" i="4"/>
  <c r="X183" i="4"/>
  <c r="Y183" i="4"/>
  <c r="N184" i="4"/>
  <c r="O184" i="4"/>
  <c r="P184" i="4"/>
  <c r="Q184" i="4"/>
  <c r="R184" i="4"/>
  <c r="S184" i="4"/>
  <c r="T184" i="4"/>
  <c r="V184" i="4"/>
  <c r="W184" i="4"/>
  <c r="X184" i="4"/>
  <c r="Y184" i="4"/>
  <c r="AA185" i="4"/>
  <c r="P186" i="4"/>
  <c r="R186" i="4"/>
  <c r="X186" i="4"/>
  <c r="N191" i="4"/>
  <c r="O191" i="4"/>
  <c r="P191" i="4"/>
  <c r="Q191" i="4"/>
  <c r="Q205" i="4" s="1"/>
  <c r="R191" i="4"/>
  <c r="R205" i="4" s="1"/>
  <c r="S191" i="4"/>
  <c r="T191" i="4"/>
  <c r="U191" i="4"/>
  <c r="V191" i="4"/>
  <c r="W191" i="4"/>
  <c r="X191" i="4"/>
  <c r="X205" i="4" s="1"/>
  <c r="Y191" i="4"/>
  <c r="Y205" i="4" s="1"/>
  <c r="N192" i="4"/>
  <c r="O192" i="4"/>
  <c r="P192" i="4"/>
  <c r="Q192" i="4"/>
  <c r="R192" i="4"/>
  <c r="S192" i="4"/>
  <c r="T192" i="4"/>
  <c r="U192" i="4"/>
  <c r="U202" i="4" s="1"/>
  <c r="V192" i="4"/>
  <c r="W192" i="4"/>
  <c r="X192" i="4"/>
  <c r="Y192" i="4"/>
  <c r="N193" i="4"/>
  <c r="O193" i="4"/>
  <c r="O208" i="4" s="1"/>
  <c r="O237" i="4" s="1"/>
  <c r="P193" i="4"/>
  <c r="P208" i="4" s="1"/>
  <c r="Q193" i="4"/>
  <c r="Q208" i="4" s="1"/>
  <c r="R193" i="4"/>
  <c r="R208" i="4" s="1"/>
  <c r="S193" i="4"/>
  <c r="T193" i="4"/>
  <c r="U193" i="4"/>
  <c r="V193" i="4"/>
  <c r="W193" i="4"/>
  <c r="W208" i="4" s="1"/>
  <c r="W237" i="4" s="1"/>
  <c r="X193" i="4"/>
  <c r="X208" i="4" s="1"/>
  <c r="Y193" i="4"/>
  <c r="Y208" i="4" s="1"/>
  <c r="N194" i="4"/>
  <c r="O194" i="4"/>
  <c r="P194" i="4"/>
  <c r="Q194" i="4"/>
  <c r="R194" i="4"/>
  <c r="S194" i="4"/>
  <c r="T194" i="4"/>
  <c r="T209" i="4" s="1"/>
  <c r="U194" i="4"/>
  <c r="U209" i="4" s="1"/>
  <c r="V194" i="4"/>
  <c r="W194" i="4"/>
  <c r="X194" i="4"/>
  <c r="Y194" i="4"/>
  <c r="N195" i="4"/>
  <c r="O195" i="4"/>
  <c r="P195" i="4"/>
  <c r="Q195" i="4"/>
  <c r="Q210" i="4" s="1"/>
  <c r="R195" i="4"/>
  <c r="S195" i="4"/>
  <c r="T195" i="4"/>
  <c r="U195" i="4"/>
  <c r="V195" i="4"/>
  <c r="W195" i="4"/>
  <c r="X195" i="4"/>
  <c r="Y195" i="4"/>
  <c r="Y210" i="4" s="1"/>
  <c r="N196" i="4"/>
  <c r="N211" i="4" s="1"/>
  <c r="N240" i="4" s="1"/>
  <c r="O196" i="4"/>
  <c r="P196" i="4"/>
  <c r="Q196" i="4"/>
  <c r="R196" i="4"/>
  <c r="S196" i="4"/>
  <c r="T196" i="4"/>
  <c r="U196" i="4"/>
  <c r="U211" i="4" s="1"/>
  <c r="U240" i="4" s="1"/>
  <c r="V196" i="4"/>
  <c r="W196" i="4"/>
  <c r="X196" i="4"/>
  <c r="Y196" i="4"/>
  <c r="N197" i="4"/>
  <c r="O197" i="4"/>
  <c r="P197" i="4"/>
  <c r="Q197" i="4"/>
  <c r="Q212" i="4" s="1"/>
  <c r="Q241" i="4" s="1"/>
  <c r="R197" i="4"/>
  <c r="S197" i="4"/>
  <c r="T197" i="4"/>
  <c r="U197" i="4"/>
  <c r="V197" i="4"/>
  <c r="W197" i="4"/>
  <c r="X197" i="4"/>
  <c r="Y197" i="4"/>
  <c r="Y212" i="4" s="1"/>
  <c r="Y241" i="4" s="1"/>
  <c r="N198" i="4"/>
  <c r="O198" i="4"/>
  <c r="P198" i="4"/>
  <c r="Q198" i="4"/>
  <c r="R198" i="4"/>
  <c r="S198" i="4"/>
  <c r="T198" i="4"/>
  <c r="U198" i="4"/>
  <c r="U213" i="4" s="1"/>
  <c r="U242" i="4" s="1"/>
  <c r="V198" i="4"/>
  <c r="V213" i="4" s="1"/>
  <c r="V242" i="4" s="1"/>
  <c r="W198" i="4"/>
  <c r="X198" i="4"/>
  <c r="Y198" i="4"/>
  <c r="N199" i="4"/>
  <c r="O199" i="4"/>
  <c r="P199" i="4"/>
  <c r="Q199" i="4"/>
  <c r="Q214" i="4" s="1"/>
  <c r="Q243" i="4" s="1"/>
  <c r="R199" i="4"/>
  <c r="S199" i="4"/>
  <c r="T199" i="4"/>
  <c r="U199" i="4"/>
  <c r="V199" i="4"/>
  <c r="W199" i="4"/>
  <c r="W214" i="4" s="1"/>
  <c r="W243" i="4" s="1"/>
  <c r="X199" i="4"/>
  <c r="Y199" i="4"/>
  <c r="Y214" i="4" s="1"/>
  <c r="Y243" i="4" s="1"/>
  <c r="X200" i="4"/>
  <c r="Y200" i="4"/>
  <c r="Y201" i="4"/>
  <c r="I202" i="4"/>
  <c r="O202" i="4"/>
  <c r="P202" i="4"/>
  <c r="Q202" i="4"/>
  <c r="R202" i="4"/>
  <c r="N205" i="4"/>
  <c r="O205" i="4"/>
  <c r="P205" i="4"/>
  <c r="S205" i="4"/>
  <c r="T205" i="4"/>
  <c r="U205" i="4"/>
  <c r="V205" i="4"/>
  <c r="R206" i="4"/>
  <c r="N207" i="4"/>
  <c r="N236" i="4" s="1"/>
  <c r="O207" i="4"/>
  <c r="O236" i="4" s="1"/>
  <c r="O221" i="4" s="1"/>
  <c r="P207" i="4"/>
  <c r="Q207" i="4"/>
  <c r="R207" i="4"/>
  <c r="V207" i="4"/>
  <c r="W207" i="4"/>
  <c r="X207" i="4"/>
  <c r="Y207" i="4"/>
  <c r="Y236" i="4" s="1"/>
  <c r="Y221" i="4" s="1"/>
  <c r="N208" i="4"/>
  <c r="N237" i="4" s="1"/>
  <c r="N222" i="4" s="1"/>
  <c r="S208" i="4"/>
  <c r="T208" i="4"/>
  <c r="T237" i="4" s="1"/>
  <c r="U208" i="4"/>
  <c r="U237" i="4" s="1"/>
  <c r="U222" i="4" s="1"/>
  <c r="V208" i="4"/>
  <c r="V237" i="4" s="1"/>
  <c r="V222" i="4" s="1"/>
  <c r="N209" i="4"/>
  <c r="O209" i="4"/>
  <c r="P209" i="4"/>
  <c r="Q209" i="4"/>
  <c r="R209" i="4"/>
  <c r="R238" i="4" s="1"/>
  <c r="R223" i="4" s="1"/>
  <c r="S209" i="4"/>
  <c r="V209" i="4"/>
  <c r="W209" i="4"/>
  <c r="W238" i="4" s="1"/>
  <c r="X209" i="4"/>
  <c r="X238" i="4" s="1"/>
  <c r="Y209" i="4"/>
  <c r="N210" i="4"/>
  <c r="R210" i="4"/>
  <c r="R239" i="4" s="1"/>
  <c r="R224" i="4" s="1"/>
  <c r="S210" i="4"/>
  <c r="S239" i="4" s="1"/>
  <c r="S224" i="4" s="1"/>
  <c r="T210" i="4"/>
  <c r="T239" i="4" s="1"/>
  <c r="T224" i="4" s="1"/>
  <c r="U210" i="4"/>
  <c r="U239" i="4" s="1"/>
  <c r="U224" i="4" s="1"/>
  <c r="V210" i="4"/>
  <c r="O211" i="4"/>
  <c r="P211" i="4"/>
  <c r="P240" i="4" s="1"/>
  <c r="Q211" i="4"/>
  <c r="Q240" i="4" s="1"/>
  <c r="Q225" i="4" s="1"/>
  <c r="R211" i="4"/>
  <c r="R240" i="4" s="1"/>
  <c r="R225" i="4" s="1"/>
  <c r="S211" i="4"/>
  <c r="V211" i="4"/>
  <c r="V240" i="4" s="1"/>
  <c r="W211" i="4"/>
  <c r="X211" i="4"/>
  <c r="Y211" i="4"/>
  <c r="N212" i="4"/>
  <c r="N241" i="4" s="1"/>
  <c r="O212" i="4"/>
  <c r="O241" i="4" s="1"/>
  <c r="R212" i="4"/>
  <c r="R241" i="4" s="1"/>
  <c r="S212" i="4"/>
  <c r="S241" i="4" s="1"/>
  <c r="T212" i="4"/>
  <c r="U212" i="4"/>
  <c r="V212" i="4"/>
  <c r="N213" i="4"/>
  <c r="N242" i="4" s="1"/>
  <c r="O213" i="4"/>
  <c r="O242" i="4" s="1"/>
  <c r="P213" i="4"/>
  <c r="P242" i="4" s="1"/>
  <c r="P227" i="4" s="1"/>
  <c r="Q213" i="4"/>
  <c r="Q242" i="4" s="1"/>
  <c r="Q227" i="4" s="1"/>
  <c r="R213" i="4"/>
  <c r="W213" i="4"/>
  <c r="X213" i="4"/>
  <c r="Y213" i="4"/>
  <c r="N214" i="4"/>
  <c r="N243" i="4" s="1"/>
  <c r="N228" i="4" s="1"/>
  <c r="O214" i="4"/>
  <c r="O243" i="4" s="1"/>
  <c r="R214" i="4"/>
  <c r="S214" i="4"/>
  <c r="T214" i="4"/>
  <c r="U214" i="4"/>
  <c r="V214" i="4"/>
  <c r="V243" i="4" s="1"/>
  <c r="V228" i="4" s="1"/>
  <c r="X215" i="4"/>
  <c r="Y215" i="4"/>
  <c r="Y216" i="4"/>
  <c r="I217" i="4"/>
  <c r="R217" i="4"/>
  <c r="R220" i="4"/>
  <c r="R231" i="4" s="1"/>
  <c r="R221" i="4"/>
  <c r="O222" i="4"/>
  <c r="P222" i="4"/>
  <c r="Q222" i="4"/>
  <c r="W222" i="4"/>
  <c r="U223" i="4"/>
  <c r="W223" i="4"/>
  <c r="Y223" i="4"/>
  <c r="Y224" i="4"/>
  <c r="N225" i="4"/>
  <c r="O225" i="4"/>
  <c r="U225" i="4"/>
  <c r="V225" i="4"/>
  <c r="W225" i="4"/>
  <c r="X225" i="4"/>
  <c r="Q226" i="4"/>
  <c r="R226" i="4"/>
  <c r="S226" i="4"/>
  <c r="T226" i="4"/>
  <c r="Y226" i="4"/>
  <c r="N227" i="4"/>
  <c r="U227" i="4"/>
  <c r="V227" i="4"/>
  <c r="W227" i="4"/>
  <c r="X227" i="4"/>
  <c r="Q228" i="4"/>
  <c r="Y228" i="4"/>
  <c r="I231" i="4"/>
  <c r="N234" i="4"/>
  <c r="R234" i="4"/>
  <c r="T234" i="4"/>
  <c r="U234" i="4"/>
  <c r="V234" i="4"/>
  <c r="Q235" i="4"/>
  <c r="R235" i="4"/>
  <c r="R246" i="4" s="1"/>
  <c r="P236" i="4"/>
  <c r="Q236" i="4"/>
  <c r="Q221" i="4" s="1"/>
  <c r="R236" i="4"/>
  <c r="V236" i="4"/>
  <c r="W236" i="4"/>
  <c r="W221" i="4" s="1"/>
  <c r="X236" i="4"/>
  <c r="P237" i="4"/>
  <c r="Q237" i="4"/>
  <c r="R237" i="4"/>
  <c r="R222" i="4" s="1"/>
  <c r="S237" i="4"/>
  <c r="S222" i="4" s="1"/>
  <c r="X237" i="4"/>
  <c r="X222" i="4" s="1"/>
  <c r="Y237" i="4"/>
  <c r="Y222" i="4" s="1"/>
  <c r="AF237" i="4"/>
  <c r="N238" i="4"/>
  <c r="N223" i="4" s="1"/>
  <c r="O238" i="4"/>
  <c r="O223" i="4" s="1"/>
  <c r="P238" i="4"/>
  <c r="Q238" i="4"/>
  <c r="Q223" i="4" s="1"/>
  <c r="S238" i="4"/>
  <c r="T238" i="4"/>
  <c r="U238" i="4"/>
  <c r="V238" i="4"/>
  <c r="V223" i="4" s="1"/>
  <c r="Y238" i="4"/>
  <c r="N239" i="4"/>
  <c r="Q239" i="4"/>
  <c r="Q224" i="4" s="1"/>
  <c r="V239" i="4"/>
  <c r="V224" i="4" s="1"/>
  <c r="Y239" i="4"/>
  <c r="O240" i="4"/>
  <c r="S240" i="4"/>
  <c r="W240" i="4"/>
  <c r="X240" i="4"/>
  <c r="Y240" i="4"/>
  <c r="Y225" i="4" s="1"/>
  <c r="T241" i="4"/>
  <c r="U241" i="4"/>
  <c r="U226" i="4" s="1"/>
  <c r="V241" i="4"/>
  <c r="V226" i="4" s="1"/>
  <c r="R242" i="4"/>
  <c r="R227" i="4" s="1"/>
  <c r="W242" i="4"/>
  <c r="X242" i="4"/>
  <c r="Y242" i="4"/>
  <c r="Y227" i="4" s="1"/>
  <c r="R243" i="4"/>
  <c r="R228" i="4" s="1"/>
  <c r="S243" i="4"/>
  <c r="S228" i="4" s="1"/>
  <c r="T243" i="4"/>
  <c r="T228" i="4" s="1"/>
  <c r="U243" i="4"/>
  <c r="U228" i="4" s="1"/>
  <c r="X244" i="4"/>
  <c r="X229" i="4" s="1"/>
  <c r="Y244" i="4"/>
  <c r="Y229" i="4" s="1"/>
  <c r="Y245" i="4"/>
  <c r="Y230" i="4" s="1"/>
  <c r="I246" i="4"/>
  <c r="N251" i="4"/>
  <c r="N255" i="4" s="1"/>
  <c r="O251" i="4"/>
  <c r="P251" i="4"/>
  <c r="Q251" i="4"/>
  <c r="R251" i="4"/>
  <c r="S251" i="4"/>
  <c r="T251" i="4"/>
  <c r="U251" i="4"/>
  <c r="V251" i="4"/>
  <c r="V255" i="4" s="1"/>
  <c r="W251" i="4"/>
  <c r="X251" i="4"/>
  <c r="Y251" i="4"/>
  <c r="O255" i="4"/>
  <c r="P255" i="4"/>
  <c r="Q255" i="4"/>
  <c r="R255" i="4"/>
  <c r="W255" i="4"/>
  <c r="X255" i="4"/>
  <c r="Y255" i="4"/>
  <c r="O258" i="4"/>
  <c r="O271" i="4" s="1"/>
  <c r="O265" i="4" s="1"/>
  <c r="O269" i="4" s="1"/>
  <c r="P258" i="4"/>
  <c r="Q258" i="4"/>
  <c r="Q271" i="4" s="1"/>
  <c r="R258" i="4"/>
  <c r="W258" i="4"/>
  <c r="W271" i="4" s="1"/>
  <c r="X258" i="4"/>
  <c r="Y258" i="4"/>
  <c r="Y271" i="4" s="1"/>
  <c r="O262" i="4"/>
  <c r="P262" i="4"/>
  <c r="Q262" i="4"/>
  <c r="R262" i="4"/>
  <c r="W262" i="4"/>
  <c r="X262" i="4"/>
  <c r="Y262" i="4"/>
  <c r="M29" i="1" s="1"/>
  <c r="R29" i="1" s="1"/>
  <c r="R32" i="1" s="1"/>
  <c r="P269" i="4"/>
  <c r="P271" i="4"/>
  <c r="P265" i="4" s="1"/>
  <c r="R271" i="4"/>
  <c r="X271" i="4"/>
  <c r="X265" i="4" s="1"/>
  <c r="X269" i="4" s="1"/>
  <c r="AF272" i="4"/>
  <c r="AF273" i="4"/>
  <c r="O275" i="4"/>
  <c r="N278" i="4"/>
  <c r="O278" i="4"/>
  <c r="P278" i="4"/>
  <c r="Q278" i="4"/>
  <c r="Q287" i="4" s="1"/>
  <c r="R278" i="4"/>
  <c r="S278" i="4"/>
  <c r="T278" i="4"/>
  <c r="U278" i="4"/>
  <c r="V278" i="4"/>
  <c r="W278" i="4"/>
  <c r="X278" i="4"/>
  <c r="Y278" i="4"/>
  <c r="N279" i="4"/>
  <c r="O279" i="4"/>
  <c r="P279" i="4"/>
  <c r="Q279" i="4"/>
  <c r="R279" i="4"/>
  <c r="S279" i="4"/>
  <c r="T279" i="4"/>
  <c r="U279" i="4"/>
  <c r="U292" i="4" s="1"/>
  <c r="V279" i="4"/>
  <c r="W279" i="4"/>
  <c r="X279" i="4"/>
  <c r="Y279" i="4"/>
  <c r="N280" i="4"/>
  <c r="O280" i="4"/>
  <c r="P280" i="4"/>
  <c r="Q280" i="4"/>
  <c r="Q293" i="4" s="1"/>
  <c r="R280" i="4"/>
  <c r="S280" i="4"/>
  <c r="T280" i="4"/>
  <c r="U280" i="4"/>
  <c r="V280" i="4"/>
  <c r="W280" i="4"/>
  <c r="W305" i="4" s="1"/>
  <c r="X280" i="4"/>
  <c r="Y280" i="4"/>
  <c r="Y293" i="4" s="1"/>
  <c r="N281" i="4"/>
  <c r="O281" i="4"/>
  <c r="P281" i="4"/>
  <c r="Q281" i="4"/>
  <c r="R281" i="4"/>
  <c r="S281" i="4"/>
  <c r="T281" i="4"/>
  <c r="U281" i="4"/>
  <c r="U294" i="4" s="1"/>
  <c r="V281" i="4"/>
  <c r="W281" i="4"/>
  <c r="X281" i="4"/>
  <c r="Y281" i="4"/>
  <c r="N282" i="4"/>
  <c r="O282" i="4"/>
  <c r="P282" i="4"/>
  <c r="P307" i="4" s="1"/>
  <c r="Q282" i="4"/>
  <c r="Q295" i="4" s="1"/>
  <c r="R282" i="4"/>
  <c r="S282" i="4"/>
  <c r="T282" i="4"/>
  <c r="U282" i="4"/>
  <c r="V282" i="4"/>
  <c r="W282" i="4"/>
  <c r="X282" i="4"/>
  <c r="X307" i="4" s="1"/>
  <c r="Y282" i="4"/>
  <c r="Y295" i="4" s="1"/>
  <c r="N283" i="4"/>
  <c r="O283" i="4"/>
  <c r="P283" i="4"/>
  <c r="Q283" i="4"/>
  <c r="R283" i="4"/>
  <c r="S283" i="4"/>
  <c r="T283" i="4"/>
  <c r="U283" i="4"/>
  <c r="U296" i="4" s="1"/>
  <c r="V283" i="4"/>
  <c r="W283" i="4"/>
  <c r="X283" i="4"/>
  <c r="Y283" i="4"/>
  <c r="Y308" i="4" s="1"/>
  <c r="N284" i="4"/>
  <c r="O284" i="4"/>
  <c r="P284" i="4"/>
  <c r="Q284" i="4"/>
  <c r="Q297" i="4" s="1"/>
  <c r="R284" i="4"/>
  <c r="S284" i="4"/>
  <c r="T284" i="4"/>
  <c r="U284" i="4"/>
  <c r="U309" i="4" s="1"/>
  <c r="V284" i="4"/>
  <c r="V309" i="4" s="1"/>
  <c r="W284" i="4"/>
  <c r="X284" i="4"/>
  <c r="Y284" i="4"/>
  <c r="Y297" i="4" s="1"/>
  <c r="I287" i="4"/>
  <c r="R287" i="4"/>
  <c r="F95" i="1" s="1"/>
  <c r="R290" i="4"/>
  <c r="S290" i="4"/>
  <c r="T290" i="4"/>
  <c r="U290" i="4"/>
  <c r="N292" i="4"/>
  <c r="O292" i="4"/>
  <c r="P292" i="4"/>
  <c r="P317" i="4" s="1"/>
  <c r="Q292" i="4"/>
  <c r="Q317" i="4" s="1"/>
  <c r="R292" i="4"/>
  <c r="R317" i="4" s="1"/>
  <c r="V292" i="4"/>
  <c r="W292" i="4"/>
  <c r="X292" i="4"/>
  <c r="X317" i="4" s="1"/>
  <c r="Y292" i="4"/>
  <c r="Y317" i="4" s="1"/>
  <c r="N293" i="4"/>
  <c r="R293" i="4"/>
  <c r="S293" i="4"/>
  <c r="T293" i="4"/>
  <c r="U293" i="4"/>
  <c r="U318" i="4" s="1"/>
  <c r="V293" i="4"/>
  <c r="W293" i="4"/>
  <c r="W318" i="4" s="1"/>
  <c r="N294" i="4"/>
  <c r="O294" i="4"/>
  <c r="P294" i="4"/>
  <c r="R294" i="4"/>
  <c r="R319" i="4" s="1"/>
  <c r="V294" i="4"/>
  <c r="W294" i="4"/>
  <c r="X294" i="4"/>
  <c r="X319" i="4" s="1"/>
  <c r="P295" i="4"/>
  <c r="P320" i="4" s="1"/>
  <c r="R295" i="4"/>
  <c r="S295" i="4"/>
  <c r="T295" i="4"/>
  <c r="T320" i="4" s="1"/>
  <c r="X295" i="4"/>
  <c r="X320" i="4" s="1"/>
  <c r="N296" i="4"/>
  <c r="O296" i="4"/>
  <c r="P296" i="4"/>
  <c r="P321" i="4" s="1"/>
  <c r="V296" i="4"/>
  <c r="W296" i="4"/>
  <c r="X296" i="4"/>
  <c r="X321" i="4" s="1"/>
  <c r="Y296" i="4"/>
  <c r="Y321" i="4" s="1"/>
  <c r="R297" i="4"/>
  <c r="S297" i="4"/>
  <c r="T297" i="4"/>
  <c r="T322" i="4" s="1"/>
  <c r="U297" i="4"/>
  <c r="U322" i="4" s="1"/>
  <c r="V297" i="4"/>
  <c r="V322" i="4" s="1"/>
  <c r="I300" i="4"/>
  <c r="R303" i="4"/>
  <c r="S303" i="4"/>
  <c r="T303" i="4"/>
  <c r="N304" i="4"/>
  <c r="O304" i="4"/>
  <c r="P304" i="4"/>
  <c r="Q304" i="4"/>
  <c r="R304" i="4"/>
  <c r="U304" i="4"/>
  <c r="V304" i="4"/>
  <c r="W304" i="4"/>
  <c r="X304" i="4"/>
  <c r="Y304" i="4"/>
  <c r="N305" i="4"/>
  <c r="Q305" i="4"/>
  <c r="R305" i="4"/>
  <c r="S305" i="4"/>
  <c r="T305" i="4"/>
  <c r="U305" i="4"/>
  <c r="V305" i="4"/>
  <c r="Y305" i="4"/>
  <c r="N306" i="4"/>
  <c r="O306" i="4"/>
  <c r="P306" i="4"/>
  <c r="R306" i="4"/>
  <c r="U306" i="4"/>
  <c r="V306" i="4"/>
  <c r="W306" i="4"/>
  <c r="X306" i="4"/>
  <c r="Q307" i="4"/>
  <c r="R307" i="4"/>
  <c r="S307" i="4"/>
  <c r="T307" i="4"/>
  <c r="Y307" i="4"/>
  <c r="N308" i="4"/>
  <c r="O308" i="4"/>
  <c r="P308" i="4"/>
  <c r="U308" i="4"/>
  <c r="V308" i="4"/>
  <c r="W308" i="4"/>
  <c r="X308" i="4"/>
  <c r="Q309" i="4"/>
  <c r="R309" i="4"/>
  <c r="S309" i="4"/>
  <c r="T309" i="4"/>
  <c r="Y309" i="4"/>
  <c r="I312" i="4"/>
  <c r="R315" i="4"/>
  <c r="S315" i="4"/>
  <c r="R316" i="4"/>
  <c r="N317" i="4"/>
  <c r="O317" i="4"/>
  <c r="U317" i="4"/>
  <c r="V317" i="4"/>
  <c r="W317" i="4"/>
  <c r="N318" i="4"/>
  <c r="Q318" i="4"/>
  <c r="R318" i="4"/>
  <c r="S318" i="4"/>
  <c r="T318" i="4"/>
  <c r="V318" i="4"/>
  <c r="Y318" i="4"/>
  <c r="N319" i="4"/>
  <c r="O319" i="4"/>
  <c r="P319" i="4"/>
  <c r="U319" i="4"/>
  <c r="V319" i="4"/>
  <c r="W319" i="4"/>
  <c r="Q320" i="4"/>
  <c r="R320" i="4"/>
  <c r="S320" i="4"/>
  <c r="Y320" i="4"/>
  <c r="N321" i="4"/>
  <c r="O321" i="4"/>
  <c r="U321" i="4"/>
  <c r="V321" i="4"/>
  <c r="W321" i="4"/>
  <c r="Q322" i="4"/>
  <c r="R322" i="4"/>
  <c r="S322" i="4"/>
  <c r="Y322" i="4"/>
  <c r="I325" i="4"/>
  <c r="N329" i="4"/>
  <c r="O329" i="4"/>
  <c r="P329" i="4"/>
  <c r="Q329" i="4"/>
  <c r="R329" i="4"/>
  <c r="S329" i="4"/>
  <c r="T329" i="4"/>
  <c r="T341" i="4" s="1"/>
  <c r="U329" i="4"/>
  <c r="V329" i="4"/>
  <c r="W329" i="4"/>
  <c r="X329" i="4"/>
  <c r="Y329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N331" i="4"/>
  <c r="O331" i="4"/>
  <c r="P331" i="4"/>
  <c r="Q331" i="4"/>
  <c r="R331" i="4"/>
  <c r="S331" i="4"/>
  <c r="S343" i="4" s="1"/>
  <c r="T331" i="4"/>
  <c r="T343" i="4" s="1"/>
  <c r="T367" i="4" s="1"/>
  <c r="U331" i="4"/>
  <c r="U343" i="4" s="1"/>
  <c r="U367" i="4" s="1"/>
  <c r="V331" i="4"/>
  <c r="W331" i="4"/>
  <c r="X331" i="4"/>
  <c r="Y331" i="4"/>
  <c r="N332" i="4"/>
  <c r="O332" i="4"/>
  <c r="O344" i="4" s="1"/>
  <c r="O368" i="4" s="1"/>
  <c r="P332" i="4"/>
  <c r="P344" i="4" s="1"/>
  <c r="P368" i="4" s="1"/>
  <c r="Q332" i="4"/>
  <c r="R332" i="4"/>
  <c r="S332" i="4"/>
  <c r="T332" i="4"/>
  <c r="U332" i="4"/>
  <c r="V332" i="4"/>
  <c r="W332" i="4"/>
  <c r="W344" i="4" s="1"/>
  <c r="W368" i="4" s="1"/>
  <c r="X332" i="4"/>
  <c r="X344" i="4" s="1"/>
  <c r="X368" i="4" s="1"/>
  <c r="Y332" i="4"/>
  <c r="Y344" i="4" s="1"/>
  <c r="Y368" i="4" s="1"/>
  <c r="N333" i="4"/>
  <c r="O333" i="4"/>
  <c r="P333" i="4"/>
  <c r="Q333" i="4"/>
  <c r="R333" i="4"/>
  <c r="S333" i="4"/>
  <c r="S345" i="4" s="1"/>
  <c r="S369" i="4" s="1"/>
  <c r="T333" i="4"/>
  <c r="T345" i="4" s="1"/>
  <c r="U333" i="4"/>
  <c r="V333" i="4"/>
  <c r="W333" i="4"/>
  <c r="X333" i="4"/>
  <c r="Y333" i="4"/>
  <c r="N334" i="4"/>
  <c r="O334" i="4"/>
  <c r="O346" i="4" s="1"/>
  <c r="P334" i="4"/>
  <c r="P346" i="4" s="1"/>
  <c r="Q334" i="4"/>
  <c r="Q346" i="4" s="1"/>
  <c r="Q370" i="4" s="1"/>
  <c r="R334" i="4"/>
  <c r="S334" i="4"/>
  <c r="T334" i="4"/>
  <c r="U334" i="4"/>
  <c r="V334" i="4"/>
  <c r="W334" i="4"/>
  <c r="W346" i="4" s="1"/>
  <c r="X334" i="4"/>
  <c r="X346" i="4" s="1"/>
  <c r="Y334" i="4"/>
  <c r="N335" i="4"/>
  <c r="O335" i="4"/>
  <c r="P335" i="4"/>
  <c r="Q335" i="4"/>
  <c r="R335" i="4"/>
  <c r="S335" i="4"/>
  <c r="S347" i="4" s="1"/>
  <c r="T335" i="4"/>
  <c r="T347" i="4" s="1"/>
  <c r="T371" i="4" s="1"/>
  <c r="U335" i="4"/>
  <c r="U347" i="4" s="1"/>
  <c r="U371" i="4" s="1"/>
  <c r="V335" i="4"/>
  <c r="W335" i="4"/>
  <c r="X335" i="4"/>
  <c r="Y335" i="4"/>
  <c r="T337" i="4"/>
  <c r="U337" i="4"/>
  <c r="V337" i="4"/>
  <c r="V361" i="4" s="1"/>
  <c r="I338" i="4"/>
  <c r="N338" i="4"/>
  <c r="S338" i="4"/>
  <c r="G78" i="1" s="1"/>
  <c r="T338" i="4"/>
  <c r="U338" i="4"/>
  <c r="O341" i="4"/>
  <c r="P341" i="4"/>
  <c r="P365" i="4" s="1"/>
  <c r="P353" i="4" s="1"/>
  <c r="Q341" i="4"/>
  <c r="R341" i="4"/>
  <c r="W341" i="4"/>
  <c r="X341" i="4"/>
  <c r="X365" i="4" s="1"/>
  <c r="X353" i="4" s="1"/>
  <c r="Y341" i="4"/>
  <c r="Y365" i="4" s="1"/>
  <c r="N342" i="4"/>
  <c r="S342" i="4"/>
  <c r="S366" i="4" s="1"/>
  <c r="S354" i="4" s="1"/>
  <c r="T342" i="4"/>
  <c r="T366" i="4" s="1"/>
  <c r="T354" i="4" s="1"/>
  <c r="U342" i="4"/>
  <c r="U366" i="4" s="1"/>
  <c r="U354" i="4" s="1"/>
  <c r="V342" i="4"/>
  <c r="O343" i="4"/>
  <c r="O367" i="4" s="1"/>
  <c r="O355" i="4" s="1"/>
  <c r="P343" i="4"/>
  <c r="Q343" i="4"/>
  <c r="Q367" i="4" s="1"/>
  <c r="Q355" i="4" s="1"/>
  <c r="R343" i="4"/>
  <c r="W343" i="4"/>
  <c r="W367" i="4" s="1"/>
  <c r="W355" i="4" s="1"/>
  <c r="X343" i="4"/>
  <c r="Y343" i="4"/>
  <c r="Y367" i="4" s="1"/>
  <c r="Y355" i="4" s="1"/>
  <c r="N344" i="4"/>
  <c r="N368" i="4" s="1"/>
  <c r="S344" i="4"/>
  <c r="S368" i="4" s="1"/>
  <c r="S356" i="4" s="1"/>
  <c r="T344" i="4"/>
  <c r="U344" i="4"/>
  <c r="V344" i="4"/>
  <c r="V368" i="4" s="1"/>
  <c r="V356" i="4" s="1"/>
  <c r="O345" i="4"/>
  <c r="P345" i="4"/>
  <c r="P369" i="4" s="1"/>
  <c r="P357" i="4" s="1"/>
  <c r="Q345" i="4"/>
  <c r="Q369" i="4" s="1"/>
  <c r="Q357" i="4" s="1"/>
  <c r="R345" i="4"/>
  <c r="R369" i="4" s="1"/>
  <c r="R357" i="4" s="1"/>
  <c r="W345" i="4"/>
  <c r="W369" i="4" s="1"/>
  <c r="W357" i="4" s="1"/>
  <c r="X345" i="4"/>
  <c r="X369" i="4" s="1"/>
  <c r="X357" i="4" s="1"/>
  <c r="Y345" i="4"/>
  <c r="Y369" i="4" s="1"/>
  <c r="Y357" i="4" s="1"/>
  <c r="N346" i="4"/>
  <c r="S346" i="4"/>
  <c r="S370" i="4" s="1"/>
  <c r="S358" i="4" s="1"/>
  <c r="T346" i="4"/>
  <c r="T370" i="4" s="1"/>
  <c r="T358" i="4" s="1"/>
  <c r="U346" i="4"/>
  <c r="U370" i="4" s="1"/>
  <c r="U358" i="4" s="1"/>
  <c r="V346" i="4"/>
  <c r="V370" i="4" s="1"/>
  <c r="V358" i="4" s="1"/>
  <c r="O347" i="4"/>
  <c r="O371" i="4" s="1"/>
  <c r="O359" i="4" s="1"/>
  <c r="P347" i="4"/>
  <c r="Q347" i="4"/>
  <c r="Q371" i="4" s="1"/>
  <c r="Q359" i="4" s="1"/>
  <c r="R347" i="4"/>
  <c r="W347" i="4"/>
  <c r="W371" i="4" s="1"/>
  <c r="W359" i="4" s="1"/>
  <c r="X347" i="4"/>
  <c r="Y347" i="4"/>
  <c r="N348" i="4"/>
  <c r="N372" i="4" s="1"/>
  <c r="N360" i="4" s="1"/>
  <c r="O348" i="4"/>
  <c r="P348" i="4"/>
  <c r="P372" i="4" s="1"/>
  <c r="Q348" i="4"/>
  <c r="R348" i="4"/>
  <c r="S348" i="4"/>
  <c r="T348" i="4"/>
  <c r="U348" i="4"/>
  <c r="V348" i="4"/>
  <c r="V372" i="4" s="1"/>
  <c r="W348" i="4"/>
  <c r="X348" i="4"/>
  <c r="X372" i="4" s="1"/>
  <c r="Y348" i="4"/>
  <c r="T349" i="4"/>
  <c r="U349" i="4"/>
  <c r="V349" i="4"/>
  <c r="W349" i="4"/>
  <c r="X349" i="4"/>
  <c r="X373" i="4" s="1"/>
  <c r="X361" i="4" s="1"/>
  <c r="Y349" i="4"/>
  <c r="Y373" i="4" s="1"/>
  <c r="Y361" i="4" s="1"/>
  <c r="I350" i="4"/>
  <c r="T355" i="4"/>
  <c r="U355" i="4"/>
  <c r="O356" i="4"/>
  <c r="P356" i="4"/>
  <c r="W356" i="4"/>
  <c r="X356" i="4"/>
  <c r="Y356" i="4"/>
  <c r="S357" i="4"/>
  <c r="O358" i="4"/>
  <c r="P358" i="4"/>
  <c r="Q358" i="4"/>
  <c r="S359" i="4"/>
  <c r="T359" i="4"/>
  <c r="U359" i="4"/>
  <c r="O360" i="4"/>
  <c r="P360" i="4"/>
  <c r="Q360" i="4"/>
  <c r="V360" i="4"/>
  <c r="W360" i="4"/>
  <c r="X360" i="4"/>
  <c r="Y360" i="4"/>
  <c r="O365" i="4"/>
  <c r="O353" i="4" s="1"/>
  <c r="T365" i="4"/>
  <c r="AD365" i="4"/>
  <c r="N366" i="4"/>
  <c r="V366" i="4"/>
  <c r="V354" i="4" s="1"/>
  <c r="AD366" i="4"/>
  <c r="P367" i="4"/>
  <c r="P355" i="4" s="1"/>
  <c r="R367" i="4"/>
  <c r="R355" i="4" s="1"/>
  <c r="S367" i="4"/>
  <c r="S355" i="4" s="1"/>
  <c r="X367" i="4"/>
  <c r="X355" i="4" s="1"/>
  <c r="AD367" i="4"/>
  <c r="T368" i="4"/>
  <c r="T356" i="4" s="1"/>
  <c r="U368" i="4"/>
  <c r="U356" i="4" s="1"/>
  <c r="AD368" i="4"/>
  <c r="O369" i="4"/>
  <c r="O357" i="4" s="1"/>
  <c r="T369" i="4"/>
  <c r="T357" i="4" s="1"/>
  <c r="AD369" i="4"/>
  <c r="N370" i="4"/>
  <c r="O370" i="4"/>
  <c r="P370" i="4"/>
  <c r="W370" i="4"/>
  <c r="W358" i="4" s="1"/>
  <c r="X370" i="4"/>
  <c r="X358" i="4" s="1"/>
  <c r="AD370" i="4"/>
  <c r="P371" i="4"/>
  <c r="P359" i="4" s="1"/>
  <c r="R371" i="4"/>
  <c r="R359" i="4" s="1"/>
  <c r="S371" i="4"/>
  <c r="X371" i="4"/>
  <c r="X359" i="4" s="1"/>
  <c r="Y371" i="4"/>
  <c r="Y359" i="4" s="1"/>
  <c r="O372" i="4"/>
  <c r="Q372" i="4"/>
  <c r="R372" i="4"/>
  <c r="R360" i="4" s="1"/>
  <c r="S372" i="4"/>
  <c r="S360" i="4" s="1"/>
  <c r="T372" i="4"/>
  <c r="U372" i="4"/>
  <c r="U360" i="4" s="1"/>
  <c r="W372" i="4"/>
  <c r="Y372" i="4"/>
  <c r="T373" i="4"/>
  <c r="T361" i="4" s="1"/>
  <c r="U373" i="4"/>
  <c r="V373" i="4"/>
  <c r="W373" i="4"/>
  <c r="W361" i="4" s="1"/>
  <c r="I374" i="4"/>
  <c r="AD374" i="4"/>
  <c r="N378" i="4"/>
  <c r="Z378" i="4" s="1"/>
  <c r="O378" i="4"/>
  <c r="P378" i="4"/>
  <c r="Q378" i="4"/>
  <c r="R378" i="4"/>
  <c r="S378" i="4"/>
  <c r="T378" i="4"/>
  <c r="U378" i="4"/>
  <c r="V378" i="4"/>
  <c r="W378" i="4"/>
  <c r="X378" i="4"/>
  <c r="Y378" i="4"/>
  <c r="N385" i="4"/>
  <c r="N398" i="4" s="1"/>
  <c r="O385" i="4"/>
  <c r="P385" i="4"/>
  <c r="Q385" i="4"/>
  <c r="R385" i="4"/>
  <c r="S385" i="4"/>
  <c r="T385" i="4"/>
  <c r="U385" i="4"/>
  <c r="V385" i="4"/>
  <c r="W385" i="4"/>
  <c r="X385" i="4"/>
  <c r="Y385" i="4"/>
  <c r="N386" i="4"/>
  <c r="N387" i="4"/>
  <c r="O387" i="4"/>
  <c r="P387" i="4"/>
  <c r="Q387" i="4"/>
  <c r="R387" i="4"/>
  <c r="S387" i="4"/>
  <c r="T387" i="4"/>
  <c r="T400" i="4" s="1"/>
  <c r="T426" i="4" s="1"/>
  <c r="T413" i="4" s="1"/>
  <c r="U387" i="4"/>
  <c r="V387" i="4"/>
  <c r="V400" i="4" s="1"/>
  <c r="V426" i="4" s="1"/>
  <c r="W387" i="4"/>
  <c r="X387" i="4"/>
  <c r="Y387" i="4"/>
  <c r="N388" i="4"/>
  <c r="O388" i="4"/>
  <c r="P388" i="4"/>
  <c r="P395" i="4" s="1"/>
  <c r="Q388" i="4"/>
  <c r="R388" i="4"/>
  <c r="R401" i="4" s="1"/>
  <c r="S388" i="4"/>
  <c r="T388" i="4"/>
  <c r="U388" i="4"/>
  <c r="V388" i="4"/>
  <c r="W388" i="4"/>
  <c r="X388" i="4"/>
  <c r="Y388" i="4"/>
  <c r="Y395" i="4" s="1"/>
  <c r="M85" i="1" s="1"/>
  <c r="O389" i="4"/>
  <c r="O402" i="4" s="1"/>
  <c r="P389" i="4"/>
  <c r="Q389" i="4"/>
  <c r="R389" i="4"/>
  <c r="S389" i="4"/>
  <c r="T389" i="4"/>
  <c r="U389" i="4"/>
  <c r="U415" i="4" s="1"/>
  <c r="V389" i="4"/>
  <c r="W389" i="4"/>
  <c r="X389" i="4"/>
  <c r="Y389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Y403" i="4" s="1"/>
  <c r="Y429" i="4" s="1"/>
  <c r="Y416" i="4" s="1"/>
  <c r="N391" i="4"/>
  <c r="N404" i="4" s="1"/>
  <c r="N430" i="4" s="1"/>
  <c r="O391" i="4"/>
  <c r="P391" i="4"/>
  <c r="Q391" i="4"/>
  <c r="R391" i="4"/>
  <c r="R404" i="4" s="1"/>
  <c r="R430" i="4" s="1"/>
  <c r="S391" i="4"/>
  <c r="T391" i="4"/>
  <c r="U391" i="4"/>
  <c r="U404" i="4" s="1"/>
  <c r="U430" i="4" s="1"/>
  <c r="V391" i="4"/>
  <c r="W391" i="4"/>
  <c r="X391" i="4"/>
  <c r="Y391" i="4"/>
  <c r="N392" i="4"/>
  <c r="O392" i="4"/>
  <c r="P392" i="4"/>
  <c r="Q392" i="4"/>
  <c r="R392" i="4"/>
  <c r="S392" i="4"/>
  <c r="T392" i="4"/>
  <c r="T405" i="4" s="1"/>
  <c r="T431" i="4" s="1"/>
  <c r="U392" i="4"/>
  <c r="V392" i="4"/>
  <c r="W392" i="4"/>
  <c r="X392" i="4"/>
  <c r="Y392" i="4"/>
  <c r="N393" i="4"/>
  <c r="O393" i="4"/>
  <c r="P393" i="4"/>
  <c r="Q393" i="4"/>
  <c r="R393" i="4"/>
  <c r="R406" i="4" s="1"/>
  <c r="R432" i="4" s="1"/>
  <c r="R419" i="4" s="1"/>
  <c r="S393" i="4"/>
  <c r="T393" i="4"/>
  <c r="U393" i="4"/>
  <c r="V393" i="4"/>
  <c r="W393" i="4"/>
  <c r="X393" i="4"/>
  <c r="Y393" i="4"/>
  <c r="N394" i="4"/>
  <c r="O394" i="4"/>
  <c r="P394" i="4"/>
  <c r="Q394" i="4"/>
  <c r="Q407" i="4" s="1"/>
  <c r="Q433" i="4" s="1"/>
  <c r="R394" i="4"/>
  <c r="S394" i="4"/>
  <c r="T394" i="4"/>
  <c r="U394" i="4"/>
  <c r="V394" i="4"/>
  <c r="W394" i="4"/>
  <c r="X394" i="4"/>
  <c r="Y394" i="4"/>
  <c r="I395" i="4"/>
  <c r="O398" i="4"/>
  <c r="P398" i="4"/>
  <c r="P424" i="4" s="1"/>
  <c r="U398" i="4"/>
  <c r="W398" i="4"/>
  <c r="X398" i="4"/>
  <c r="X424" i="4" s="1"/>
  <c r="Y398" i="4"/>
  <c r="O399" i="4"/>
  <c r="P399" i="4"/>
  <c r="Q399" i="4"/>
  <c r="Q425" i="4" s="1"/>
  <c r="Q412" i="4" s="1"/>
  <c r="R399" i="4"/>
  <c r="S399" i="4"/>
  <c r="T399" i="4"/>
  <c r="U399" i="4"/>
  <c r="U425" i="4" s="1"/>
  <c r="U412" i="4" s="1"/>
  <c r="V399" i="4"/>
  <c r="W399" i="4"/>
  <c r="X399" i="4"/>
  <c r="Y399" i="4"/>
  <c r="Y425" i="4" s="1"/>
  <c r="Y412" i="4" s="1"/>
  <c r="P400" i="4"/>
  <c r="P426" i="4" s="1"/>
  <c r="Q400" i="4"/>
  <c r="Q426" i="4" s="1"/>
  <c r="R400" i="4"/>
  <c r="S400" i="4"/>
  <c r="X400" i="4"/>
  <c r="Y400" i="4"/>
  <c r="N401" i="4"/>
  <c r="N427" i="4" s="1"/>
  <c r="O401" i="4"/>
  <c r="O427" i="4" s="1"/>
  <c r="O414" i="4" s="1"/>
  <c r="T401" i="4"/>
  <c r="V401" i="4"/>
  <c r="W401" i="4"/>
  <c r="W427" i="4" s="1"/>
  <c r="W414" i="4" s="1"/>
  <c r="X401" i="4"/>
  <c r="X427" i="4" s="1"/>
  <c r="X414" i="4" s="1"/>
  <c r="Y401" i="4"/>
  <c r="Y427" i="4" s="1"/>
  <c r="N402" i="4"/>
  <c r="P402" i="4"/>
  <c r="Q402" i="4"/>
  <c r="S402" i="4"/>
  <c r="S428" i="4" s="1"/>
  <c r="S415" i="4" s="1"/>
  <c r="T402" i="4"/>
  <c r="T428" i="4" s="1"/>
  <c r="U402" i="4"/>
  <c r="Y402" i="4"/>
  <c r="N403" i="4"/>
  <c r="N429" i="4" s="1"/>
  <c r="O403" i="4"/>
  <c r="P403" i="4"/>
  <c r="Q403" i="4"/>
  <c r="U403" i="4"/>
  <c r="U429" i="4" s="1"/>
  <c r="V403" i="4"/>
  <c r="V429" i="4" s="1"/>
  <c r="W403" i="4"/>
  <c r="X403" i="4"/>
  <c r="Q404" i="4"/>
  <c r="S404" i="4"/>
  <c r="S430" i="4" s="1"/>
  <c r="S417" i="4" s="1"/>
  <c r="T404" i="4"/>
  <c r="T430" i="4" s="1"/>
  <c r="T417" i="4" s="1"/>
  <c r="Y404" i="4"/>
  <c r="O405" i="4"/>
  <c r="P405" i="4"/>
  <c r="P431" i="4" s="1"/>
  <c r="P418" i="4" s="1"/>
  <c r="Q405" i="4"/>
  <c r="Q431" i="4" s="1"/>
  <c r="Q418" i="4" s="1"/>
  <c r="U405" i="4"/>
  <c r="V405" i="4"/>
  <c r="V431" i="4" s="1"/>
  <c r="W405" i="4"/>
  <c r="X405" i="4"/>
  <c r="Y405" i="4"/>
  <c r="Y431" i="4" s="1"/>
  <c r="Y418" i="4" s="1"/>
  <c r="P406" i="4"/>
  <c r="P432" i="4" s="1"/>
  <c r="Q406" i="4"/>
  <c r="Q432" i="4" s="1"/>
  <c r="Q419" i="4" s="1"/>
  <c r="S406" i="4"/>
  <c r="S432" i="4" s="1"/>
  <c r="T406" i="4"/>
  <c r="T432" i="4" s="1"/>
  <c r="Y406" i="4"/>
  <c r="N407" i="4"/>
  <c r="N433" i="4" s="1"/>
  <c r="O407" i="4"/>
  <c r="O433" i="4" s="1"/>
  <c r="P407" i="4"/>
  <c r="P433" i="4" s="1"/>
  <c r="P420" i="4" s="1"/>
  <c r="T407" i="4"/>
  <c r="T433" i="4" s="1"/>
  <c r="U407" i="4"/>
  <c r="W407" i="4"/>
  <c r="W433" i="4" s="1"/>
  <c r="X407" i="4"/>
  <c r="Y407" i="4"/>
  <c r="Y433" i="4" s="1"/>
  <c r="I408" i="4"/>
  <c r="O411" i="4"/>
  <c r="W411" i="4"/>
  <c r="X411" i="4"/>
  <c r="R412" i="4"/>
  <c r="S412" i="4"/>
  <c r="T412" i="4"/>
  <c r="X412" i="4"/>
  <c r="P413" i="4"/>
  <c r="S413" i="4"/>
  <c r="V413" i="4"/>
  <c r="R414" i="4"/>
  <c r="O415" i="4"/>
  <c r="P415" i="4"/>
  <c r="T415" i="4"/>
  <c r="N416" i="4"/>
  <c r="U417" i="4"/>
  <c r="T418" i="4"/>
  <c r="U418" i="4"/>
  <c r="W418" i="4"/>
  <c r="S419" i="4"/>
  <c r="T419" i="4"/>
  <c r="N420" i="4"/>
  <c r="O420" i="4"/>
  <c r="W420" i="4"/>
  <c r="I421" i="4"/>
  <c r="O424" i="4"/>
  <c r="W424" i="4"/>
  <c r="O425" i="4"/>
  <c r="P425" i="4"/>
  <c r="P412" i="4" s="1"/>
  <c r="R425" i="4"/>
  <c r="S425" i="4"/>
  <c r="T425" i="4"/>
  <c r="V425" i="4"/>
  <c r="V412" i="4" s="1"/>
  <c r="W425" i="4"/>
  <c r="X425" i="4"/>
  <c r="R426" i="4"/>
  <c r="R413" i="4" s="1"/>
  <c r="S426" i="4"/>
  <c r="X426" i="4"/>
  <c r="X413" i="4" s="1"/>
  <c r="Y426" i="4"/>
  <c r="R427" i="4"/>
  <c r="T427" i="4"/>
  <c r="T414" i="4" s="1"/>
  <c r="V427" i="4"/>
  <c r="V414" i="4" s="1"/>
  <c r="O428" i="4"/>
  <c r="P428" i="4"/>
  <c r="Q428" i="4"/>
  <c r="U428" i="4"/>
  <c r="Y428" i="4"/>
  <c r="O429" i="4"/>
  <c r="O416" i="4" s="1"/>
  <c r="P429" i="4"/>
  <c r="P416" i="4" s="1"/>
  <c r="Q429" i="4"/>
  <c r="Q416" i="4" s="1"/>
  <c r="W429" i="4"/>
  <c r="W416" i="4" s="1"/>
  <c r="X429" i="4"/>
  <c r="X416" i="4" s="1"/>
  <c r="Q430" i="4"/>
  <c r="Q417" i="4" s="1"/>
  <c r="Y430" i="4"/>
  <c r="Y417" i="4" s="1"/>
  <c r="O431" i="4"/>
  <c r="O418" i="4" s="1"/>
  <c r="U431" i="4"/>
  <c r="W431" i="4"/>
  <c r="X431" i="4"/>
  <c r="X418" i="4" s="1"/>
  <c r="Y432" i="4"/>
  <c r="Y419" i="4" s="1"/>
  <c r="AD432" i="4"/>
  <c r="U433" i="4"/>
  <c r="U420" i="4" s="1"/>
  <c r="X433" i="4"/>
  <c r="X420" i="4" s="1"/>
  <c r="AD433" i="4"/>
  <c r="I434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N445" i="4"/>
  <c r="O445" i="4"/>
  <c r="P445" i="4"/>
  <c r="Q445" i="4"/>
  <c r="Q468" i="4" s="1"/>
  <c r="R445" i="4"/>
  <c r="S445" i="4"/>
  <c r="T445" i="4"/>
  <c r="U445" i="4"/>
  <c r="U471" i="4" s="1"/>
  <c r="V445" i="4"/>
  <c r="N446" i="4"/>
  <c r="O446" i="4"/>
  <c r="P446" i="4"/>
  <c r="P468" i="4" s="1"/>
  <c r="Q446" i="4"/>
  <c r="R446" i="4"/>
  <c r="S446" i="4"/>
  <c r="T446" i="4"/>
  <c r="U446" i="4"/>
  <c r="V446" i="4"/>
  <c r="W446" i="4"/>
  <c r="X446" i="4"/>
  <c r="X468" i="4" s="1"/>
  <c r="L53" i="1" s="1"/>
  <c r="Y446" i="4"/>
  <c r="N447" i="4"/>
  <c r="O447" i="4"/>
  <c r="P447" i="4"/>
  <c r="Q447" i="4"/>
  <c r="R447" i="4"/>
  <c r="S447" i="4"/>
  <c r="T447" i="4"/>
  <c r="T473" i="4" s="1"/>
  <c r="U447" i="4"/>
  <c r="Y447" i="4"/>
  <c r="N448" i="4"/>
  <c r="N474" i="4" s="1"/>
  <c r="O448" i="4"/>
  <c r="P448" i="4"/>
  <c r="N449" i="4"/>
  <c r="O449" i="4"/>
  <c r="P449" i="4"/>
  <c r="Q449" i="4"/>
  <c r="Q475" i="4" s="1"/>
  <c r="Q525" i="4" s="1"/>
  <c r="R449" i="4"/>
  <c r="S449" i="4"/>
  <c r="T449" i="4"/>
  <c r="T475" i="4" s="1"/>
  <c r="T525" i="4" s="1"/>
  <c r="T500" i="4" s="1"/>
  <c r="U449" i="4"/>
  <c r="V449" i="4"/>
  <c r="W449" i="4"/>
  <c r="X449" i="4"/>
  <c r="Y449" i="4"/>
  <c r="Y475" i="4" s="1"/>
  <c r="Y525" i="4" s="1"/>
  <c r="N450" i="4"/>
  <c r="O450" i="4"/>
  <c r="P450" i="4"/>
  <c r="P476" i="4" s="1"/>
  <c r="P526" i="4" s="1"/>
  <c r="P501" i="4" s="1"/>
  <c r="Q450" i="4"/>
  <c r="N451" i="4"/>
  <c r="O451" i="4"/>
  <c r="P451" i="4"/>
  <c r="Q451" i="4"/>
  <c r="Q477" i="4" s="1"/>
  <c r="Q527" i="4" s="1"/>
  <c r="R451" i="4"/>
  <c r="S451" i="4"/>
  <c r="T451" i="4"/>
  <c r="T477" i="4" s="1"/>
  <c r="T527" i="4" s="1"/>
  <c r="T502" i="4" s="1"/>
  <c r="U451" i="4"/>
  <c r="V451" i="4"/>
  <c r="W451" i="4"/>
  <c r="X451" i="4"/>
  <c r="Y451" i="4"/>
  <c r="Y477" i="4" s="1"/>
  <c r="Y527" i="4" s="1"/>
  <c r="N452" i="4"/>
  <c r="O452" i="4"/>
  <c r="N453" i="4"/>
  <c r="O453" i="4"/>
  <c r="O504" i="4" s="1"/>
  <c r="P453" i="4"/>
  <c r="Q453" i="4"/>
  <c r="R453" i="4"/>
  <c r="S453" i="4"/>
  <c r="S479" i="4" s="1"/>
  <c r="T453" i="4"/>
  <c r="U453" i="4"/>
  <c r="V453" i="4"/>
  <c r="W453" i="4"/>
  <c r="N454" i="4"/>
  <c r="O454" i="4"/>
  <c r="P454" i="4"/>
  <c r="P480" i="4" s="1"/>
  <c r="P530" i="4" s="1"/>
  <c r="P505" i="4" s="1"/>
  <c r="Q454" i="4"/>
  <c r="R454" i="4"/>
  <c r="R480" i="4" s="1"/>
  <c r="R530" i="4" s="1"/>
  <c r="S454" i="4"/>
  <c r="T454" i="4"/>
  <c r="U454" i="4"/>
  <c r="V454" i="4"/>
  <c r="W454" i="4"/>
  <c r="N455" i="4"/>
  <c r="O455" i="4"/>
  <c r="O481" i="4" s="1"/>
  <c r="O531" i="4" s="1"/>
  <c r="P455" i="4"/>
  <c r="P481" i="4" s="1"/>
  <c r="P531" i="4" s="1"/>
  <c r="Q455" i="4"/>
  <c r="R455" i="4"/>
  <c r="S455" i="4"/>
  <c r="T455" i="4"/>
  <c r="U455" i="4"/>
  <c r="V455" i="4"/>
  <c r="W456" i="4"/>
  <c r="W482" i="4" s="1"/>
  <c r="W532" i="4" s="1"/>
  <c r="X456" i="4"/>
  <c r="Y456" i="4"/>
  <c r="Q457" i="4"/>
  <c r="Q483" i="4" s="1"/>
  <c r="Q533" i="4" s="1"/>
  <c r="Q508" i="4" s="1"/>
  <c r="R457" i="4"/>
  <c r="R483" i="4" s="1"/>
  <c r="S457" i="4"/>
  <c r="T457" i="4"/>
  <c r="U457" i="4"/>
  <c r="V457" i="4"/>
  <c r="V483" i="4" s="1"/>
  <c r="W457" i="4"/>
  <c r="W483" i="4" s="1"/>
  <c r="W533" i="4" s="1"/>
  <c r="X457" i="4"/>
  <c r="X483" i="4" s="1"/>
  <c r="Y457" i="4"/>
  <c r="Y483" i="4" s="1"/>
  <c r="Y533" i="4" s="1"/>
  <c r="Y508" i="4" s="1"/>
  <c r="R458" i="4"/>
  <c r="R484" i="4" s="1"/>
  <c r="S458" i="4"/>
  <c r="T458" i="4"/>
  <c r="U458" i="4"/>
  <c r="V458" i="4"/>
  <c r="W458" i="4"/>
  <c r="X458" i="4"/>
  <c r="Y458" i="4"/>
  <c r="N459" i="4"/>
  <c r="N485" i="4" s="1"/>
  <c r="O459" i="4"/>
  <c r="P459" i="4"/>
  <c r="Q459" i="4"/>
  <c r="R459" i="4"/>
  <c r="R485" i="4" s="1"/>
  <c r="S459" i="4"/>
  <c r="T459" i="4"/>
  <c r="U459" i="4"/>
  <c r="V459" i="4"/>
  <c r="V485" i="4" s="1"/>
  <c r="W459" i="4"/>
  <c r="X459" i="4"/>
  <c r="Y459" i="4"/>
  <c r="X460" i="4"/>
  <c r="X511" i="4" s="1"/>
  <c r="Y460" i="4"/>
  <c r="Y486" i="4" s="1"/>
  <c r="Y536" i="4" s="1"/>
  <c r="X461" i="4"/>
  <c r="X487" i="4" s="1"/>
  <c r="Y461" i="4"/>
  <c r="Y487" i="4" s="1"/>
  <c r="Y537" i="4" s="1"/>
  <c r="Y512" i="4" s="1"/>
  <c r="N462" i="4"/>
  <c r="N488" i="4" s="1"/>
  <c r="O462" i="4"/>
  <c r="P462" i="4"/>
  <c r="Q462" i="4"/>
  <c r="R462" i="4"/>
  <c r="S462" i="4"/>
  <c r="T462" i="4"/>
  <c r="T488" i="4" s="1"/>
  <c r="U462" i="4"/>
  <c r="U488" i="4" s="1"/>
  <c r="U538" i="4" s="1"/>
  <c r="U513" i="4" s="1"/>
  <c r="V462" i="4"/>
  <c r="V488" i="4" s="1"/>
  <c r="W462" i="4"/>
  <c r="X462" i="4"/>
  <c r="P463" i="4"/>
  <c r="P489" i="4" s="1"/>
  <c r="P539" i="4" s="1"/>
  <c r="P514" i="4" s="1"/>
  <c r="Q463" i="4"/>
  <c r="Q489" i="4" s="1"/>
  <c r="Q539" i="4" s="1"/>
  <c r="R463" i="4"/>
  <c r="R489" i="4" s="1"/>
  <c r="S463" i="4"/>
  <c r="T463" i="4"/>
  <c r="U463" i="4"/>
  <c r="U489" i="4" s="1"/>
  <c r="U539" i="4" s="1"/>
  <c r="U514" i="4" s="1"/>
  <c r="V463" i="4"/>
  <c r="W463" i="4"/>
  <c r="X463" i="4"/>
  <c r="X489" i="4" s="1"/>
  <c r="X539" i="4" s="1"/>
  <c r="X514" i="4" s="1"/>
  <c r="Y463" i="4"/>
  <c r="Y489" i="4" s="1"/>
  <c r="Y539" i="4" s="1"/>
  <c r="P464" i="4"/>
  <c r="P490" i="4" s="1"/>
  <c r="P540" i="4" s="1"/>
  <c r="P515" i="4" s="1"/>
  <c r="Q464" i="4"/>
  <c r="R464" i="4"/>
  <c r="S464" i="4"/>
  <c r="S490" i="4" s="1"/>
  <c r="S540" i="4" s="1"/>
  <c r="S515" i="4" s="1"/>
  <c r="T464" i="4"/>
  <c r="U464" i="4"/>
  <c r="V464" i="4"/>
  <c r="W464" i="4"/>
  <c r="X464" i="4"/>
  <c r="Y464" i="4"/>
  <c r="R465" i="4"/>
  <c r="S465" i="4"/>
  <c r="S491" i="4" s="1"/>
  <c r="S541" i="4" s="1"/>
  <c r="S516" i="4" s="1"/>
  <c r="T465" i="4"/>
  <c r="U465" i="4"/>
  <c r="V465" i="4"/>
  <c r="W465" i="4"/>
  <c r="X465" i="4"/>
  <c r="Y465" i="4"/>
  <c r="P466" i="4"/>
  <c r="T467" i="4"/>
  <c r="T493" i="4" s="1"/>
  <c r="T543" i="4" s="1"/>
  <c r="T518" i="4" s="1"/>
  <c r="U467" i="4"/>
  <c r="V467" i="4"/>
  <c r="W467" i="4"/>
  <c r="X467" i="4"/>
  <c r="X493" i="4" s="1"/>
  <c r="Y467" i="4"/>
  <c r="I468" i="4"/>
  <c r="O468" i="4"/>
  <c r="W468" i="4"/>
  <c r="N471" i="4"/>
  <c r="O471" i="4"/>
  <c r="P471" i="4"/>
  <c r="Q471" i="4"/>
  <c r="W471" i="4"/>
  <c r="X471" i="4"/>
  <c r="Y471" i="4"/>
  <c r="N472" i="4"/>
  <c r="O472" i="4"/>
  <c r="S472" i="4"/>
  <c r="T472" i="4"/>
  <c r="T522" i="4" s="1"/>
  <c r="T497" i="4" s="1"/>
  <c r="U472" i="4"/>
  <c r="V472" i="4"/>
  <c r="W472" i="4"/>
  <c r="O473" i="4"/>
  <c r="O523" i="4" s="1"/>
  <c r="O498" i="4" s="1"/>
  <c r="P473" i="4"/>
  <c r="Q473" i="4"/>
  <c r="R473" i="4"/>
  <c r="S473" i="4"/>
  <c r="S523" i="4" s="1"/>
  <c r="S498" i="4" s="1"/>
  <c r="V473" i="4"/>
  <c r="W473" i="4"/>
  <c r="X473" i="4"/>
  <c r="Y473" i="4"/>
  <c r="O474" i="4"/>
  <c r="O524" i="4" s="1"/>
  <c r="Q474" i="4"/>
  <c r="R474" i="4"/>
  <c r="S474" i="4"/>
  <c r="S524" i="4" s="1"/>
  <c r="S499" i="4" s="1"/>
  <c r="T474" i="4"/>
  <c r="U474" i="4"/>
  <c r="V474" i="4"/>
  <c r="W474" i="4"/>
  <c r="X474" i="4"/>
  <c r="Y474" i="4"/>
  <c r="N475" i="4"/>
  <c r="O475" i="4"/>
  <c r="O525" i="4" s="1"/>
  <c r="P475" i="4"/>
  <c r="S475" i="4"/>
  <c r="V475" i="4"/>
  <c r="W475" i="4"/>
  <c r="W525" i="4" s="1"/>
  <c r="W500" i="4" s="1"/>
  <c r="X475" i="4"/>
  <c r="O476" i="4"/>
  <c r="O526" i="4" s="1"/>
  <c r="R476" i="4"/>
  <c r="S476" i="4"/>
  <c r="T476" i="4"/>
  <c r="T526" i="4" s="1"/>
  <c r="T501" i="4" s="1"/>
  <c r="U476" i="4"/>
  <c r="V476" i="4"/>
  <c r="W476" i="4"/>
  <c r="W526" i="4" s="1"/>
  <c r="W501" i="4" s="1"/>
  <c r="X476" i="4"/>
  <c r="Y476" i="4"/>
  <c r="N477" i="4"/>
  <c r="O477" i="4"/>
  <c r="P477" i="4"/>
  <c r="P527" i="4" s="1"/>
  <c r="P502" i="4" s="1"/>
  <c r="S477" i="4"/>
  <c r="S527" i="4" s="1"/>
  <c r="V477" i="4"/>
  <c r="W477" i="4"/>
  <c r="X477" i="4"/>
  <c r="X527" i="4" s="1"/>
  <c r="X502" i="4" s="1"/>
  <c r="O478" i="4"/>
  <c r="P478" i="4"/>
  <c r="Q478" i="4"/>
  <c r="R478" i="4"/>
  <c r="S478" i="4"/>
  <c r="S528" i="4" s="1"/>
  <c r="S503" i="4" s="1"/>
  <c r="T478" i="4"/>
  <c r="U478" i="4"/>
  <c r="U528" i="4" s="1"/>
  <c r="U503" i="4" s="1"/>
  <c r="V478" i="4"/>
  <c r="W478" i="4"/>
  <c r="X478" i="4"/>
  <c r="Y478" i="4"/>
  <c r="N479" i="4"/>
  <c r="O479" i="4"/>
  <c r="P479" i="4"/>
  <c r="Q479" i="4"/>
  <c r="Q529" i="4" s="1"/>
  <c r="R479" i="4"/>
  <c r="V479" i="4"/>
  <c r="W479" i="4"/>
  <c r="W529" i="4" s="1"/>
  <c r="X479" i="4"/>
  <c r="X529" i="4" s="1"/>
  <c r="X504" i="4" s="1"/>
  <c r="Y479" i="4"/>
  <c r="Y529" i="4" s="1"/>
  <c r="Y504" i="4" s="1"/>
  <c r="N480" i="4"/>
  <c r="O480" i="4"/>
  <c r="S480" i="4"/>
  <c r="T480" i="4"/>
  <c r="U480" i="4"/>
  <c r="U530" i="4" s="1"/>
  <c r="V480" i="4"/>
  <c r="W480" i="4"/>
  <c r="W530" i="4" s="1"/>
  <c r="W505" i="4" s="1"/>
  <c r="X480" i="4"/>
  <c r="Y480" i="4"/>
  <c r="N481" i="4"/>
  <c r="Q481" i="4"/>
  <c r="R481" i="4"/>
  <c r="S481" i="4"/>
  <c r="T481" i="4"/>
  <c r="U481" i="4"/>
  <c r="V481" i="4"/>
  <c r="W481" i="4"/>
  <c r="X481" i="4"/>
  <c r="Y481" i="4"/>
  <c r="N482" i="4"/>
  <c r="O482" i="4"/>
  <c r="P482" i="4"/>
  <c r="Q482" i="4"/>
  <c r="R482" i="4"/>
  <c r="Y482" i="4"/>
  <c r="N483" i="4"/>
  <c r="O483" i="4"/>
  <c r="O533" i="4" s="1"/>
  <c r="O508" i="4" s="1"/>
  <c r="P483" i="4"/>
  <c r="S483" i="4"/>
  <c r="T483" i="4"/>
  <c r="T533" i="4" s="1"/>
  <c r="T508" i="4" s="1"/>
  <c r="U483" i="4"/>
  <c r="N484" i="4"/>
  <c r="O484" i="4"/>
  <c r="P484" i="4"/>
  <c r="P534" i="4" s="1"/>
  <c r="P509" i="4" s="1"/>
  <c r="Q484" i="4"/>
  <c r="Q534" i="4" s="1"/>
  <c r="Q509" i="4" s="1"/>
  <c r="S484" i="4"/>
  <c r="T484" i="4"/>
  <c r="U484" i="4"/>
  <c r="X484" i="4"/>
  <c r="Y484" i="4"/>
  <c r="Y534" i="4" s="1"/>
  <c r="Y509" i="4" s="1"/>
  <c r="O485" i="4"/>
  <c r="O535" i="4" s="1"/>
  <c r="P485" i="4"/>
  <c r="Q485" i="4"/>
  <c r="S485" i="4"/>
  <c r="S535" i="4" s="1"/>
  <c r="T485" i="4"/>
  <c r="U485" i="4"/>
  <c r="W485" i="4"/>
  <c r="X485" i="4"/>
  <c r="Y485" i="4"/>
  <c r="N486" i="4"/>
  <c r="O486" i="4"/>
  <c r="P486" i="4"/>
  <c r="P536" i="4" s="1"/>
  <c r="P511" i="4" s="1"/>
  <c r="Q486" i="4"/>
  <c r="R486" i="4"/>
  <c r="S486" i="4"/>
  <c r="T486" i="4"/>
  <c r="U486" i="4"/>
  <c r="V486" i="4"/>
  <c r="W486" i="4"/>
  <c r="X486" i="4"/>
  <c r="X536" i="4" s="1"/>
  <c r="N487" i="4"/>
  <c r="O487" i="4"/>
  <c r="O537" i="4" s="1"/>
  <c r="O512" i="4" s="1"/>
  <c r="P487" i="4"/>
  <c r="Q487" i="4"/>
  <c r="R487" i="4"/>
  <c r="S487" i="4"/>
  <c r="T487" i="4"/>
  <c r="U487" i="4"/>
  <c r="V487" i="4"/>
  <c r="W487" i="4"/>
  <c r="W537" i="4" s="1"/>
  <c r="W512" i="4" s="1"/>
  <c r="O488" i="4"/>
  <c r="O538" i="4" s="1"/>
  <c r="O513" i="4" s="1"/>
  <c r="P488" i="4"/>
  <c r="Q488" i="4"/>
  <c r="Q538" i="4" s="1"/>
  <c r="Q513" i="4" s="1"/>
  <c r="W488" i="4"/>
  <c r="W538" i="4" s="1"/>
  <c r="W513" i="4" s="1"/>
  <c r="X488" i="4"/>
  <c r="Y488" i="4"/>
  <c r="N489" i="4"/>
  <c r="O489" i="4"/>
  <c r="O539" i="4" s="1"/>
  <c r="O514" i="4" s="1"/>
  <c r="S489" i="4"/>
  <c r="T489" i="4"/>
  <c r="V489" i="4"/>
  <c r="W489" i="4"/>
  <c r="N490" i="4"/>
  <c r="O490" i="4"/>
  <c r="Q490" i="4"/>
  <c r="Q540" i="4" s="1"/>
  <c r="Q515" i="4" s="1"/>
  <c r="R490" i="4"/>
  <c r="R540" i="4" s="1"/>
  <c r="R515" i="4" s="1"/>
  <c r="T490" i="4"/>
  <c r="U490" i="4"/>
  <c r="V490" i="4"/>
  <c r="X490" i="4"/>
  <c r="Y490" i="4"/>
  <c r="Y540" i="4" s="1"/>
  <c r="Y515" i="4" s="1"/>
  <c r="R491" i="4"/>
  <c r="T491" i="4"/>
  <c r="U491" i="4"/>
  <c r="V491" i="4"/>
  <c r="X491" i="4"/>
  <c r="Y491" i="4"/>
  <c r="Y541" i="4" s="1"/>
  <c r="Y516" i="4" s="1"/>
  <c r="P492" i="4"/>
  <c r="P542" i="4" s="1"/>
  <c r="P517" i="4" s="1"/>
  <c r="U493" i="4"/>
  <c r="V493" i="4"/>
  <c r="W493" i="4"/>
  <c r="Y493" i="4"/>
  <c r="Y543" i="4" s="1"/>
  <c r="I494" i="4"/>
  <c r="P496" i="4"/>
  <c r="P498" i="4"/>
  <c r="V498" i="4"/>
  <c r="N499" i="4"/>
  <c r="O499" i="4"/>
  <c r="V499" i="4"/>
  <c r="N500" i="4"/>
  <c r="Y500" i="4"/>
  <c r="O501" i="4"/>
  <c r="V501" i="4"/>
  <c r="S502" i="4"/>
  <c r="V502" i="4"/>
  <c r="Y502" i="4"/>
  <c r="W503" i="4"/>
  <c r="N504" i="4"/>
  <c r="P504" i="4"/>
  <c r="Q504" i="4"/>
  <c r="R504" i="4"/>
  <c r="V504" i="4"/>
  <c r="W504" i="4"/>
  <c r="R505" i="4"/>
  <c r="S505" i="4"/>
  <c r="U505" i="4"/>
  <c r="O506" i="4"/>
  <c r="P506" i="4"/>
  <c r="Q506" i="4"/>
  <c r="X506" i="4"/>
  <c r="Y506" i="4"/>
  <c r="O507" i="4"/>
  <c r="R507" i="4"/>
  <c r="S507" i="4"/>
  <c r="T507" i="4"/>
  <c r="U507" i="4"/>
  <c r="V507" i="4"/>
  <c r="N508" i="4"/>
  <c r="W508" i="4"/>
  <c r="S509" i="4"/>
  <c r="T509" i="4"/>
  <c r="U509" i="4"/>
  <c r="X509" i="4"/>
  <c r="N510" i="4"/>
  <c r="O510" i="4"/>
  <c r="P510" i="4"/>
  <c r="X510" i="4"/>
  <c r="N511" i="4"/>
  <c r="U511" i="4"/>
  <c r="W511" i="4"/>
  <c r="Y511" i="4"/>
  <c r="Q512" i="4"/>
  <c r="R512" i="4"/>
  <c r="S512" i="4"/>
  <c r="T513" i="4"/>
  <c r="Y513" i="4"/>
  <c r="T514" i="4"/>
  <c r="Y514" i="4"/>
  <c r="T515" i="4"/>
  <c r="U515" i="4"/>
  <c r="T516" i="4"/>
  <c r="U516" i="4"/>
  <c r="U518" i="4"/>
  <c r="X518" i="4"/>
  <c r="I519" i="4"/>
  <c r="N521" i="4"/>
  <c r="P521" i="4"/>
  <c r="W521" i="4"/>
  <c r="W496" i="4" s="1"/>
  <c r="N522" i="4"/>
  <c r="O522" i="4"/>
  <c r="O497" i="4" s="1"/>
  <c r="S522" i="4"/>
  <c r="S497" i="4" s="1"/>
  <c r="U522" i="4"/>
  <c r="U497" i="4" s="1"/>
  <c r="V522" i="4"/>
  <c r="V497" i="4" s="1"/>
  <c r="W522" i="4"/>
  <c r="W497" i="4" s="1"/>
  <c r="P523" i="4"/>
  <c r="Q523" i="4"/>
  <c r="Q498" i="4" s="1"/>
  <c r="R523" i="4"/>
  <c r="R498" i="4" s="1"/>
  <c r="T523" i="4"/>
  <c r="T498" i="4" s="1"/>
  <c r="V523" i="4"/>
  <c r="W523" i="4"/>
  <c r="W498" i="4" s="1"/>
  <c r="X523" i="4"/>
  <c r="X498" i="4" s="1"/>
  <c r="Y523" i="4"/>
  <c r="Y498" i="4" s="1"/>
  <c r="N524" i="4"/>
  <c r="Q524" i="4"/>
  <c r="Q499" i="4" s="1"/>
  <c r="R524" i="4"/>
  <c r="R499" i="4" s="1"/>
  <c r="T524" i="4"/>
  <c r="T499" i="4" s="1"/>
  <c r="U524" i="4"/>
  <c r="U499" i="4" s="1"/>
  <c r="V524" i="4"/>
  <c r="W524" i="4"/>
  <c r="W499" i="4" s="1"/>
  <c r="X524" i="4"/>
  <c r="X499" i="4" s="1"/>
  <c r="Y524" i="4"/>
  <c r="Y499" i="4" s="1"/>
  <c r="N525" i="4"/>
  <c r="P525" i="4"/>
  <c r="P500" i="4" s="1"/>
  <c r="S525" i="4"/>
  <c r="S500" i="4" s="1"/>
  <c r="V525" i="4"/>
  <c r="V500" i="4" s="1"/>
  <c r="X525" i="4"/>
  <c r="X500" i="4" s="1"/>
  <c r="R526" i="4"/>
  <c r="R501" i="4" s="1"/>
  <c r="S526" i="4"/>
  <c r="S501" i="4" s="1"/>
  <c r="U526" i="4"/>
  <c r="U501" i="4" s="1"/>
  <c r="V526" i="4"/>
  <c r="X526" i="4"/>
  <c r="X501" i="4" s="1"/>
  <c r="Y526" i="4"/>
  <c r="Y501" i="4" s="1"/>
  <c r="N527" i="4"/>
  <c r="O527" i="4"/>
  <c r="O502" i="4" s="1"/>
  <c r="V527" i="4"/>
  <c r="W527" i="4"/>
  <c r="W502" i="4" s="1"/>
  <c r="O528" i="4"/>
  <c r="O503" i="4" s="1"/>
  <c r="P528" i="4"/>
  <c r="P503" i="4" s="1"/>
  <c r="Q528" i="4"/>
  <c r="Q503" i="4" s="1"/>
  <c r="R528" i="4"/>
  <c r="R503" i="4" s="1"/>
  <c r="T528" i="4"/>
  <c r="T503" i="4" s="1"/>
  <c r="V528" i="4"/>
  <c r="V503" i="4" s="1"/>
  <c r="W528" i="4"/>
  <c r="X528" i="4"/>
  <c r="X503" i="4" s="1"/>
  <c r="Y528" i="4"/>
  <c r="Y503" i="4" s="1"/>
  <c r="N529" i="4"/>
  <c r="O529" i="4"/>
  <c r="P529" i="4"/>
  <c r="R529" i="4"/>
  <c r="S529" i="4"/>
  <c r="V529" i="4"/>
  <c r="N530" i="4"/>
  <c r="N505" i="4" s="1"/>
  <c r="O530" i="4"/>
  <c r="O505" i="4" s="1"/>
  <c r="S530" i="4"/>
  <c r="T530" i="4"/>
  <c r="T505" i="4" s="1"/>
  <c r="V530" i="4"/>
  <c r="V505" i="4" s="1"/>
  <c r="X530" i="4"/>
  <c r="X505" i="4" s="1"/>
  <c r="Y530" i="4"/>
  <c r="Y505" i="4" s="1"/>
  <c r="N531" i="4"/>
  <c r="N506" i="4" s="1"/>
  <c r="Q531" i="4"/>
  <c r="R531" i="4"/>
  <c r="R506" i="4" s="1"/>
  <c r="S531" i="4"/>
  <c r="S506" i="4" s="1"/>
  <c r="T531" i="4"/>
  <c r="T506" i="4" s="1"/>
  <c r="U531" i="4"/>
  <c r="U506" i="4" s="1"/>
  <c r="V531" i="4"/>
  <c r="V506" i="4" s="1"/>
  <c r="W531" i="4"/>
  <c r="W506" i="4" s="1"/>
  <c r="X531" i="4"/>
  <c r="Y531" i="4"/>
  <c r="N532" i="4"/>
  <c r="O532" i="4"/>
  <c r="P532" i="4"/>
  <c r="P507" i="4" s="1"/>
  <c r="Q532" i="4"/>
  <c r="Q507" i="4" s="1"/>
  <c r="Y532" i="4"/>
  <c r="N533" i="4"/>
  <c r="P533" i="4"/>
  <c r="P508" i="4" s="1"/>
  <c r="R533" i="4"/>
  <c r="S533" i="4"/>
  <c r="S508" i="4" s="1"/>
  <c r="U533" i="4"/>
  <c r="U508" i="4" s="1"/>
  <c r="V533" i="4"/>
  <c r="X533" i="4"/>
  <c r="X508" i="4" s="1"/>
  <c r="N534" i="4"/>
  <c r="N509" i="4" s="1"/>
  <c r="O534" i="4"/>
  <c r="R534" i="4"/>
  <c r="R509" i="4" s="1"/>
  <c r="S534" i="4"/>
  <c r="T534" i="4"/>
  <c r="U534" i="4"/>
  <c r="X534" i="4"/>
  <c r="N535" i="4"/>
  <c r="P535" i="4"/>
  <c r="Q535" i="4"/>
  <c r="Q510" i="4" s="1"/>
  <c r="R535" i="4"/>
  <c r="T535" i="4"/>
  <c r="T510" i="4" s="1"/>
  <c r="U535" i="4"/>
  <c r="U510" i="4" s="1"/>
  <c r="V535" i="4"/>
  <c r="W535" i="4"/>
  <c r="W510" i="4" s="1"/>
  <c r="X535" i="4"/>
  <c r="Y535" i="4"/>
  <c r="Y510" i="4" s="1"/>
  <c r="AC535" i="4"/>
  <c r="AD535" i="4" s="1"/>
  <c r="N536" i="4"/>
  <c r="O536" i="4"/>
  <c r="O511" i="4" s="1"/>
  <c r="Q536" i="4"/>
  <c r="Q511" i="4" s="1"/>
  <c r="R536" i="4"/>
  <c r="R511" i="4" s="1"/>
  <c r="S536" i="4"/>
  <c r="S511" i="4" s="1"/>
  <c r="T536" i="4"/>
  <c r="T511" i="4" s="1"/>
  <c r="U536" i="4"/>
  <c r="V536" i="4"/>
  <c r="W536" i="4"/>
  <c r="N537" i="4"/>
  <c r="P537" i="4"/>
  <c r="P512" i="4" s="1"/>
  <c r="Q537" i="4"/>
  <c r="R537" i="4"/>
  <c r="S537" i="4"/>
  <c r="T537" i="4"/>
  <c r="T512" i="4" s="1"/>
  <c r="U537" i="4"/>
  <c r="U512" i="4" s="1"/>
  <c r="V537" i="4"/>
  <c r="V512" i="4" s="1"/>
  <c r="X537" i="4"/>
  <c r="X512" i="4" s="1"/>
  <c r="N538" i="4"/>
  <c r="N513" i="4" s="1"/>
  <c r="P538" i="4"/>
  <c r="P513" i="4" s="1"/>
  <c r="T538" i="4"/>
  <c r="V538" i="4"/>
  <c r="V513" i="4" s="1"/>
  <c r="X538" i="4"/>
  <c r="X513" i="4" s="1"/>
  <c r="Y538" i="4"/>
  <c r="N539" i="4"/>
  <c r="N514" i="4" s="1"/>
  <c r="R539" i="4"/>
  <c r="R514" i="4" s="1"/>
  <c r="S539" i="4"/>
  <c r="S514" i="4" s="1"/>
  <c r="T539" i="4"/>
  <c r="V539" i="4"/>
  <c r="V514" i="4" s="1"/>
  <c r="W539" i="4"/>
  <c r="W514" i="4" s="1"/>
  <c r="N540" i="4"/>
  <c r="N515" i="4" s="1"/>
  <c r="O540" i="4"/>
  <c r="O515" i="4" s="1"/>
  <c r="T540" i="4"/>
  <c r="U540" i="4"/>
  <c r="V540" i="4"/>
  <c r="V515" i="4" s="1"/>
  <c r="X540" i="4"/>
  <c r="X515" i="4" s="1"/>
  <c r="R541" i="4"/>
  <c r="R516" i="4" s="1"/>
  <c r="T541" i="4"/>
  <c r="U541" i="4"/>
  <c r="V541" i="4"/>
  <c r="V516" i="4" s="1"/>
  <c r="X541" i="4"/>
  <c r="X516" i="4" s="1"/>
  <c r="U543" i="4"/>
  <c r="V543" i="4"/>
  <c r="V518" i="4" s="1"/>
  <c r="W543" i="4"/>
  <c r="W518" i="4" s="1"/>
  <c r="X543" i="4"/>
  <c r="I544" i="4"/>
  <c r="AD544" i="4"/>
  <c r="AD545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N552" i="4"/>
  <c r="O552" i="4"/>
  <c r="P552" i="4"/>
  <c r="P556" i="4" s="1"/>
  <c r="D328" i="1" s="1"/>
  <c r="N553" i="4"/>
  <c r="O553" i="4"/>
  <c r="P553" i="4"/>
  <c r="Q553" i="4"/>
  <c r="N554" i="4"/>
  <c r="O554" i="4"/>
  <c r="O556" i="4" s="1"/>
  <c r="P554" i="4"/>
  <c r="Q554" i="4"/>
  <c r="R554" i="4"/>
  <c r="S554" i="4"/>
  <c r="T554" i="4"/>
  <c r="T556" i="4" s="1"/>
  <c r="U554" i="4"/>
  <c r="U556" i="4" s="1"/>
  <c r="I328" i="1" s="1"/>
  <c r="V554" i="4"/>
  <c r="V556" i="4" s="1"/>
  <c r="W554" i="4"/>
  <c r="W556" i="4" s="1"/>
  <c r="X554" i="4"/>
  <c r="Y554" i="4"/>
  <c r="Y556" i="4" s="1"/>
  <c r="M328" i="1" s="1"/>
  <c r="R556" i="4"/>
  <c r="S556" i="4"/>
  <c r="X556" i="4"/>
  <c r="N560" i="4"/>
  <c r="O560" i="4"/>
  <c r="P560" i="4"/>
  <c r="Q560" i="4"/>
  <c r="Q567" i="4" s="1"/>
  <c r="R560" i="4"/>
  <c r="S560" i="4"/>
  <c r="S567" i="4" s="1"/>
  <c r="T560" i="4"/>
  <c r="U560" i="4"/>
  <c r="V560" i="4"/>
  <c r="W560" i="4"/>
  <c r="X560" i="4"/>
  <c r="Y560" i="4"/>
  <c r="Y567" i="4" s="1"/>
  <c r="N561" i="4"/>
  <c r="O561" i="4"/>
  <c r="O568" i="4" s="1"/>
  <c r="O582" i="4" s="1"/>
  <c r="P561" i="4"/>
  <c r="P575" i="4" s="1"/>
  <c r="Q561" i="4"/>
  <c r="R561" i="4"/>
  <c r="S561" i="4"/>
  <c r="T561" i="4"/>
  <c r="T575" i="4" s="1"/>
  <c r="U561" i="4"/>
  <c r="U568" i="4" s="1"/>
  <c r="U582" i="4" s="1"/>
  <c r="V561" i="4"/>
  <c r="W561" i="4"/>
  <c r="W568" i="4" s="1"/>
  <c r="W582" i="4" s="1"/>
  <c r="X561" i="4"/>
  <c r="Y561" i="4"/>
  <c r="I564" i="4"/>
  <c r="N564" i="4"/>
  <c r="R564" i="4"/>
  <c r="T564" i="4"/>
  <c r="V564" i="4"/>
  <c r="J61" i="1" s="1"/>
  <c r="N567" i="4"/>
  <c r="N571" i="4" s="1"/>
  <c r="O567" i="4"/>
  <c r="O581" i="4" s="1"/>
  <c r="O585" i="4" s="1"/>
  <c r="P567" i="4"/>
  <c r="P581" i="4" s="1"/>
  <c r="R567" i="4"/>
  <c r="V567" i="4"/>
  <c r="X567" i="4"/>
  <c r="X581" i="4" s="1"/>
  <c r="N568" i="4"/>
  <c r="N582" i="4" s="1"/>
  <c r="R568" i="4"/>
  <c r="S568" i="4"/>
  <c r="S582" i="4" s="1"/>
  <c r="T568" i="4"/>
  <c r="V568" i="4"/>
  <c r="O571" i="4"/>
  <c r="N574" i="4"/>
  <c r="N578" i="4" s="1"/>
  <c r="Q574" i="4"/>
  <c r="R574" i="4"/>
  <c r="S574" i="4"/>
  <c r="T574" i="4"/>
  <c r="V574" i="4"/>
  <c r="Y574" i="4"/>
  <c r="N575" i="4"/>
  <c r="O575" i="4"/>
  <c r="R575" i="4"/>
  <c r="U575" i="4"/>
  <c r="V575" i="4"/>
  <c r="W575" i="4"/>
  <c r="X575" i="4"/>
  <c r="R578" i="4"/>
  <c r="T578" i="4"/>
  <c r="V578" i="4"/>
  <c r="N581" i="4"/>
  <c r="V581" i="4"/>
  <c r="R582" i="4"/>
  <c r="T582" i="4"/>
  <c r="N587" i="4"/>
  <c r="O587" i="4"/>
  <c r="R587" i="4"/>
  <c r="T587" i="4"/>
  <c r="U587" i="4"/>
  <c r="V587" i="4"/>
  <c r="W587" i="4"/>
  <c r="N588" i="4"/>
  <c r="P588" i="4"/>
  <c r="Q588" i="4"/>
  <c r="R588" i="4"/>
  <c r="R590" i="4" s="1"/>
  <c r="S588" i="4"/>
  <c r="V588" i="4"/>
  <c r="X588" i="4"/>
  <c r="Y588" i="4"/>
  <c r="N590" i="4"/>
  <c r="V590" i="4"/>
  <c r="N594" i="4"/>
  <c r="N623" i="4" s="1"/>
  <c r="O594" i="4"/>
  <c r="O623" i="4" s="1"/>
  <c r="P594" i="4"/>
  <c r="Q594" i="4"/>
  <c r="Q600" i="4" s="1"/>
  <c r="R594" i="4"/>
  <c r="S594" i="4"/>
  <c r="S606" i="4" s="1"/>
  <c r="T594" i="4"/>
  <c r="T623" i="4" s="1"/>
  <c r="U594" i="4"/>
  <c r="V594" i="4"/>
  <c r="V623" i="4" s="1"/>
  <c r="W594" i="4"/>
  <c r="W623" i="4" s="1"/>
  <c r="X594" i="4"/>
  <c r="N595" i="4"/>
  <c r="O595" i="4"/>
  <c r="P595" i="4"/>
  <c r="P601" i="4" s="1"/>
  <c r="P613" i="4" s="1"/>
  <c r="Q595" i="4"/>
  <c r="R595" i="4"/>
  <c r="R598" i="4" s="1"/>
  <c r="S595" i="4"/>
  <c r="T595" i="4"/>
  <c r="U595" i="4"/>
  <c r="V595" i="4"/>
  <c r="W595" i="4"/>
  <c r="X595" i="4"/>
  <c r="Y595" i="4"/>
  <c r="I598" i="4"/>
  <c r="O598" i="4"/>
  <c r="C68" i="1" s="1"/>
  <c r="Q598" i="4"/>
  <c r="W598" i="4"/>
  <c r="K68" i="1" s="1"/>
  <c r="X598" i="4"/>
  <c r="Y598" i="4"/>
  <c r="M68" i="1" s="1"/>
  <c r="R600" i="4"/>
  <c r="T600" i="4"/>
  <c r="T612" i="4" s="1"/>
  <c r="U600" i="4"/>
  <c r="W600" i="4"/>
  <c r="Y600" i="4"/>
  <c r="Y612" i="4" s="1"/>
  <c r="O601" i="4"/>
  <c r="O613" i="4" s="1"/>
  <c r="O607" i="4" s="1"/>
  <c r="Q601" i="4"/>
  <c r="Q613" i="4" s="1"/>
  <c r="Q607" i="4" s="1"/>
  <c r="S601" i="4"/>
  <c r="W601" i="4"/>
  <c r="W613" i="4" s="1"/>
  <c r="W607" i="4" s="1"/>
  <c r="Y601" i="4"/>
  <c r="I604" i="4"/>
  <c r="K606" i="4"/>
  <c r="U606" i="4" s="1"/>
  <c r="N606" i="4"/>
  <c r="O606" i="4"/>
  <c r="Q606" i="4"/>
  <c r="Q610" i="4" s="1"/>
  <c r="V606" i="4"/>
  <c r="W606" i="4"/>
  <c r="W610" i="4" s="1"/>
  <c r="Y606" i="4"/>
  <c r="S607" i="4"/>
  <c r="I610" i="4"/>
  <c r="K612" i="4"/>
  <c r="R612" i="4"/>
  <c r="S613" i="4"/>
  <c r="I616" i="4"/>
  <c r="N620" i="4"/>
  <c r="O620" i="4"/>
  <c r="P620" i="4"/>
  <c r="Q620" i="4"/>
  <c r="R620" i="4"/>
  <c r="S620" i="4"/>
  <c r="T620" i="4"/>
  <c r="U620" i="4"/>
  <c r="V620" i="4"/>
  <c r="W620" i="4"/>
  <c r="X620" i="4"/>
  <c r="L249" i="1" s="1"/>
  <c r="L290" i="1" s="1"/>
  <c r="Y620" i="4"/>
  <c r="Q623" i="4"/>
  <c r="R623" i="4"/>
  <c r="U623" i="4"/>
  <c r="Y623" i="4"/>
  <c r="AA630" i="4"/>
  <c r="N1" i="1"/>
  <c r="P1" i="1"/>
  <c r="S1" i="1"/>
  <c r="B2" i="1"/>
  <c r="A7" i="1"/>
  <c r="A8" i="1"/>
  <c r="Q10" i="1"/>
  <c r="R10" i="1"/>
  <c r="C14" i="1"/>
  <c r="F14" i="1"/>
  <c r="F120" i="1" s="1"/>
  <c r="G14" i="1"/>
  <c r="H14" i="1"/>
  <c r="I14" i="1"/>
  <c r="K14" i="1"/>
  <c r="L14" i="1"/>
  <c r="O14" i="1"/>
  <c r="X14" i="1"/>
  <c r="D15" i="1"/>
  <c r="F15" i="1"/>
  <c r="G15" i="1"/>
  <c r="G18" i="1" s="1"/>
  <c r="H15" i="1"/>
  <c r="I15" i="1"/>
  <c r="O15" i="1"/>
  <c r="P15" i="1"/>
  <c r="X15" i="1"/>
  <c r="F16" i="1"/>
  <c r="N16" i="1"/>
  <c r="C12" i="12" s="1"/>
  <c r="D12" i="12" s="1"/>
  <c r="O16" i="1"/>
  <c r="P16" i="1"/>
  <c r="Q16" i="1"/>
  <c r="R16" i="1"/>
  <c r="S16" i="1"/>
  <c r="X16" i="1"/>
  <c r="C17" i="1"/>
  <c r="N17" i="1"/>
  <c r="C13" i="12" s="1"/>
  <c r="D13" i="12" s="1"/>
  <c r="O17" i="1"/>
  <c r="P17" i="1"/>
  <c r="Q17" i="1"/>
  <c r="R17" i="1"/>
  <c r="S17" i="1"/>
  <c r="X17" i="1"/>
  <c r="B18" i="1"/>
  <c r="C18" i="1"/>
  <c r="D18" i="1"/>
  <c r="D41" i="1" s="1"/>
  <c r="E18" i="1"/>
  <c r="F18" i="1"/>
  <c r="I18" i="1"/>
  <c r="J18" i="1"/>
  <c r="T18" i="1"/>
  <c r="U18" i="1"/>
  <c r="X18" i="1"/>
  <c r="X19" i="1"/>
  <c r="X20" i="1"/>
  <c r="O21" i="1"/>
  <c r="P21" i="1"/>
  <c r="Q21" i="1"/>
  <c r="X21" i="1"/>
  <c r="J22" i="1"/>
  <c r="J25" i="1" s="1"/>
  <c r="J41" i="1" s="1"/>
  <c r="O22" i="1"/>
  <c r="P22" i="1"/>
  <c r="P25" i="1" s="1"/>
  <c r="T22" i="1"/>
  <c r="T25" i="1" s="1"/>
  <c r="U22" i="1"/>
  <c r="X22" i="1"/>
  <c r="N23" i="1"/>
  <c r="C19" i="12" s="1"/>
  <c r="D19" i="12" s="1"/>
  <c r="O23" i="1"/>
  <c r="P23" i="1"/>
  <c r="Q23" i="1"/>
  <c r="R23" i="1"/>
  <c r="S23" i="1"/>
  <c r="X23" i="1"/>
  <c r="K24" i="1"/>
  <c r="L24" i="1"/>
  <c r="M24" i="1"/>
  <c r="O24" i="1"/>
  <c r="P24" i="1"/>
  <c r="Q24" i="1"/>
  <c r="X24" i="1"/>
  <c r="B25" i="1"/>
  <c r="C25" i="1"/>
  <c r="D25" i="1"/>
  <c r="E25" i="1"/>
  <c r="F25" i="1"/>
  <c r="G25" i="1"/>
  <c r="H25" i="1"/>
  <c r="I25" i="1"/>
  <c r="O25" i="1"/>
  <c r="U25" i="1"/>
  <c r="X25" i="1"/>
  <c r="X27" i="1"/>
  <c r="B28" i="1"/>
  <c r="C28" i="1"/>
  <c r="F28" i="1"/>
  <c r="J28" i="1"/>
  <c r="K28" i="1"/>
  <c r="L28" i="1"/>
  <c r="R28" i="1" s="1"/>
  <c r="M28" i="1"/>
  <c r="X28" i="1"/>
  <c r="K29" i="1"/>
  <c r="L29" i="1"/>
  <c r="O29" i="1"/>
  <c r="P29" i="1"/>
  <c r="Q29" i="1"/>
  <c r="X29" i="1"/>
  <c r="L30" i="1"/>
  <c r="R30" i="1" s="1"/>
  <c r="M30" i="1"/>
  <c r="N30" i="1"/>
  <c r="C26" i="12" s="1"/>
  <c r="D26" i="12" s="1"/>
  <c r="O30" i="1"/>
  <c r="P30" i="1"/>
  <c r="Q30" i="1"/>
  <c r="S30" i="1"/>
  <c r="X30" i="1"/>
  <c r="N31" i="1"/>
  <c r="C27" i="12" s="1"/>
  <c r="D27" i="12" s="1"/>
  <c r="O31" i="1"/>
  <c r="P31" i="1"/>
  <c r="Q31" i="1"/>
  <c r="Q32" i="1" s="1"/>
  <c r="R31" i="1"/>
  <c r="S31" i="1"/>
  <c r="X31" i="1"/>
  <c r="B32" i="1"/>
  <c r="C32" i="1"/>
  <c r="D32" i="1"/>
  <c r="E32" i="1"/>
  <c r="F32" i="1"/>
  <c r="G32" i="1"/>
  <c r="H32" i="1"/>
  <c r="I32" i="1"/>
  <c r="J32" i="1"/>
  <c r="K32" i="1"/>
  <c r="M32" i="1"/>
  <c r="O32" i="1"/>
  <c r="T32" i="1"/>
  <c r="U32" i="1"/>
  <c r="X32" i="1"/>
  <c r="X33" i="1"/>
  <c r="X34" i="1"/>
  <c r="O35" i="1"/>
  <c r="X35" i="1"/>
  <c r="O36" i="1"/>
  <c r="O40" i="1" s="1"/>
  <c r="P36" i="1"/>
  <c r="P40" i="1" s="1"/>
  <c r="Q36" i="1"/>
  <c r="T36" i="1"/>
  <c r="U36" i="1"/>
  <c r="U40" i="1" s="1"/>
  <c r="X36" i="1"/>
  <c r="N37" i="1"/>
  <c r="C33" i="12" s="1"/>
  <c r="D33" i="12" s="1"/>
  <c r="O37" i="1"/>
  <c r="P37" i="1"/>
  <c r="Q37" i="1"/>
  <c r="R37" i="1"/>
  <c r="S37" i="1"/>
  <c r="X37" i="1"/>
  <c r="N38" i="1"/>
  <c r="C34" i="12" s="1"/>
  <c r="D34" i="12" s="1"/>
  <c r="O38" i="1"/>
  <c r="P38" i="1"/>
  <c r="Q38" i="1"/>
  <c r="R38" i="1"/>
  <c r="S38" i="1"/>
  <c r="X38" i="1"/>
  <c r="N39" i="1"/>
  <c r="C35" i="12" s="1"/>
  <c r="D35" i="12" s="1"/>
  <c r="O39" i="1"/>
  <c r="P39" i="1"/>
  <c r="Q39" i="1"/>
  <c r="R39" i="1"/>
  <c r="S39" i="1"/>
  <c r="B40" i="1"/>
  <c r="C40" i="1"/>
  <c r="D40" i="1"/>
  <c r="E40" i="1"/>
  <c r="F40" i="1"/>
  <c r="G40" i="1"/>
  <c r="H40" i="1"/>
  <c r="I40" i="1"/>
  <c r="J40" i="1"/>
  <c r="Q40" i="1"/>
  <c r="B41" i="1"/>
  <c r="G41" i="1"/>
  <c r="B42" i="1"/>
  <c r="D42" i="1"/>
  <c r="D104" i="1" s="1"/>
  <c r="D109" i="1" s="1"/>
  <c r="I42" i="1"/>
  <c r="T42" i="1"/>
  <c r="U42" i="1"/>
  <c r="N46" i="1"/>
  <c r="C42" i="12" s="1"/>
  <c r="D42" i="12" s="1"/>
  <c r="O46" i="1"/>
  <c r="P46" i="1"/>
  <c r="Q46" i="1"/>
  <c r="R46" i="1"/>
  <c r="S46" i="1"/>
  <c r="N47" i="1"/>
  <c r="C43" i="12" s="1"/>
  <c r="D43" i="12" s="1"/>
  <c r="O47" i="1"/>
  <c r="O50" i="1" s="1"/>
  <c r="P47" i="1"/>
  <c r="Q47" i="1"/>
  <c r="Q50" i="1" s="1"/>
  <c r="Q73" i="1" s="1"/>
  <c r="R47" i="1"/>
  <c r="S47" i="1"/>
  <c r="N48" i="1"/>
  <c r="C44" i="12" s="1"/>
  <c r="D44" i="12" s="1"/>
  <c r="O48" i="1"/>
  <c r="P48" i="1"/>
  <c r="Q48" i="1"/>
  <c r="R48" i="1"/>
  <c r="S48" i="1"/>
  <c r="E49" i="1"/>
  <c r="N49" i="1"/>
  <c r="C45" i="12" s="1"/>
  <c r="D45" i="12" s="1"/>
  <c r="O49" i="1"/>
  <c r="P49" i="1"/>
  <c r="Q49" i="1"/>
  <c r="R49" i="1"/>
  <c r="R50" i="1" s="1"/>
  <c r="S49" i="1"/>
  <c r="B50" i="1"/>
  <c r="C50" i="1"/>
  <c r="D50" i="1"/>
  <c r="E50" i="1"/>
  <c r="F50" i="1"/>
  <c r="G50" i="1"/>
  <c r="H50" i="1"/>
  <c r="I50" i="1"/>
  <c r="J50" i="1"/>
  <c r="K50" i="1"/>
  <c r="L50" i="1"/>
  <c r="M50" i="1"/>
  <c r="P50" i="1"/>
  <c r="K53" i="1"/>
  <c r="O53" i="1"/>
  <c r="P53" i="1"/>
  <c r="Q53" i="1"/>
  <c r="O54" i="1"/>
  <c r="O58" i="1" s="1"/>
  <c r="P54" i="1"/>
  <c r="Q54" i="1"/>
  <c r="N55" i="1"/>
  <c r="C51" i="12" s="1"/>
  <c r="D51" i="12" s="1"/>
  <c r="O55" i="1"/>
  <c r="P55" i="1"/>
  <c r="P152" i="1" s="1"/>
  <c r="Q55" i="1"/>
  <c r="R55" i="1"/>
  <c r="S55" i="1"/>
  <c r="N56" i="1"/>
  <c r="C52" i="12" s="1"/>
  <c r="D52" i="12" s="1"/>
  <c r="O56" i="1"/>
  <c r="P56" i="1"/>
  <c r="Q56" i="1"/>
  <c r="R56" i="1"/>
  <c r="S56" i="1"/>
  <c r="K57" i="1"/>
  <c r="L57" i="1"/>
  <c r="M57" i="1"/>
  <c r="O57" i="1"/>
  <c r="P57" i="1"/>
  <c r="Q57" i="1"/>
  <c r="R57" i="1"/>
  <c r="B58" i="1"/>
  <c r="C58" i="1"/>
  <c r="D58" i="1"/>
  <c r="E58" i="1"/>
  <c r="F58" i="1"/>
  <c r="G58" i="1"/>
  <c r="H58" i="1"/>
  <c r="I58" i="1"/>
  <c r="J58" i="1"/>
  <c r="Q58" i="1"/>
  <c r="T58" i="1"/>
  <c r="U58" i="1"/>
  <c r="B61" i="1"/>
  <c r="F61" i="1"/>
  <c r="F74" i="1" s="1"/>
  <c r="H61" i="1"/>
  <c r="O62" i="1"/>
  <c r="P62" i="1"/>
  <c r="P65" i="1" s="1"/>
  <c r="Q62" i="1"/>
  <c r="N63" i="1"/>
  <c r="C59" i="12" s="1"/>
  <c r="D59" i="12" s="1"/>
  <c r="O63" i="1"/>
  <c r="P63" i="1"/>
  <c r="Q63" i="1"/>
  <c r="R63" i="1"/>
  <c r="S63" i="1"/>
  <c r="N64" i="1"/>
  <c r="C60" i="12" s="1"/>
  <c r="D60" i="12" s="1"/>
  <c r="O64" i="1"/>
  <c r="P64" i="1"/>
  <c r="Q64" i="1"/>
  <c r="R64" i="1"/>
  <c r="S64" i="1"/>
  <c r="B65" i="1"/>
  <c r="C65" i="1"/>
  <c r="D65" i="1"/>
  <c r="E65" i="1"/>
  <c r="F65" i="1"/>
  <c r="G65" i="1"/>
  <c r="H65" i="1"/>
  <c r="I65" i="1"/>
  <c r="J65" i="1"/>
  <c r="O65" i="1"/>
  <c r="Q65" i="1"/>
  <c r="T65" i="1"/>
  <c r="T73" i="1" s="1"/>
  <c r="U65" i="1"/>
  <c r="F68" i="1"/>
  <c r="L68" i="1"/>
  <c r="O69" i="1"/>
  <c r="O72" i="1" s="1"/>
  <c r="P69" i="1"/>
  <c r="Q69" i="1"/>
  <c r="N70" i="1"/>
  <c r="C66" i="12" s="1"/>
  <c r="D66" i="12" s="1"/>
  <c r="O70" i="1"/>
  <c r="P70" i="1"/>
  <c r="Q70" i="1"/>
  <c r="Q72" i="1" s="1"/>
  <c r="R70" i="1"/>
  <c r="S70" i="1"/>
  <c r="K71" i="1"/>
  <c r="L71" i="1"/>
  <c r="M71" i="1"/>
  <c r="O71" i="1"/>
  <c r="P71" i="1"/>
  <c r="P72" i="1" s="1"/>
  <c r="Q71" i="1"/>
  <c r="R71" i="1"/>
  <c r="B72" i="1"/>
  <c r="C72" i="1"/>
  <c r="D72" i="1"/>
  <c r="E72" i="1"/>
  <c r="F72" i="1"/>
  <c r="G17" i="13" s="1"/>
  <c r="G36" i="13" s="1"/>
  <c r="G72" i="1"/>
  <c r="H72" i="1"/>
  <c r="I72" i="1"/>
  <c r="J72" i="1"/>
  <c r="T72" i="1"/>
  <c r="U72" i="1"/>
  <c r="C73" i="1"/>
  <c r="D73" i="1"/>
  <c r="E73" i="1"/>
  <c r="G73" i="1"/>
  <c r="U73" i="1"/>
  <c r="B74" i="1"/>
  <c r="D74" i="1"/>
  <c r="T74" i="1"/>
  <c r="U74" i="1"/>
  <c r="O79" i="1"/>
  <c r="P79" i="1"/>
  <c r="P82" i="1" s="1"/>
  <c r="Q79" i="1"/>
  <c r="N80" i="1"/>
  <c r="C76" i="12" s="1"/>
  <c r="D76" i="12" s="1"/>
  <c r="O80" i="1"/>
  <c r="P80" i="1"/>
  <c r="P170" i="1" s="1"/>
  <c r="Q80" i="1"/>
  <c r="R80" i="1"/>
  <c r="S80" i="1"/>
  <c r="K81" i="1"/>
  <c r="L81" i="1"/>
  <c r="M81" i="1"/>
  <c r="O81" i="1"/>
  <c r="P81" i="1"/>
  <c r="Q81" i="1"/>
  <c r="B82" i="1"/>
  <c r="C82" i="1"/>
  <c r="C90" i="1" s="1"/>
  <c r="D82" i="1"/>
  <c r="E82" i="1"/>
  <c r="E90" i="1" s="1"/>
  <c r="F82" i="1"/>
  <c r="G82" i="1"/>
  <c r="G90" i="1" s="1"/>
  <c r="H82" i="1"/>
  <c r="I82" i="1"/>
  <c r="I90" i="1" s="1"/>
  <c r="J82" i="1"/>
  <c r="O82" i="1"/>
  <c r="O90" i="1" s="1"/>
  <c r="T82" i="1"/>
  <c r="U82" i="1"/>
  <c r="U90" i="1" s="1"/>
  <c r="O85" i="1"/>
  <c r="P85" i="1"/>
  <c r="Q85" i="1"/>
  <c r="O86" i="1"/>
  <c r="O89" i="1" s="1"/>
  <c r="P86" i="1"/>
  <c r="Q86" i="1"/>
  <c r="Q89" i="1" s="1"/>
  <c r="N87" i="1"/>
  <c r="C83" i="12" s="1"/>
  <c r="D83" i="12" s="1"/>
  <c r="O87" i="1"/>
  <c r="P87" i="1"/>
  <c r="Q87" i="1"/>
  <c r="R87" i="1"/>
  <c r="S87" i="1"/>
  <c r="K88" i="1"/>
  <c r="L88" i="1"/>
  <c r="M88" i="1"/>
  <c r="O88" i="1"/>
  <c r="P88" i="1"/>
  <c r="Q88" i="1"/>
  <c r="B89" i="1"/>
  <c r="C89" i="1"/>
  <c r="D89" i="1"/>
  <c r="E89" i="1"/>
  <c r="F89" i="1"/>
  <c r="G89" i="1"/>
  <c r="H89" i="1"/>
  <c r="I89" i="1"/>
  <c r="J89" i="1"/>
  <c r="P89" i="1"/>
  <c r="T89" i="1"/>
  <c r="U89" i="1"/>
  <c r="B90" i="1"/>
  <c r="D90" i="1"/>
  <c r="J90" i="1"/>
  <c r="T90" i="1"/>
  <c r="B91" i="1"/>
  <c r="D91" i="1"/>
  <c r="E91" i="1"/>
  <c r="H91" i="1"/>
  <c r="I91" i="1"/>
  <c r="T91" i="1"/>
  <c r="U91" i="1"/>
  <c r="G96" i="1"/>
  <c r="O96" i="1"/>
  <c r="P96" i="1"/>
  <c r="Q96" i="1"/>
  <c r="J97" i="1"/>
  <c r="S97" i="1" s="1"/>
  <c r="K97" i="1"/>
  <c r="L97" i="1"/>
  <c r="M97" i="1"/>
  <c r="M182" i="1" s="1"/>
  <c r="N97" i="1"/>
  <c r="O97" i="1"/>
  <c r="P97" i="1"/>
  <c r="Q97" i="1"/>
  <c r="H98" i="1"/>
  <c r="J98" i="1"/>
  <c r="J107" i="1" s="1"/>
  <c r="J108" i="1" s="1"/>
  <c r="K98" i="1"/>
  <c r="L98" i="1"/>
  <c r="M98" i="1"/>
  <c r="O98" i="1"/>
  <c r="P98" i="1"/>
  <c r="Q98" i="1"/>
  <c r="Q99" i="1" s="1"/>
  <c r="B99" i="1"/>
  <c r="C99" i="1"/>
  <c r="D99" i="1"/>
  <c r="E99" i="1"/>
  <c r="F99" i="1"/>
  <c r="G99" i="1"/>
  <c r="I99" i="1"/>
  <c r="O99" i="1"/>
  <c r="T99" i="1"/>
  <c r="U99" i="1"/>
  <c r="B100" i="1"/>
  <c r="D100" i="1"/>
  <c r="E100" i="1"/>
  <c r="G100" i="1"/>
  <c r="H100" i="1"/>
  <c r="I100" i="1"/>
  <c r="T100" i="1"/>
  <c r="U100" i="1"/>
  <c r="D101" i="1"/>
  <c r="T101" i="1"/>
  <c r="U101" i="1"/>
  <c r="T104" i="1"/>
  <c r="T109" i="1" s="1"/>
  <c r="U104" i="1"/>
  <c r="U109" i="1" s="1"/>
  <c r="B105" i="1"/>
  <c r="C105" i="1"/>
  <c r="D105" i="1"/>
  <c r="E105" i="1"/>
  <c r="F105" i="1"/>
  <c r="F108" i="1" s="1"/>
  <c r="G105" i="1"/>
  <c r="P105" i="1" s="1"/>
  <c r="I105" i="1"/>
  <c r="J105" i="1"/>
  <c r="B106" i="1"/>
  <c r="C106" i="1"/>
  <c r="D106" i="1"/>
  <c r="E106" i="1"/>
  <c r="F106" i="1"/>
  <c r="G106" i="1"/>
  <c r="H106" i="1"/>
  <c r="Q106" i="1" s="1"/>
  <c r="I106" i="1"/>
  <c r="J106" i="1"/>
  <c r="K106" i="1"/>
  <c r="M106" i="1"/>
  <c r="O106" i="1"/>
  <c r="T106" i="1"/>
  <c r="U106" i="1"/>
  <c r="B107" i="1"/>
  <c r="C107" i="1"/>
  <c r="D107" i="1"/>
  <c r="E107" i="1"/>
  <c r="F107" i="1"/>
  <c r="G107" i="1"/>
  <c r="P107" i="1" s="1"/>
  <c r="I107" i="1"/>
  <c r="K107" i="1"/>
  <c r="O107" i="1"/>
  <c r="T107" i="1"/>
  <c r="U107" i="1"/>
  <c r="B108" i="1"/>
  <c r="C108" i="1"/>
  <c r="D108" i="1"/>
  <c r="G110" i="1"/>
  <c r="B115" i="1"/>
  <c r="C115" i="1"/>
  <c r="S115" i="1" s="1"/>
  <c r="D115" i="1"/>
  <c r="E115" i="1"/>
  <c r="F115" i="1"/>
  <c r="G115" i="1"/>
  <c r="H115" i="1"/>
  <c r="I115" i="1"/>
  <c r="J115" i="1"/>
  <c r="K115" i="1"/>
  <c r="L115" i="1"/>
  <c r="M115" i="1"/>
  <c r="S118" i="1"/>
  <c r="B120" i="1"/>
  <c r="D120" i="1"/>
  <c r="E120" i="1"/>
  <c r="Q120" i="1"/>
  <c r="R120" i="1"/>
  <c r="S120" i="1"/>
  <c r="B121" i="1"/>
  <c r="C121" i="1"/>
  <c r="E121" i="1"/>
  <c r="F121" i="1"/>
  <c r="G121" i="1"/>
  <c r="J121" i="1"/>
  <c r="Q121" i="1"/>
  <c r="R121" i="1"/>
  <c r="S121" i="1"/>
  <c r="T121" i="1"/>
  <c r="U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Q122" i="1"/>
  <c r="R122" i="1"/>
  <c r="S122" i="1"/>
  <c r="T122" i="1"/>
  <c r="U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Q123" i="1"/>
  <c r="R123" i="1"/>
  <c r="T123" i="1"/>
  <c r="U123" i="1"/>
  <c r="D126" i="1"/>
  <c r="E126" i="1"/>
  <c r="F126" i="1"/>
  <c r="G126" i="1"/>
  <c r="Q126" i="1"/>
  <c r="R126" i="1"/>
  <c r="S126" i="1"/>
  <c r="B127" i="1"/>
  <c r="C127" i="1"/>
  <c r="D127" i="1"/>
  <c r="E127" i="1"/>
  <c r="F127" i="1"/>
  <c r="G127" i="1"/>
  <c r="H127" i="1"/>
  <c r="I127" i="1"/>
  <c r="J127" i="1"/>
  <c r="Q127" i="1"/>
  <c r="R127" i="1"/>
  <c r="S127" i="1"/>
  <c r="T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P128" i="1"/>
  <c r="Q128" i="1"/>
  <c r="R128" i="1"/>
  <c r="S128" i="1"/>
  <c r="T128" i="1"/>
  <c r="U128" i="1"/>
  <c r="B129" i="1"/>
  <c r="C129" i="1"/>
  <c r="D129" i="1"/>
  <c r="E129" i="1"/>
  <c r="F129" i="1"/>
  <c r="G129" i="1"/>
  <c r="H129" i="1"/>
  <c r="I129" i="1"/>
  <c r="J129" i="1"/>
  <c r="L129" i="1"/>
  <c r="M129" i="1"/>
  <c r="P129" i="1"/>
  <c r="Q129" i="1"/>
  <c r="R129" i="1"/>
  <c r="S129" i="1"/>
  <c r="T129" i="1"/>
  <c r="U129" i="1"/>
  <c r="B132" i="1"/>
  <c r="D132" i="1"/>
  <c r="E132" i="1"/>
  <c r="F132" i="1"/>
  <c r="I132" i="1"/>
  <c r="J132" i="1"/>
  <c r="L132" i="1"/>
  <c r="T132" i="1"/>
  <c r="B133" i="1"/>
  <c r="C133" i="1"/>
  <c r="D133" i="1"/>
  <c r="E133" i="1"/>
  <c r="F133" i="1"/>
  <c r="G133" i="1"/>
  <c r="H133" i="1"/>
  <c r="I133" i="1"/>
  <c r="J133" i="1"/>
  <c r="Q133" i="1"/>
  <c r="R133" i="1"/>
  <c r="S133" i="1"/>
  <c r="U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C130" i="12" s="1"/>
  <c r="D130" i="12" s="1"/>
  <c r="P134" i="1"/>
  <c r="Q134" i="1"/>
  <c r="R134" i="1"/>
  <c r="S134" i="1"/>
  <c r="T134" i="1"/>
  <c r="U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C131" i="12" s="1"/>
  <c r="D131" i="12" s="1"/>
  <c r="P135" i="1"/>
  <c r="Q135" i="1"/>
  <c r="R135" i="1"/>
  <c r="S135" i="1"/>
  <c r="T135" i="1"/>
  <c r="U135" i="1"/>
  <c r="B138" i="1"/>
  <c r="C138" i="1"/>
  <c r="D138" i="1"/>
  <c r="E138" i="1"/>
  <c r="F138" i="1"/>
  <c r="H138" i="1"/>
  <c r="I138" i="1"/>
  <c r="Q138" i="1"/>
  <c r="R138" i="1"/>
  <c r="S138" i="1"/>
  <c r="T138" i="1"/>
  <c r="U138" i="1"/>
  <c r="B139" i="1"/>
  <c r="C139" i="1"/>
  <c r="D139" i="1"/>
  <c r="E139" i="1"/>
  <c r="F139" i="1"/>
  <c r="G139" i="1"/>
  <c r="H139" i="1"/>
  <c r="I139" i="1"/>
  <c r="J139" i="1"/>
  <c r="Q139" i="1"/>
  <c r="R139" i="1"/>
  <c r="S139" i="1"/>
  <c r="U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C136" i="12" s="1"/>
  <c r="D136" i="12" s="1"/>
  <c r="P140" i="1"/>
  <c r="Q140" i="1"/>
  <c r="R140" i="1"/>
  <c r="S140" i="1"/>
  <c r="T140" i="1"/>
  <c r="U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Q141" i="1"/>
  <c r="R141" i="1"/>
  <c r="S141" i="1"/>
  <c r="T141" i="1"/>
  <c r="U141" i="1"/>
  <c r="B144" i="1"/>
  <c r="C144" i="1"/>
  <c r="D144" i="1"/>
  <c r="F144" i="1"/>
  <c r="G144" i="1"/>
  <c r="H144" i="1"/>
  <c r="J144" i="1"/>
  <c r="K144" i="1"/>
  <c r="L144" i="1"/>
  <c r="M144" i="1"/>
  <c r="Q144" i="1"/>
  <c r="R144" i="1"/>
  <c r="S144" i="1"/>
  <c r="T144" i="1"/>
  <c r="U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Q145" i="1"/>
  <c r="R145" i="1"/>
  <c r="S145" i="1"/>
  <c r="T145" i="1"/>
  <c r="U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C142" i="12" s="1"/>
  <c r="D142" i="12" s="1"/>
  <c r="P146" i="1"/>
  <c r="T146" i="1"/>
  <c r="U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Q147" i="1"/>
  <c r="R147" i="1"/>
  <c r="S147" i="1"/>
  <c r="T147" i="1"/>
  <c r="U147" i="1"/>
  <c r="B150" i="1"/>
  <c r="C150" i="1"/>
  <c r="D150" i="1"/>
  <c r="E150" i="1"/>
  <c r="F150" i="1"/>
  <c r="G150" i="1"/>
  <c r="H150" i="1"/>
  <c r="I150" i="1"/>
  <c r="J150" i="1"/>
  <c r="Q150" i="1"/>
  <c r="R150" i="1"/>
  <c r="S150" i="1"/>
  <c r="U150" i="1"/>
  <c r="B151" i="1"/>
  <c r="C151" i="1"/>
  <c r="D151" i="1"/>
  <c r="E151" i="1"/>
  <c r="F151" i="1"/>
  <c r="G151" i="1"/>
  <c r="H151" i="1"/>
  <c r="I151" i="1"/>
  <c r="J151" i="1"/>
  <c r="P151" i="1"/>
  <c r="Q151" i="1"/>
  <c r="R151" i="1"/>
  <c r="S151" i="1"/>
  <c r="T151" i="1"/>
  <c r="U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C148" i="12" s="1"/>
  <c r="D148" i="12" s="1"/>
  <c r="Q152" i="1"/>
  <c r="R152" i="1"/>
  <c r="S152" i="1"/>
  <c r="T152" i="1"/>
  <c r="U152" i="1"/>
  <c r="B153" i="1"/>
  <c r="C153" i="1"/>
  <c r="D153" i="1"/>
  <c r="E153" i="1"/>
  <c r="F153" i="1"/>
  <c r="G153" i="1"/>
  <c r="H153" i="1"/>
  <c r="I153" i="1"/>
  <c r="J153" i="1"/>
  <c r="K153" i="1"/>
  <c r="Q153" i="1"/>
  <c r="R153" i="1"/>
  <c r="S153" i="1"/>
  <c r="T153" i="1"/>
  <c r="U153" i="1"/>
  <c r="B156" i="1"/>
  <c r="D156" i="1"/>
  <c r="F156" i="1"/>
  <c r="H156" i="1"/>
  <c r="J156" i="1"/>
  <c r="T156" i="1"/>
  <c r="U156" i="1"/>
  <c r="B157" i="1"/>
  <c r="C157" i="1"/>
  <c r="D157" i="1"/>
  <c r="E157" i="1"/>
  <c r="F157" i="1"/>
  <c r="G157" i="1"/>
  <c r="H157" i="1"/>
  <c r="I157" i="1"/>
  <c r="J157" i="1"/>
  <c r="T157" i="1"/>
  <c r="U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C154" i="12" s="1"/>
  <c r="D154" i="12" s="1"/>
  <c r="P158" i="1"/>
  <c r="T158" i="1"/>
  <c r="U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C155" i="12" s="1"/>
  <c r="D155" i="12" s="1"/>
  <c r="P159" i="1"/>
  <c r="T159" i="1"/>
  <c r="U159" i="1"/>
  <c r="B162" i="1"/>
  <c r="D162" i="1"/>
  <c r="E162" i="1"/>
  <c r="F162" i="1"/>
  <c r="Q162" i="1"/>
  <c r="R162" i="1"/>
  <c r="S162" i="1"/>
  <c r="B163" i="1"/>
  <c r="C163" i="1"/>
  <c r="D163" i="1"/>
  <c r="E163" i="1"/>
  <c r="F163" i="1"/>
  <c r="G163" i="1"/>
  <c r="H163" i="1"/>
  <c r="I163" i="1"/>
  <c r="J163" i="1"/>
  <c r="Q163" i="1"/>
  <c r="R163" i="1"/>
  <c r="S163" i="1"/>
  <c r="T163" i="1"/>
  <c r="U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C160" i="12" s="1"/>
  <c r="D160" i="12" s="1"/>
  <c r="P164" i="1"/>
  <c r="Q164" i="1"/>
  <c r="R164" i="1"/>
  <c r="S164" i="1"/>
  <c r="T164" i="1"/>
  <c r="U164" i="1"/>
  <c r="C165" i="1"/>
  <c r="D165" i="1"/>
  <c r="E165" i="1"/>
  <c r="F165" i="1"/>
  <c r="G165" i="1"/>
  <c r="H165" i="1"/>
  <c r="I165" i="1"/>
  <c r="J165" i="1"/>
  <c r="P165" i="1"/>
  <c r="Q165" i="1"/>
  <c r="R165" i="1"/>
  <c r="S165" i="1"/>
  <c r="T165" i="1"/>
  <c r="U165" i="1"/>
  <c r="B168" i="1"/>
  <c r="D168" i="1"/>
  <c r="E168" i="1"/>
  <c r="H168" i="1"/>
  <c r="I168" i="1"/>
  <c r="Q168" i="1"/>
  <c r="R168" i="1"/>
  <c r="S168" i="1"/>
  <c r="T168" i="1"/>
  <c r="U168" i="1"/>
  <c r="B169" i="1"/>
  <c r="C169" i="1"/>
  <c r="D169" i="1"/>
  <c r="E169" i="1"/>
  <c r="F169" i="1"/>
  <c r="G169" i="1"/>
  <c r="H169" i="1"/>
  <c r="I169" i="1"/>
  <c r="J169" i="1"/>
  <c r="P169" i="1"/>
  <c r="Q169" i="1"/>
  <c r="R169" i="1"/>
  <c r="S169" i="1"/>
  <c r="T169" i="1"/>
  <c r="U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T170" i="1"/>
  <c r="U170" i="1"/>
  <c r="B171" i="1"/>
  <c r="C171" i="1"/>
  <c r="D171" i="1"/>
  <c r="E171" i="1"/>
  <c r="F171" i="1"/>
  <c r="G171" i="1"/>
  <c r="H171" i="1"/>
  <c r="I171" i="1"/>
  <c r="J171" i="1"/>
  <c r="Q171" i="1"/>
  <c r="R171" i="1"/>
  <c r="S171" i="1"/>
  <c r="T171" i="1"/>
  <c r="U171" i="1"/>
  <c r="B174" i="1"/>
  <c r="C174" i="1"/>
  <c r="D174" i="1"/>
  <c r="E174" i="1"/>
  <c r="F174" i="1"/>
  <c r="G174" i="1"/>
  <c r="H174" i="1"/>
  <c r="I174" i="1"/>
  <c r="J174" i="1"/>
  <c r="Q174" i="1"/>
  <c r="R174" i="1"/>
  <c r="S174" i="1"/>
  <c r="T174" i="1"/>
  <c r="U174" i="1"/>
  <c r="B175" i="1"/>
  <c r="C175" i="1"/>
  <c r="D175" i="1"/>
  <c r="E175" i="1"/>
  <c r="F175" i="1"/>
  <c r="G175" i="1"/>
  <c r="H175" i="1"/>
  <c r="I175" i="1"/>
  <c r="J175" i="1"/>
  <c r="P175" i="1"/>
  <c r="Q175" i="1"/>
  <c r="R175" i="1"/>
  <c r="S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C172" i="12" s="1"/>
  <c r="D172" i="12" s="1"/>
  <c r="P176" i="1"/>
  <c r="T176" i="1"/>
  <c r="U176" i="1"/>
  <c r="B177" i="1"/>
  <c r="C177" i="1"/>
  <c r="D177" i="1"/>
  <c r="E177" i="1"/>
  <c r="F177" i="1"/>
  <c r="G177" i="1"/>
  <c r="H177" i="1"/>
  <c r="I177" i="1"/>
  <c r="J177" i="1"/>
  <c r="Q177" i="1"/>
  <c r="R177" i="1"/>
  <c r="S177" i="1"/>
  <c r="T177" i="1"/>
  <c r="U177" i="1"/>
  <c r="B180" i="1"/>
  <c r="D180" i="1"/>
  <c r="E180" i="1"/>
  <c r="G180" i="1"/>
  <c r="H180" i="1"/>
  <c r="I180" i="1"/>
  <c r="Q180" i="1"/>
  <c r="R180" i="1"/>
  <c r="S180" i="1"/>
  <c r="U180" i="1"/>
  <c r="B181" i="1"/>
  <c r="C181" i="1"/>
  <c r="D181" i="1"/>
  <c r="E181" i="1"/>
  <c r="F181" i="1"/>
  <c r="G181" i="1"/>
  <c r="H181" i="1"/>
  <c r="I181" i="1"/>
  <c r="J181" i="1"/>
  <c r="Q181" i="1"/>
  <c r="R181" i="1"/>
  <c r="S181" i="1"/>
  <c r="T181" i="1"/>
  <c r="U181" i="1"/>
  <c r="B182" i="1"/>
  <c r="C182" i="1"/>
  <c r="D182" i="1"/>
  <c r="E182" i="1"/>
  <c r="F182" i="1"/>
  <c r="G182" i="1"/>
  <c r="H182" i="1"/>
  <c r="I182" i="1"/>
  <c r="J182" i="1"/>
  <c r="K182" i="1"/>
  <c r="L182" i="1"/>
  <c r="Q182" i="1"/>
  <c r="R182" i="1"/>
  <c r="S182" i="1"/>
  <c r="T182" i="1"/>
  <c r="U182" i="1"/>
  <c r="B183" i="1"/>
  <c r="C183" i="1"/>
  <c r="D183" i="1"/>
  <c r="E183" i="1"/>
  <c r="F183" i="1"/>
  <c r="G183" i="1"/>
  <c r="H183" i="1"/>
  <c r="I183" i="1"/>
  <c r="K183" i="1"/>
  <c r="L183" i="1"/>
  <c r="Q183" i="1"/>
  <c r="R183" i="1"/>
  <c r="S183" i="1"/>
  <c r="T183" i="1"/>
  <c r="U183" i="1"/>
  <c r="B188" i="1"/>
  <c r="C188" i="1"/>
  <c r="C120" i="1" s="1"/>
  <c r="D188" i="1"/>
  <c r="D218" i="1" s="1"/>
  <c r="F188" i="1"/>
  <c r="G188" i="1"/>
  <c r="I188" i="1"/>
  <c r="J188" i="1"/>
  <c r="O188" i="1"/>
  <c r="T188" i="1"/>
  <c r="T120" i="1" s="1"/>
  <c r="U188" i="1"/>
  <c r="U193" i="1" s="1"/>
  <c r="H189" i="1"/>
  <c r="I189" i="1"/>
  <c r="J189" i="1"/>
  <c r="L189" i="1"/>
  <c r="M189" i="1"/>
  <c r="O189" i="1"/>
  <c r="P189" i="1"/>
  <c r="D190" i="1"/>
  <c r="D121" i="1" s="1"/>
  <c r="F190" i="1"/>
  <c r="G190" i="1"/>
  <c r="I190" i="1"/>
  <c r="Q190" i="1" s="1"/>
  <c r="O190" i="1"/>
  <c r="P190" i="1"/>
  <c r="N191" i="1"/>
  <c r="C187" i="12" s="1"/>
  <c r="D187" i="12" s="1"/>
  <c r="O191" i="1"/>
  <c r="P191" i="1"/>
  <c r="Q191" i="1"/>
  <c r="R191" i="1"/>
  <c r="N192" i="1"/>
  <c r="O192" i="1"/>
  <c r="S192" i="1" s="1"/>
  <c r="S123" i="1" s="1"/>
  <c r="P192" i="1"/>
  <c r="P123" i="1" s="1"/>
  <c r="Q192" i="1"/>
  <c r="R192" i="1"/>
  <c r="B193" i="1"/>
  <c r="C193" i="1"/>
  <c r="D193" i="1"/>
  <c r="E193" i="1"/>
  <c r="E219" i="1" s="1"/>
  <c r="F193" i="1"/>
  <c r="J193" i="1"/>
  <c r="T193" i="1"/>
  <c r="B196" i="1"/>
  <c r="C196" i="1"/>
  <c r="C126" i="1" s="1"/>
  <c r="H196" i="1"/>
  <c r="I196" i="1"/>
  <c r="I126" i="1" s="1"/>
  <c r="P196" i="1"/>
  <c r="P126" i="1" s="1"/>
  <c r="T196" i="1"/>
  <c r="T126" i="1" s="1"/>
  <c r="U196" i="1"/>
  <c r="J197" i="1"/>
  <c r="K197" i="1"/>
  <c r="N197" i="1"/>
  <c r="C193" i="12" s="1"/>
  <c r="D193" i="12" s="1"/>
  <c r="O197" i="1"/>
  <c r="P197" i="1"/>
  <c r="R197" i="1"/>
  <c r="O198" i="1"/>
  <c r="P198" i="1"/>
  <c r="P127" i="1" s="1"/>
  <c r="Q198" i="1"/>
  <c r="T198" i="1"/>
  <c r="U198" i="1"/>
  <c r="U127" i="1" s="1"/>
  <c r="N199" i="1"/>
  <c r="C195" i="12" s="1"/>
  <c r="D195" i="12" s="1"/>
  <c r="O199" i="1"/>
  <c r="P199" i="1"/>
  <c r="Q199" i="1"/>
  <c r="R199" i="1"/>
  <c r="S199" i="1" s="1"/>
  <c r="N200" i="1"/>
  <c r="C196" i="12" s="1"/>
  <c r="D196" i="12" s="1"/>
  <c r="O200" i="1"/>
  <c r="P200" i="1"/>
  <c r="Q200" i="1"/>
  <c r="R200" i="1"/>
  <c r="S200" i="1"/>
  <c r="K201" i="1"/>
  <c r="L201" i="1"/>
  <c r="M201" i="1"/>
  <c r="O201" i="1"/>
  <c r="P201" i="1"/>
  <c r="Q201" i="1"/>
  <c r="B202" i="1"/>
  <c r="C202" i="1"/>
  <c r="D202" i="1"/>
  <c r="E202" i="1"/>
  <c r="F202" i="1"/>
  <c r="G202" i="1"/>
  <c r="H202" i="1"/>
  <c r="I202" i="1"/>
  <c r="T202" i="1"/>
  <c r="L205" i="1"/>
  <c r="O205" i="1"/>
  <c r="P205" i="1"/>
  <c r="Q205" i="1"/>
  <c r="T205" i="1"/>
  <c r="U205" i="1"/>
  <c r="O206" i="1"/>
  <c r="P206" i="1"/>
  <c r="P133" i="1" s="1"/>
  <c r="Q206" i="1"/>
  <c r="T206" i="1"/>
  <c r="T133" i="1" s="1"/>
  <c r="U206" i="1"/>
  <c r="L207" i="1"/>
  <c r="N207" i="1" s="1"/>
  <c r="C203" i="12" s="1"/>
  <c r="D203" i="12" s="1"/>
  <c r="M207" i="1"/>
  <c r="O207" i="1"/>
  <c r="P207" i="1"/>
  <c r="Q207" i="1"/>
  <c r="Q209" i="1" s="1"/>
  <c r="R207" i="1"/>
  <c r="N208" i="1"/>
  <c r="C204" i="12" s="1"/>
  <c r="D204" i="12" s="1"/>
  <c r="O208" i="1"/>
  <c r="P208" i="1"/>
  <c r="Q208" i="1"/>
  <c r="R208" i="1"/>
  <c r="S208" i="1" s="1"/>
  <c r="B209" i="1"/>
  <c r="C209" i="1"/>
  <c r="D209" i="1"/>
  <c r="E209" i="1"/>
  <c r="F209" i="1"/>
  <c r="G209" i="1"/>
  <c r="H209" i="1"/>
  <c r="I209" i="1"/>
  <c r="J209" i="1"/>
  <c r="P209" i="1"/>
  <c r="Q211" i="1"/>
  <c r="R211" i="1"/>
  <c r="O212" i="1"/>
  <c r="P212" i="1"/>
  <c r="Q212" i="1"/>
  <c r="O213" i="1"/>
  <c r="P213" i="1"/>
  <c r="P139" i="1" s="1"/>
  <c r="Q213" i="1"/>
  <c r="N214" i="1"/>
  <c r="C210" i="12" s="1"/>
  <c r="D210" i="12" s="1"/>
  <c r="O214" i="1"/>
  <c r="P214" i="1"/>
  <c r="S214" i="1" s="1"/>
  <c r="Q214" i="1"/>
  <c r="R214" i="1"/>
  <c r="N215" i="1"/>
  <c r="C211" i="12" s="1"/>
  <c r="D211" i="12" s="1"/>
  <c r="O215" i="1"/>
  <c r="P215" i="1"/>
  <c r="Q215" i="1"/>
  <c r="R215" i="1"/>
  <c r="N216" i="1"/>
  <c r="C212" i="12" s="1"/>
  <c r="D212" i="12" s="1"/>
  <c r="O216" i="1"/>
  <c r="P216" i="1"/>
  <c r="P141" i="1" s="1"/>
  <c r="Q216" i="1"/>
  <c r="R216" i="1"/>
  <c r="B217" i="1"/>
  <c r="C217" i="1"/>
  <c r="D217" i="1"/>
  <c r="E217" i="1"/>
  <c r="F217" i="1"/>
  <c r="G217" i="1"/>
  <c r="H217" i="1"/>
  <c r="I217" i="1"/>
  <c r="J217" i="1"/>
  <c r="T217" i="1"/>
  <c r="U217" i="1"/>
  <c r="B218" i="1"/>
  <c r="C218" i="1"/>
  <c r="E218" i="1"/>
  <c r="F218" i="1"/>
  <c r="T218" i="1"/>
  <c r="B219" i="1"/>
  <c r="C219" i="1"/>
  <c r="D219" i="1"/>
  <c r="O219" i="1"/>
  <c r="B220" i="1"/>
  <c r="C220" i="1"/>
  <c r="E224" i="1"/>
  <c r="I224" i="1"/>
  <c r="O224" i="1"/>
  <c r="R224" i="1"/>
  <c r="N225" i="1"/>
  <c r="O225" i="1"/>
  <c r="P225" i="1"/>
  <c r="P145" i="1" s="1"/>
  <c r="Q225" i="1"/>
  <c r="R225" i="1"/>
  <c r="R228" i="1" s="1"/>
  <c r="N226" i="1"/>
  <c r="C222" i="12" s="1"/>
  <c r="D222" i="12" s="1"/>
  <c r="O226" i="1"/>
  <c r="P226" i="1"/>
  <c r="Q226" i="1"/>
  <c r="R226" i="1"/>
  <c r="S226" i="1"/>
  <c r="E227" i="1"/>
  <c r="O227" i="1"/>
  <c r="Q227" i="1"/>
  <c r="R227" i="1"/>
  <c r="B228" i="1"/>
  <c r="C228" i="1"/>
  <c r="D228" i="1"/>
  <c r="F228" i="1"/>
  <c r="G228" i="1"/>
  <c r="G252" i="1" s="1"/>
  <c r="G253" i="1" s="1"/>
  <c r="H228" i="1"/>
  <c r="J228" i="1"/>
  <c r="K228" i="1"/>
  <c r="L228" i="1"/>
  <c r="M228" i="1"/>
  <c r="T228" i="1"/>
  <c r="U228" i="1"/>
  <c r="O231" i="1"/>
  <c r="P231" i="1"/>
  <c r="P150" i="1" s="1"/>
  <c r="Q231" i="1"/>
  <c r="T231" i="1"/>
  <c r="U231" i="1"/>
  <c r="U236" i="1" s="1"/>
  <c r="O232" i="1"/>
  <c r="P232" i="1"/>
  <c r="Q232" i="1"/>
  <c r="N233" i="1"/>
  <c r="C229" i="12" s="1"/>
  <c r="D229" i="12" s="1"/>
  <c r="O233" i="1"/>
  <c r="S233" i="1" s="1"/>
  <c r="P233" i="1"/>
  <c r="Q233" i="1"/>
  <c r="R233" i="1"/>
  <c r="N234" i="1"/>
  <c r="C230" i="12" s="1"/>
  <c r="D230" i="12" s="1"/>
  <c r="O234" i="1"/>
  <c r="P234" i="1"/>
  <c r="Q234" i="1"/>
  <c r="R234" i="1"/>
  <c r="K235" i="1"/>
  <c r="L235" i="1"/>
  <c r="L153" i="1" s="1"/>
  <c r="M235" i="1"/>
  <c r="O235" i="1"/>
  <c r="P235" i="1"/>
  <c r="Q235" i="1"/>
  <c r="B236" i="1"/>
  <c r="C236" i="1"/>
  <c r="D236" i="1"/>
  <c r="D252" i="1" s="1"/>
  <c r="E236" i="1"/>
  <c r="F236" i="1"/>
  <c r="F252" i="1" s="1"/>
  <c r="F253" i="1" s="1"/>
  <c r="G236" i="1"/>
  <c r="H236" i="1"/>
  <c r="I236" i="1"/>
  <c r="J236" i="1"/>
  <c r="P236" i="1"/>
  <c r="O239" i="1"/>
  <c r="P239" i="1"/>
  <c r="Q239" i="1"/>
  <c r="O240" i="1"/>
  <c r="P240" i="1"/>
  <c r="P157" i="1" s="1"/>
  <c r="Q240" i="1"/>
  <c r="N241" i="1"/>
  <c r="C237" i="12" s="1"/>
  <c r="D237" i="12" s="1"/>
  <c r="O241" i="1"/>
  <c r="S241" i="1" s="1"/>
  <c r="P241" i="1"/>
  <c r="Q241" i="1"/>
  <c r="R241" i="1"/>
  <c r="N242" i="1"/>
  <c r="C238" i="12" s="1"/>
  <c r="D238" i="12" s="1"/>
  <c r="O242" i="1"/>
  <c r="P242" i="1"/>
  <c r="Q242" i="1"/>
  <c r="R242" i="1"/>
  <c r="B243" i="1"/>
  <c r="C243" i="1"/>
  <c r="C252" i="1" s="1"/>
  <c r="D243" i="1"/>
  <c r="E243" i="1"/>
  <c r="F243" i="1"/>
  <c r="G243" i="1"/>
  <c r="H243" i="1"/>
  <c r="I243" i="1"/>
  <c r="J243" i="1"/>
  <c r="P243" i="1"/>
  <c r="Q243" i="1"/>
  <c r="T243" i="1"/>
  <c r="U243" i="1"/>
  <c r="K246" i="1"/>
  <c r="O246" i="1"/>
  <c r="P246" i="1"/>
  <c r="P250" i="1" s="1"/>
  <c r="Q246" i="1"/>
  <c r="Q250" i="1" s="1"/>
  <c r="T246" i="1"/>
  <c r="U246" i="1"/>
  <c r="O247" i="1"/>
  <c r="P247" i="1"/>
  <c r="P163" i="1" s="1"/>
  <c r="Q247" i="1"/>
  <c r="N248" i="1"/>
  <c r="C244" i="12" s="1"/>
  <c r="D244" i="12" s="1"/>
  <c r="O248" i="1"/>
  <c r="P248" i="1"/>
  <c r="Q248" i="1"/>
  <c r="R248" i="1"/>
  <c r="B249" i="1"/>
  <c r="K249" i="1"/>
  <c r="K290" i="1" s="1"/>
  <c r="M249" i="1"/>
  <c r="M165" i="1" s="1"/>
  <c r="P249" i="1"/>
  <c r="P183" i="1" s="1"/>
  <c r="Q249" i="1"/>
  <c r="B250" i="1"/>
  <c r="C250" i="1"/>
  <c r="D250" i="1"/>
  <c r="E250" i="1"/>
  <c r="F250" i="1"/>
  <c r="G250" i="1"/>
  <c r="H250" i="1"/>
  <c r="I250" i="1"/>
  <c r="J250" i="1"/>
  <c r="J252" i="1" s="1"/>
  <c r="T250" i="1"/>
  <c r="B251" i="1"/>
  <c r="B253" i="1" s="1"/>
  <c r="C251" i="1"/>
  <c r="D251" i="1"/>
  <c r="F251" i="1"/>
  <c r="G251" i="1"/>
  <c r="H251" i="1"/>
  <c r="J251" i="1"/>
  <c r="U251" i="1"/>
  <c r="B252" i="1"/>
  <c r="H252" i="1"/>
  <c r="T252" i="1"/>
  <c r="U252" i="1"/>
  <c r="D253" i="1"/>
  <c r="O257" i="1"/>
  <c r="P257" i="1"/>
  <c r="P261" i="1" s="1"/>
  <c r="Q257" i="1"/>
  <c r="Q261" i="1" s="1"/>
  <c r="O258" i="1"/>
  <c r="P258" i="1"/>
  <c r="Q258" i="1"/>
  <c r="N259" i="1"/>
  <c r="O259" i="1"/>
  <c r="S259" i="1" s="1"/>
  <c r="P259" i="1"/>
  <c r="Q259" i="1"/>
  <c r="R259" i="1"/>
  <c r="K260" i="1"/>
  <c r="K171" i="1" s="1"/>
  <c r="L260" i="1"/>
  <c r="M260" i="1"/>
  <c r="O260" i="1"/>
  <c r="P260" i="1"/>
  <c r="P171" i="1" s="1"/>
  <c r="Q260" i="1"/>
  <c r="B261" i="1"/>
  <c r="B270" i="1" s="1"/>
  <c r="C261" i="1"/>
  <c r="D261" i="1"/>
  <c r="E261" i="1"/>
  <c r="E270" i="1" s="1"/>
  <c r="E271" i="1" s="1"/>
  <c r="F261" i="1"/>
  <c r="G261" i="1"/>
  <c r="H261" i="1"/>
  <c r="I261" i="1"/>
  <c r="J261" i="1"/>
  <c r="J270" i="1" s="1"/>
  <c r="T261" i="1"/>
  <c r="U261" i="1"/>
  <c r="U270" i="1" s="1"/>
  <c r="U271" i="1" s="1"/>
  <c r="O264" i="1"/>
  <c r="P264" i="1"/>
  <c r="Q264" i="1"/>
  <c r="O265" i="1"/>
  <c r="P265" i="1"/>
  <c r="Q265" i="1"/>
  <c r="T265" i="1"/>
  <c r="T175" i="1" s="1"/>
  <c r="U265" i="1"/>
  <c r="U175" i="1" s="1"/>
  <c r="N266" i="1"/>
  <c r="C262" i="12" s="1"/>
  <c r="D262" i="12" s="1"/>
  <c r="O266" i="1"/>
  <c r="S266" i="1" s="1"/>
  <c r="P266" i="1"/>
  <c r="Q266" i="1"/>
  <c r="R266" i="1"/>
  <c r="K267" i="1"/>
  <c r="K177" i="1" s="1"/>
  <c r="L267" i="1"/>
  <c r="M267" i="1"/>
  <c r="O267" i="1"/>
  <c r="P267" i="1"/>
  <c r="P177" i="1" s="1"/>
  <c r="Q267" i="1"/>
  <c r="B268" i="1"/>
  <c r="C268" i="1"/>
  <c r="D268" i="1"/>
  <c r="E268" i="1"/>
  <c r="F268" i="1"/>
  <c r="G268" i="1"/>
  <c r="H268" i="1"/>
  <c r="I268" i="1"/>
  <c r="J268" i="1"/>
  <c r="T268" i="1"/>
  <c r="U268" i="1"/>
  <c r="B269" i="1"/>
  <c r="B285" i="1" s="1"/>
  <c r="C269" i="1"/>
  <c r="D269" i="1"/>
  <c r="E269" i="1"/>
  <c r="F269" i="1"/>
  <c r="G269" i="1"/>
  <c r="G270" i="1" s="1"/>
  <c r="H269" i="1"/>
  <c r="I269" i="1"/>
  <c r="I270" i="1" s="1"/>
  <c r="I271" i="1" s="1"/>
  <c r="J269" i="1"/>
  <c r="Q269" i="1"/>
  <c r="T269" i="1"/>
  <c r="U269" i="1"/>
  <c r="C270" i="1"/>
  <c r="C271" i="1" s="1"/>
  <c r="D270" i="1"/>
  <c r="D271" i="1" s="1"/>
  <c r="F270" i="1"/>
  <c r="F271" i="1" s="1"/>
  <c r="T270" i="1"/>
  <c r="T271" i="1" s="1"/>
  <c r="B271" i="1"/>
  <c r="G271" i="1"/>
  <c r="R274" i="1"/>
  <c r="E275" i="1"/>
  <c r="D276" i="1"/>
  <c r="O276" i="1"/>
  <c r="P276" i="1"/>
  <c r="Q276" i="1"/>
  <c r="N277" i="1"/>
  <c r="C273" i="12" s="1"/>
  <c r="D273" i="12" s="1"/>
  <c r="O277" i="1"/>
  <c r="P277" i="1"/>
  <c r="Q277" i="1"/>
  <c r="R277" i="1"/>
  <c r="N278" i="1"/>
  <c r="C274" i="12" s="1"/>
  <c r="D274" i="12" s="1"/>
  <c r="O278" i="1"/>
  <c r="P278" i="1"/>
  <c r="S278" i="1" s="1"/>
  <c r="Q278" i="1"/>
  <c r="R278" i="1"/>
  <c r="B279" i="1"/>
  <c r="C279" i="1"/>
  <c r="H279" i="1"/>
  <c r="I279" i="1"/>
  <c r="T279" i="1"/>
  <c r="U279" i="1"/>
  <c r="B280" i="1"/>
  <c r="C280" i="1"/>
  <c r="D280" i="1"/>
  <c r="E280" i="1"/>
  <c r="F280" i="1"/>
  <c r="G280" i="1"/>
  <c r="H280" i="1"/>
  <c r="I280" i="1"/>
  <c r="J280" i="1"/>
  <c r="T280" i="1"/>
  <c r="U280" i="1"/>
  <c r="B281" i="1"/>
  <c r="C281" i="1"/>
  <c r="H281" i="1"/>
  <c r="I281" i="1"/>
  <c r="T281" i="1"/>
  <c r="U281" i="1"/>
  <c r="R283" i="1"/>
  <c r="S283" i="1"/>
  <c r="B286" i="1"/>
  <c r="C286" i="1"/>
  <c r="D286" i="1"/>
  <c r="E286" i="1"/>
  <c r="F286" i="1"/>
  <c r="G286" i="1"/>
  <c r="H286" i="1"/>
  <c r="Q286" i="1" s="1"/>
  <c r="I286" i="1"/>
  <c r="J286" i="1"/>
  <c r="O286" i="1"/>
  <c r="T286" i="1"/>
  <c r="T292" i="1" s="1"/>
  <c r="T316" i="1" s="1"/>
  <c r="U286" i="1"/>
  <c r="B287" i="1"/>
  <c r="C287" i="1"/>
  <c r="D287" i="1"/>
  <c r="E287" i="1"/>
  <c r="F287" i="1"/>
  <c r="G287" i="1"/>
  <c r="H287" i="1"/>
  <c r="I287" i="1"/>
  <c r="J287" i="1"/>
  <c r="K287" i="1"/>
  <c r="R287" i="1" s="1"/>
  <c r="L287" i="1"/>
  <c r="M287" i="1"/>
  <c r="P287" i="1"/>
  <c r="Q287" i="1"/>
  <c r="B288" i="1"/>
  <c r="C288" i="1"/>
  <c r="D288" i="1"/>
  <c r="E288" i="1"/>
  <c r="F288" i="1"/>
  <c r="G288" i="1"/>
  <c r="N288" i="1" s="1"/>
  <c r="C284" i="12" s="1"/>
  <c r="D284" i="12" s="1"/>
  <c r="H288" i="1"/>
  <c r="I288" i="1"/>
  <c r="J288" i="1"/>
  <c r="K288" i="1"/>
  <c r="L288" i="1"/>
  <c r="M288" i="1"/>
  <c r="O288" i="1"/>
  <c r="Q288" i="1"/>
  <c r="R288" i="1"/>
  <c r="B289" i="1"/>
  <c r="C289" i="1"/>
  <c r="D289" i="1"/>
  <c r="E289" i="1"/>
  <c r="P289" i="1" s="1"/>
  <c r="F289" i="1"/>
  <c r="G289" i="1"/>
  <c r="H289" i="1"/>
  <c r="Q289" i="1" s="1"/>
  <c r="I289" i="1"/>
  <c r="J289" i="1"/>
  <c r="K289" i="1"/>
  <c r="L289" i="1"/>
  <c r="M289" i="1"/>
  <c r="O289" i="1"/>
  <c r="B290" i="1"/>
  <c r="C290" i="1"/>
  <c r="C292" i="1" s="1"/>
  <c r="C316" i="1" s="1"/>
  <c r="D290" i="1"/>
  <c r="E290" i="1"/>
  <c r="P290" i="1" s="1"/>
  <c r="F290" i="1"/>
  <c r="G290" i="1"/>
  <c r="H290" i="1"/>
  <c r="Q290" i="1" s="1"/>
  <c r="I290" i="1"/>
  <c r="J290" i="1"/>
  <c r="J292" i="1" s="1"/>
  <c r="T290" i="1"/>
  <c r="U290" i="1"/>
  <c r="B291" i="1"/>
  <c r="B292" i="1"/>
  <c r="B316" i="1" s="1"/>
  <c r="B317" i="1" s="1"/>
  <c r="F292" i="1"/>
  <c r="F316" i="1" s="1"/>
  <c r="U292" i="1"/>
  <c r="U316" i="1" s="1"/>
  <c r="U317" i="1" s="1"/>
  <c r="I298" i="1"/>
  <c r="J298" i="1"/>
  <c r="O298" i="1"/>
  <c r="P298" i="1"/>
  <c r="D299" i="1"/>
  <c r="D302" i="1" s="1"/>
  <c r="O299" i="1"/>
  <c r="P299" i="1"/>
  <c r="T299" i="1"/>
  <c r="T302" i="1" s="1"/>
  <c r="U299" i="1"/>
  <c r="O300" i="1"/>
  <c r="P300" i="1"/>
  <c r="T300" i="1"/>
  <c r="U300" i="1"/>
  <c r="B301" i="1"/>
  <c r="C301" i="1"/>
  <c r="H301" i="1"/>
  <c r="O301" i="1"/>
  <c r="P301" i="1"/>
  <c r="Q301" i="1"/>
  <c r="T301" i="1"/>
  <c r="U301" i="1"/>
  <c r="B302" i="1"/>
  <c r="C302" i="1"/>
  <c r="E302" i="1"/>
  <c r="F302" i="1"/>
  <c r="G302" i="1"/>
  <c r="H302" i="1"/>
  <c r="P302" i="1"/>
  <c r="U302" i="1"/>
  <c r="N304" i="1"/>
  <c r="O304" i="1"/>
  <c r="P304" i="1"/>
  <c r="Q304" i="1"/>
  <c r="R304" i="1"/>
  <c r="S304" i="1"/>
  <c r="C305" i="1"/>
  <c r="D305" i="1"/>
  <c r="E305" i="1"/>
  <c r="F305" i="1"/>
  <c r="P305" i="1" s="1"/>
  <c r="G305" i="1"/>
  <c r="H305" i="1"/>
  <c r="I305" i="1"/>
  <c r="J305" i="1"/>
  <c r="Q305" i="1" s="1"/>
  <c r="K305" i="1"/>
  <c r="L305" i="1"/>
  <c r="M305" i="1"/>
  <c r="O305" i="1"/>
  <c r="R305" i="1"/>
  <c r="C306" i="1"/>
  <c r="E306" i="1"/>
  <c r="G306" i="1"/>
  <c r="H306" i="1"/>
  <c r="Q306" i="1" s="1"/>
  <c r="I306" i="1"/>
  <c r="J306" i="1"/>
  <c r="K306" i="1"/>
  <c r="L306" i="1"/>
  <c r="M306" i="1"/>
  <c r="O306" i="1"/>
  <c r="P306" i="1"/>
  <c r="S306" i="1" s="1"/>
  <c r="R306" i="1"/>
  <c r="B307" i="1"/>
  <c r="D307" i="1"/>
  <c r="E307" i="1"/>
  <c r="F307" i="1"/>
  <c r="P307" i="1" s="1"/>
  <c r="G307" i="1"/>
  <c r="H307" i="1"/>
  <c r="I307" i="1"/>
  <c r="J307" i="1"/>
  <c r="N307" i="1" s="1"/>
  <c r="K307" i="1"/>
  <c r="L307" i="1"/>
  <c r="M307" i="1"/>
  <c r="O307" i="1"/>
  <c r="Q307" i="1"/>
  <c r="R307" i="1"/>
  <c r="B308" i="1"/>
  <c r="C308" i="1"/>
  <c r="N308" i="1"/>
  <c r="O308" i="1"/>
  <c r="P308" i="1"/>
  <c r="Q308" i="1"/>
  <c r="R308" i="1"/>
  <c r="Q312" i="1"/>
  <c r="R312" i="1"/>
  <c r="O313" i="1"/>
  <c r="O315" i="1" s="1"/>
  <c r="N314" i="1"/>
  <c r="O314" i="1"/>
  <c r="P314" i="1"/>
  <c r="Q314" i="1"/>
  <c r="R314" i="1"/>
  <c r="B315" i="1"/>
  <c r="C315" i="1"/>
  <c r="D315" i="1"/>
  <c r="F315" i="1"/>
  <c r="G315" i="1"/>
  <c r="T315" i="1"/>
  <c r="U315" i="1"/>
  <c r="J316" i="1"/>
  <c r="F317" i="1"/>
  <c r="B321" i="1"/>
  <c r="C321" i="1"/>
  <c r="C323" i="1" s="1"/>
  <c r="D321" i="1"/>
  <c r="E321" i="1"/>
  <c r="F321" i="1"/>
  <c r="G321" i="1"/>
  <c r="H321" i="1"/>
  <c r="I321" i="1"/>
  <c r="J321" i="1"/>
  <c r="J323" i="1" s="1"/>
  <c r="L321" i="1"/>
  <c r="M321" i="1"/>
  <c r="P321" i="1"/>
  <c r="B322" i="1"/>
  <c r="C322" i="1"/>
  <c r="D322" i="1"/>
  <c r="E322" i="1"/>
  <c r="E323" i="1" s="1"/>
  <c r="F322" i="1"/>
  <c r="G322" i="1"/>
  <c r="H322" i="1"/>
  <c r="I322" i="1"/>
  <c r="J322" i="1"/>
  <c r="K322" i="1"/>
  <c r="R322" i="1" s="1"/>
  <c r="L322" i="1"/>
  <c r="M322" i="1"/>
  <c r="M323" i="1" s="1"/>
  <c r="O322" i="1"/>
  <c r="P322" i="1"/>
  <c r="D323" i="1"/>
  <c r="F323" i="1"/>
  <c r="G323" i="1"/>
  <c r="L323" i="1"/>
  <c r="T323" i="1"/>
  <c r="U323" i="1"/>
  <c r="C328" i="1"/>
  <c r="F328" i="1"/>
  <c r="G328" i="1"/>
  <c r="H328" i="1"/>
  <c r="J328" i="1"/>
  <c r="K328" i="1"/>
  <c r="L328" i="1"/>
  <c r="B329" i="1"/>
  <c r="F329" i="1"/>
  <c r="J329" i="1"/>
  <c r="B330" i="1"/>
  <c r="C330" i="1"/>
  <c r="E330" i="1"/>
  <c r="F330" i="1"/>
  <c r="H330" i="1"/>
  <c r="I330" i="1"/>
  <c r="J330" i="1"/>
  <c r="K330" i="1"/>
  <c r="M330" i="1"/>
  <c r="N331" i="1"/>
  <c r="N332" i="1"/>
  <c r="D333" i="1"/>
  <c r="F333" i="1"/>
  <c r="H333" i="1"/>
  <c r="L333" i="1"/>
  <c r="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F336" i="1"/>
  <c r="S336" i="1"/>
  <c r="T336" i="1"/>
  <c r="U336" i="1"/>
  <c r="B341" i="1"/>
  <c r="C341" i="1"/>
  <c r="D341" i="1"/>
  <c r="E341" i="1"/>
  <c r="F341" i="1"/>
  <c r="G341" i="1"/>
  <c r="H341" i="1"/>
  <c r="I341" i="1"/>
  <c r="J341" i="1"/>
  <c r="K341" i="1"/>
  <c r="K298" i="1" s="1"/>
  <c r="L341" i="1"/>
  <c r="L298" i="1" s="1"/>
  <c r="M341" i="1"/>
  <c r="N341" i="1"/>
  <c r="P341" i="1"/>
  <c r="S341" i="1"/>
  <c r="T341" i="1"/>
  <c r="T342" i="1" s="1"/>
  <c r="U341" i="1"/>
  <c r="U342" i="1"/>
  <c r="P343" i="1"/>
  <c r="S343" i="1"/>
  <c r="P344" i="1"/>
  <c r="S344" i="1"/>
  <c r="P347" i="1"/>
  <c r="Q347" i="1"/>
  <c r="S347" i="1"/>
  <c r="Q348" i="1"/>
  <c r="R348" i="1"/>
  <c r="N349" i="1"/>
  <c r="N350" i="1"/>
  <c r="N351" i="1"/>
  <c r="R351" i="1"/>
  <c r="N352" i="1"/>
  <c r="N353" i="1"/>
  <c r="N354" i="1"/>
  <c r="N355" i="1"/>
  <c r="N356" i="1"/>
  <c r="N357" i="1"/>
  <c r="N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P359" i="1"/>
  <c r="Q359" i="1"/>
  <c r="R359" i="1"/>
  <c r="S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4" i="1"/>
  <c r="N365" i="1"/>
  <c r="N366" i="1"/>
  <c r="N367" i="1"/>
  <c r="N368" i="1"/>
  <c r="I371" i="1"/>
  <c r="P371" i="1"/>
  <c r="S371" i="1"/>
  <c r="B372" i="1"/>
  <c r="F372" i="1"/>
  <c r="P372" i="1"/>
  <c r="S372" i="1"/>
  <c r="P373" i="1"/>
  <c r="S373" i="1"/>
  <c r="P374" i="1"/>
  <c r="S374" i="1"/>
  <c r="B375" i="1"/>
  <c r="D375" i="1"/>
  <c r="E375" i="1"/>
  <c r="P375" i="1"/>
  <c r="S375" i="1"/>
  <c r="G376" i="1"/>
  <c r="P376" i="1"/>
  <c r="S376" i="1"/>
  <c r="P377" i="1"/>
  <c r="S377" i="1"/>
  <c r="S113" i="1" s="1"/>
  <c r="T377" i="1"/>
  <c r="T379" i="1" s="1"/>
  <c r="U377" i="1"/>
  <c r="J378" i="1"/>
  <c r="J114" i="1" s="1"/>
  <c r="P378" i="1"/>
  <c r="S378" i="1"/>
  <c r="S114" i="1" s="1"/>
  <c r="T378" i="1"/>
  <c r="U378" i="1"/>
  <c r="U379" i="1" s="1"/>
  <c r="P379" i="1"/>
  <c r="S379" i="1"/>
  <c r="N381" i="1"/>
  <c r="B385" i="1"/>
  <c r="C385" i="1"/>
  <c r="D385" i="1"/>
  <c r="E385" i="1"/>
  <c r="E386" i="1" s="1"/>
  <c r="F385" i="1"/>
  <c r="F386" i="1" s="1"/>
  <c r="G385" i="1"/>
  <c r="H385" i="1"/>
  <c r="I385" i="1"/>
  <c r="J385" i="1"/>
  <c r="K385" i="1"/>
  <c r="K386" i="1" s="1"/>
  <c r="L385" i="1"/>
  <c r="L386" i="1" s="1"/>
  <c r="M385" i="1"/>
  <c r="M386" i="1" s="1"/>
  <c r="B386" i="1"/>
  <c r="D386" i="1"/>
  <c r="G386" i="1"/>
  <c r="H386" i="1"/>
  <c r="I386" i="1"/>
  <c r="J386" i="1"/>
  <c r="N388" i="1"/>
  <c r="B389" i="1"/>
  <c r="C389" i="1"/>
  <c r="N389" i="1" s="1"/>
  <c r="D389" i="1"/>
  <c r="E389" i="1"/>
  <c r="F389" i="1"/>
  <c r="G389" i="1"/>
  <c r="N390" i="1"/>
  <c r="B391" i="1"/>
  <c r="C391" i="1"/>
  <c r="D391" i="1"/>
  <c r="D395" i="1" s="1"/>
  <c r="E391" i="1"/>
  <c r="F391" i="1"/>
  <c r="F395" i="1" s="1"/>
  <c r="G391" i="1"/>
  <c r="N393" i="1"/>
  <c r="E394" i="1"/>
  <c r="N394" i="1"/>
  <c r="B395" i="1"/>
  <c r="G395" i="1"/>
  <c r="N398" i="1"/>
  <c r="E400" i="1"/>
  <c r="F400" i="1"/>
  <c r="G400" i="1"/>
  <c r="N400" i="1"/>
  <c r="C12" i="13"/>
  <c r="D12" i="13"/>
  <c r="E12" i="13"/>
  <c r="F12" i="13"/>
  <c r="G12" i="13"/>
  <c r="H12" i="13"/>
  <c r="I12" i="13"/>
  <c r="J12" i="13"/>
  <c r="K12" i="13"/>
  <c r="C13" i="13"/>
  <c r="D13" i="13"/>
  <c r="E13" i="13"/>
  <c r="F13" i="13"/>
  <c r="F32" i="13" s="1"/>
  <c r="F50" i="13" s="1"/>
  <c r="E371" i="1" s="1"/>
  <c r="G13" i="13"/>
  <c r="H13" i="13"/>
  <c r="J13" i="13"/>
  <c r="K13" i="13"/>
  <c r="C14" i="13"/>
  <c r="E14" i="13"/>
  <c r="F14" i="13"/>
  <c r="G14" i="13"/>
  <c r="H14" i="13"/>
  <c r="H33" i="13" s="1"/>
  <c r="H51" i="13" s="1"/>
  <c r="G373" i="1" s="1"/>
  <c r="I14" i="13"/>
  <c r="I33" i="13" s="1"/>
  <c r="I51" i="13" s="1"/>
  <c r="H373" i="1" s="1"/>
  <c r="J14" i="13"/>
  <c r="K14" i="13"/>
  <c r="C15" i="13"/>
  <c r="D15" i="13"/>
  <c r="E15" i="13"/>
  <c r="E34" i="13" s="1"/>
  <c r="E52" i="13" s="1"/>
  <c r="F15" i="13"/>
  <c r="F34" i="13" s="1"/>
  <c r="F52" i="13" s="1"/>
  <c r="H15" i="13"/>
  <c r="I15" i="13"/>
  <c r="J15" i="13"/>
  <c r="J34" i="13" s="1"/>
  <c r="K15" i="13"/>
  <c r="C16" i="13"/>
  <c r="D16" i="13"/>
  <c r="E16" i="13"/>
  <c r="F16" i="13"/>
  <c r="F35" i="13" s="1"/>
  <c r="F53" i="13" s="1"/>
  <c r="G16" i="13"/>
  <c r="H16" i="13"/>
  <c r="J16" i="13"/>
  <c r="J35" i="13" s="1"/>
  <c r="J53" i="13" s="1"/>
  <c r="I375" i="1" s="1"/>
  <c r="C17" i="13"/>
  <c r="D17" i="13"/>
  <c r="D127" i="13" s="1"/>
  <c r="E17" i="13"/>
  <c r="F17" i="13"/>
  <c r="F127" i="13" s="1"/>
  <c r="H17" i="13"/>
  <c r="I17" i="13"/>
  <c r="J17" i="13"/>
  <c r="K17" i="13"/>
  <c r="D18" i="13"/>
  <c r="E18" i="13"/>
  <c r="F18" i="13"/>
  <c r="G18" i="13"/>
  <c r="H18" i="13"/>
  <c r="H127" i="13" s="1"/>
  <c r="I18" i="13"/>
  <c r="I37" i="13" s="1"/>
  <c r="I55" i="13" s="1"/>
  <c r="J18" i="13"/>
  <c r="J37" i="13" s="1"/>
  <c r="J55" i="13" s="1"/>
  <c r="E19" i="13"/>
  <c r="C31" i="13"/>
  <c r="D31" i="13"/>
  <c r="D49" i="13" s="1"/>
  <c r="E31" i="13"/>
  <c r="G31" i="13"/>
  <c r="J31" i="13"/>
  <c r="J49" i="13" s="1"/>
  <c r="I372" i="1" s="1"/>
  <c r="K31" i="13"/>
  <c r="Q31" i="13"/>
  <c r="R31" i="13"/>
  <c r="C32" i="13"/>
  <c r="D32" i="13"/>
  <c r="G32" i="13"/>
  <c r="H32" i="13"/>
  <c r="H50" i="13" s="1"/>
  <c r="G371" i="1" s="1"/>
  <c r="J32" i="13"/>
  <c r="J50" i="13" s="1"/>
  <c r="K32" i="13"/>
  <c r="Q32" i="13"/>
  <c r="R32" i="13"/>
  <c r="C33" i="13"/>
  <c r="E33" i="13"/>
  <c r="F33" i="13"/>
  <c r="F51" i="13" s="1"/>
  <c r="E373" i="1" s="1"/>
  <c r="G33" i="13"/>
  <c r="J33" i="13"/>
  <c r="J51" i="13" s="1"/>
  <c r="I373" i="1" s="1"/>
  <c r="K33" i="13"/>
  <c r="Q33" i="13"/>
  <c r="R33" i="13"/>
  <c r="C34" i="13"/>
  <c r="D34" i="13"/>
  <c r="D52" i="13" s="1"/>
  <c r="H34" i="13"/>
  <c r="H52" i="13" s="1"/>
  <c r="I34" i="13"/>
  <c r="K34" i="13"/>
  <c r="Q34" i="13"/>
  <c r="R34" i="13"/>
  <c r="C35" i="13"/>
  <c r="D35" i="13"/>
  <c r="D53" i="13" s="1"/>
  <c r="C375" i="1" s="1"/>
  <c r="E35" i="13"/>
  <c r="G35" i="13"/>
  <c r="H35" i="13"/>
  <c r="H53" i="13" s="1"/>
  <c r="G375" i="1" s="1"/>
  <c r="C36" i="13"/>
  <c r="F36" i="13"/>
  <c r="F54" i="13" s="1"/>
  <c r="H36" i="13"/>
  <c r="H54" i="13" s="1"/>
  <c r="I36" i="13"/>
  <c r="K36" i="13"/>
  <c r="Q36" i="13"/>
  <c r="R36" i="13"/>
  <c r="D37" i="13"/>
  <c r="D55" i="13" s="1"/>
  <c r="E37" i="13"/>
  <c r="F37" i="13"/>
  <c r="F55" i="13" s="1"/>
  <c r="G37" i="13"/>
  <c r="Q37" i="13"/>
  <c r="R37" i="13"/>
  <c r="R38" i="13"/>
  <c r="R42" i="13" s="1"/>
  <c r="R45" i="13" s="1"/>
  <c r="R92" i="13" s="1"/>
  <c r="R94" i="13" s="1"/>
  <c r="C40" i="13"/>
  <c r="D40" i="13"/>
  <c r="E40" i="13"/>
  <c r="F40" i="13"/>
  <c r="G40" i="13"/>
  <c r="H40" i="13"/>
  <c r="J40" i="13"/>
  <c r="C41" i="13"/>
  <c r="D41" i="13"/>
  <c r="E41" i="13"/>
  <c r="F41" i="13"/>
  <c r="G41" i="13"/>
  <c r="H41" i="13"/>
  <c r="I41" i="13"/>
  <c r="J41" i="13"/>
  <c r="K41" i="13"/>
  <c r="C49" i="13"/>
  <c r="E49" i="13"/>
  <c r="G49" i="13"/>
  <c r="K49" i="13"/>
  <c r="J372" i="1" s="1"/>
  <c r="C50" i="13"/>
  <c r="B371" i="1" s="1"/>
  <c r="G50" i="13"/>
  <c r="F371" i="1" s="1"/>
  <c r="C51" i="13"/>
  <c r="B373" i="1" s="1"/>
  <c r="E51" i="13"/>
  <c r="D373" i="1" s="1"/>
  <c r="G51" i="13"/>
  <c r="K51" i="13"/>
  <c r="J373" i="1" s="1"/>
  <c r="C52" i="13"/>
  <c r="B376" i="1" s="1"/>
  <c r="I52" i="13"/>
  <c r="H376" i="1" s="1"/>
  <c r="J52" i="13"/>
  <c r="I376" i="1" s="1"/>
  <c r="K52" i="13"/>
  <c r="C53" i="13"/>
  <c r="E53" i="13"/>
  <c r="G53" i="13"/>
  <c r="F375" i="1" s="1"/>
  <c r="C54" i="13"/>
  <c r="G54" i="13"/>
  <c r="I54" i="13"/>
  <c r="K54" i="13"/>
  <c r="E55" i="13"/>
  <c r="G55" i="13"/>
  <c r="Q60" i="13"/>
  <c r="R60" i="13"/>
  <c r="C64" i="13"/>
  <c r="E64" i="13"/>
  <c r="F64" i="13"/>
  <c r="G64" i="13"/>
  <c r="K64" i="13"/>
  <c r="M64" i="13"/>
  <c r="C65" i="13"/>
  <c r="D65" i="13"/>
  <c r="O65" i="13" s="1"/>
  <c r="E65" i="13"/>
  <c r="F65" i="13"/>
  <c r="G65" i="13"/>
  <c r="H65" i="13"/>
  <c r="I65" i="13"/>
  <c r="J65" i="13"/>
  <c r="K65" i="13"/>
  <c r="L65" i="13"/>
  <c r="M65" i="13"/>
  <c r="N65" i="13"/>
  <c r="K66" i="13"/>
  <c r="Q70" i="13"/>
  <c r="R70" i="13"/>
  <c r="C72" i="13"/>
  <c r="D72" i="13"/>
  <c r="D64" i="13" s="1"/>
  <c r="E72" i="13"/>
  <c r="F72" i="13"/>
  <c r="F75" i="13" s="1"/>
  <c r="G72" i="13"/>
  <c r="H72" i="13"/>
  <c r="I72" i="13"/>
  <c r="I64" i="13" s="1"/>
  <c r="J72" i="13"/>
  <c r="K72" i="13"/>
  <c r="L72" i="13"/>
  <c r="L64" i="13" s="1"/>
  <c r="M72" i="13"/>
  <c r="N72" i="13"/>
  <c r="C75" i="13"/>
  <c r="D75" i="13"/>
  <c r="E75" i="13"/>
  <c r="G75" i="13"/>
  <c r="I75" i="13"/>
  <c r="K75" i="13"/>
  <c r="L75" i="13"/>
  <c r="M75" i="13"/>
  <c r="O76" i="13"/>
  <c r="R76" i="13" s="1"/>
  <c r="R59" i="13" s="1"/>
  <c r="Q76" i="13"/>
  <c r="Q59" i="13" s="1"/>
  <c r="C79" i="13"/>
  <c r="D79" i="13"/>
  <c r="E79" i="13"/>
  <c r="F79" i="13"/>
  <c r="G79" i="13"/>
  <c r="H79" i="13"/>
  <c r="I79" i="13"/>
  <c r="J79" i="13"/>
  <c r="K79" i="13"/>
  <c r="L79" i="13"/>
  <c r="M79" i="13"/>
  <c r="N79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5" i="13"/>
  <c r="O100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O108" i="13"/>
  <c r="A112" i="13"/>
  <c r="F112" i="13"/>
  <c r="G122" i="13"/>
  <c r="G127" i="13"/>
  <c r="I127" i="13"/>
  <c r="C128" i="13"/>
  <c r="K135" i="13"/>
  <c r="O135" i="13"/>
  <c r="P135" i="13"/>
  <c r="C139" i="13"/>
  <c r="E139" i="13"/>
  <c r="F139" i="13"/>
  <c r="G139" i="13"/>
  <c r="I139" i="13"/>
  <c r="P139" i="13"/>
  <c r="F3" i="5"/>
  <c r="F4" i="5"/>
  <c r="F5" i="5"/>
  <c r="G5" i="5"/>
  <c r="F6" i="5"/>
  <c r="F7" i="5"/>
  <c r="F8" i="5"/>
  <c r="F9" i="5"/>
  <c r="F10" i="5"/>
  <c r="G10" i="5"/>
  <c r="F11" i="5"/>
  <c r="F12" i="5"/>
  <c r="F13" i="5"/>
  <c r="G13" i="5"/>
  <c r="F14" i="5"/>
  <c r="G14" i="5"/>
  <c r="F15" i="5"/>
  <c r="F16" i="5"/>
  <c r="F17" i="5"/>
  <c r="F18" i="5"/>
  <c r="F19" i="5"/>
  <c r="F20" i="5"/>
  <c r="G20" i="5"/>
  <c r="F21" i="5"/>
  <c r="F22" i="5"/>
  <c r="G22" i="5"/>
  <c r="F23" i="5"/>
  <c r="F24" i="5"/>
  <c r="F25" i="5"/>
  <c r="F26" i="5"/>
  <c r="G26" i="5"/>
  <c r="F27" i="5"/>
  <c r="G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C11" i="2"/>
  <c r="E11" i="2"/>
  <c r="I11" i="2"/>
  <c r="K11" i="2"/>
  <c r="M11" i="2" s="1"/>
  <c r="O11" i="2"/>
  <c r="Q11" i="2"/>
  <c r="S11" i="2"/>
  <c r="C12" i="2"/>
  <c r="E12" i="2"/>
  <c r="G12" i="2"/>
  <c r="I12" i="2"/>
  <c r="K12" i="2"/>
  <c r="M12" i="2"/>
  <c r="O12" i="2"/>
  <c r="Q12" i="2"/>
  <c r="S12" i="2" s="1"/>
  <c r="C13" i="2"/>
  <c r="E13" i="2"/>
  <c r="G13" i="2" s="1"/>
  <c r="I13" i="2"/>
  <c r="K13" i="2"/>
  <c r="M13" i="2"/>
  <c r="O13" i="2"/>
  <c r="Q13" i="2"/>
  <c r="C15" i="2"/>
  <c r="E15" i="2"/>
  <c r="G15" i="2" s="1"/>
  <c r="I15" i="2"/>
  <c r="K15" i="2"/>
  <c r="M15" i="2"/>
  <c r="O15" i="2"/>
  <c r="Q15" i="2"/>
  <c r="S15" i="2"/>
  <c r="C17" i="2"/>
  <c r="I17" i="2"/>
  <c r="K17" i="2"/>
  <c r="M17" i="2" s="1"/>
  <c r="O17" i="2"/>
  <c r="Q17" i="2"/>
  <c r="S17" i="2" s="1"/>
  <c r="A19" i="2"/>
  <c r="C11" i="6"/>
  <c r="D11" i="6"/>
  <c r="D12" i="6" s="1"/>
  <c r="D9" i="6" s="1"/>
  <c r="E11" i="6"/>
  <c r="F11" i="6"/>
  <c r="G11" i="6"/>
  <c r="G12" i="6" s="1"/>
  <c r="H11" i="6"/>
  <c r="H12" i="6" s="1"/>
  <c r="I11" i="6"/>
  <c r="I12" i="6" s="1"/>
  <c r="C12" i="6"/>
  <c r="C9" i="6" s="1"/>
  <c r="E12" i="6"/>
  <c r="E9" i="6" s="1"/>
  <c r="F12" i="6"/>
  <c r="J12" i="6"/>
  <c r="K12" i="6"/>
  <c r="L12" i="6"/>
  <c r="M12" i="6"/>
  <c r="N12" i="6"/>
  <c r="C15" i="6"/>
  <c r="D15" i="6"/>
  <c r="E15" i="6"/>
  <c r="F15" i="6"/>
  <c r="F16" i="6" s="1"/>
  <c r="F9" i="6" s="1"/>
  <c r="G15" i="6"/>
  <c r="G16" i="6" s="1"/>
  <c r="H15" i="6"/>
  <c r="I15" i="6"/>
  <c r="I16" i="6" s="1"/>
  <c r="J15" i="6"/>
  <c r="J16" i="6" s="1"/>
  <c r="K15" i="6"/>
  <c r="C16" i="6"/>
  <c r="D16" i="6"/>
  <c r="E16" i="6"/>
  <c r="H16" i="6"/>
  <c r="K16" i="6"/>
  <c r="L16" i="6"/>
  <c r="M16" i="6"/>
  <c r="N16" i="6"/>
  <c r="C20" i="6"/>
  <c r="D20" i="6"/>
  <c r="E20" i="6"/>
  <c r="F20" i="6"/>
  <c r="G20" i="6"/>
  <c r="H20" i="6"/>
  <c r="H9" i="6" s="1"/>
  <c r="I20" i="6"/>
  <c r="J20" i="6"/>
  <c r="K20" i="6"/>
  <c r="L20" i="6"/>
  <c r="M20" i="6"/>
  <c r="N20" i="6"/>
  <c r="C24" i="6"/>
  <c r="D24" i="6"/>
  <c r="E24" i="6"/>
  <c r="F24" i="6"/>
  <c r="G24" i="6"/>
  <c r="H24" i="6"/>
  <c r="I24" i="6"/>
  <c r="J24" i="6"/>
  <c r="K24" i="6"/>
  <c r="K9" i="6" s="1"/>
  <c r="L24" i="6"/>
  <c r="M24" i="6"/>
  <c r="M9" i="6" s="1"/>
  <c r="N24" i="6"/>
  <c r="N9" i="6" s="1"/>
  <c r="H28" i="6"/>
  <c r="L28" i="6"/>
  <c r="C30" i="6"/>
  <c r="C31" i="6" s="1"/>
  <c r="C28" i="6" s="1"/>
  <c r="D30" i="6"/>
  <c r="E30" i="6"/>
  <c r="E81" i="6" s="1"/>
  <c r="F30" i="6"/>
  <c r="F81" i="6" s="1"/>
  <c r="G30" i="6"/>
  <c r="H30" i="6"/>
  <c r="H31" i="6" s="1"/>
  <c r="I30" i="6"/>
  <c r="E31" i="6"/>
  <c r="E28" i="6" s="1"/>
  <c r="F31" i="6"/>
  <c r="F28" i="6" s="1"/>
  <c r="G31" i="6"/>
  <c r="I31" i="6"/>
  <c r="J31" i="6"/>
  <c r="K31" i="6"/>
  <c r="L31" i="6"/>
  <c r="M31" i="6"/>
  <c r="N31" i="6"/>
  <c r="N33" i="6"/>
  <c r="N35" i="6" s="1"/>
  <c r="C34" i="6"/>
  <c r="D34" i="6"/>
  <c r="E34" i="6"/>
  <c r="E35" i="6" s="1"/>
  <c r="F34" i="6"/>
  <c r="G34" i="6"/>
  <c r="H34" i="6"/>
  <c r="H85" i="6" s="1"/>
  <c r="H79" i="6" s="1"/>
  <c r="I34" i="6"/>
  <c r="I35" i="6" s="1"/>
  <c r="J34" i="6"/>
  <c r="K34" i="6"/>
  <c r="C35" i="6"/>
  <c r="F35" i="6"/>
  <c r="G35" i="6"/>
  <c r="H35" i="6"/>
  <c r="K35" i="6"/>
  <c r="L35" i="6"/>
  <c r="M35" i="6"/>
  <c r="C39" i="6"/>
  <c r="D39" i="6"/>
  <c r="E39" i="6"/>
  <c r="F39" i="6"/>
  <c r="G39" i="6"/>
  <c r="H39" i="6"/>
  <c r="I39" i="6"/>
  <c r="J39" i="6"/>
  <c r="K39" i="6"/>
  <c r="L39" i="6"/>
  <c r="M39" i="6"/>
  <c r="M28" i="6" s="1"/>
  <c r="N39" i="6"/>
  <c r="C43" i="6"/>
  <c r="D43" i="6"/>
  <c r="E43" i="6"/>
  <c r="F43" i="6"/>
  <c r="G43" i="6"/>
  <c r="H43" i="6"/>
  <c r="I43" i="6"/>
  <c r="J43" i="6"/>
  <c r="K43" i="6"/>
  <c r="L43" i="6"/>
  <c r="M43" i="6"/>
  <c r="N43" i="6"/>
  <c r="N28" i="6" s="1"/>
  <c r="D46" i="6"/>
  <c r="E46" i="6"/>
  <c r="C49" i="6"/>
  <c r="C46" i="6" s="1"/>
  <c r="D49" i="6"/>
  <c r="E49" i="6"/>
  <c r="F49" i="6"/>
  <c r="F46" i="6" s="1"/>
  <c r="G49" i="6"/>
  <c r="G46" i="6" s="1"/>
  <c r="H49" i="6"/>
  <c r="I49" i="6"/>
  <c r="J49" i="6"/>
  <c r="K49" i="6"/>
  <c r="L49" i="6"/>
  <c r="M49" i="6"/>
  <c r="N49" i="6"/>
  <c r="C53" i="6"/>
  <c r="D53" i="6"/>
  <c r="E53" i="6"/>
  <c r="F53" i="6"/>
  <c r="G53" i="6"/>
  <c r="H53" i="6"/>
  <c r="I53" i="6"/>
  <c r="J53" i="6"/>
  <c r="J46" i="6" s="1"/>
  <c r="K53" i="6"/>
  <c r="L53" i="6"/>
  <c r="M53" i="6"/>
  <c r="N53" i="6"/>
  <c r="C57" i="6"/>
  <c r="D57" i="6"/>
  <c r="E57" i="6"/>
  <c r="F57" i="6"/>
  <c r="G57" i="6"/>
  <c r="H57" i="6"/>
  <c r="H46" i="6" s="1"/>
  <c r="I57" i="6"/>
  <c r="I46" i="6" s="1"/>
  <c r="J57" i="6"/>
  <c r="K57" i="6"/>
  <c r="K46" i="6" s="1"/>
  <c r="L46" i="6" s="1"/>
  <c r="M46" i="6" s="1"/>
  <c r="N46" i="6" s="1"/>
  <c r="L57" i="6"/>
  <c r="M57" i="6"/>
  <c r="N57" i="6"/>
  <c r="D61" i="6"/>
  <c r="L61" i="6"/>
  <c r="F62" i="6"/>
  <c r="F64" i="6" s="1"/>
  <c r="F61" i="6" s="1"/>
  <c r="F63" i="6"/>
  <c r="C64" i="6"/>
  <c r="D64" i="6"/>
  <c r="E64" i="6"/>
  <c r="E61" i="6" s="1"/>
  <c r="G64" i="6"/>
  <c r="G61" i="6" s="1"/>
  <c r="H64" i="6"/>
  <c r="I64" i="6"/>
  <c r="J64" i="6"/>
  <c r="K64" i="6"/>
  <c r="L64" i="6"/>
  <c r="M64" i="6"/>
  <c r="N64" i="6"/>
  <c r="C68" i="6"/>
  <c r="C61" i="6" s="1"/>
  <c r="D68" i="6"/>
  <c r="E68" i="6"/>
  <c r="F68" i="6"/>
  <c r="G68" i="6"/>
  <c r="H68" i="6"/>
  <c r="H61" i="6" s="1"/>
  <c r="I68" i="6"/>
  <c r="J68" i="6"/>
  <c r="J61" i="6" s="1"/>
  <c r="K68" i="6"/>
  <c r="K61" i="6" s="1"/>
  <c r="L68" i="6"/>
  <c r="M68" i="6"/>
  <c r="M61" i="6" s="1"/>
  <c r="N68" i="6"/>
  <c r="C72" i="6"/>
  <c r="D72" i="6"/>
  <c r="E72" i="6"/>
  <c r="F72" i="6"/>
  <c r="G72" i="6"/>
  <c r="H72" i="6"/>
  <c r="I72" i="6"/>
  <c r="J72" i="6"/>
  <c r="K72" i="6"/>
  <c r="L72" i="6"/>
  <c r="M72" i="6"/>
  <c r="N72" i="6"/>
  <c r="C76" i="6"/>
  <c r="D76" i="6"/>
  <c r="E76" i="6"/>
  <c r="F76" i="6"/>
  <c r="G76" i="6"/>
  <c r="H76" i="6"/>
  <c r="I76" i="6"/>
  <c r="J76" i="6"/>
  <c r="K76" i="6"/>
  <c r="L76" i="6"/>
  <c r="M76" i="6"/>
  <c r="N76" i="6"/>
  <c r="M79" i="6"/>
  <c r="N79" i="6"/>
  <c r="C81" i="6"/>
  <c r="C79" i="6" s="1"/>
  <c r="C85" i="6"/>
  <c r="E85" i="6"/>
  <c r="G85" i="6"/>
  <c r="G79" i="6" s="1"/>
  <c r="K85" i="6"/>
  <c r="L85" i="6"/>
  <c r="L79" i="6" s="1"/>
  <c r="M85" i="6"/>
  <c r="N85" i="6"/>
  <c r="C89" i="6"/>
  <c r="D89" i="6"/>
  <c r="E89" i="6"/>
  <c r="F89" i="6"/>
  <c r="G89" i="6"/>
  <c r="H89" i="6"/>
  <c r="I89" i="6"/>
  <c r="J89" i="6"/>
  <c r="K89" i="6"/>
  <c r="L89" i="6"/>
  <c r="M89" i="6"/>
  <c r="N89" i="6"/>
  <c r="C96" i="6"/>
  <c r="D96" i="6"/>
  <c r="E96" i="6"/>
  <c r="F96" i="6"/>
  <c r="G96" i="6"/>
  <c r="H96" i="6"/>
  <c r="I96" i="6"/>
  <c r="J96" i="6"/>
  <c r="K96" i="6"/>
  <c r="L96" i="6"/>
  <c r="M96" i="6"/>
  <c r="N96" i="6"/>
  <c r="C99" i="6"/>
  <c r="C100" i="6" s="1"/>
  <c r="D99" i="6"/>
  <c r="E99" i="6"/>
  <c r="E100" i="6" s="1"/>
  <c r="F99" i="6"/>
  <c r="G99" i="6"/>
  <c r="H99" i="6"/>
  <c r="I99" i="6"/>
  <c r="I100" i="6" s="1"/>
  <c r="J99" i="6"/>
  <c r="K99" i="6"/>
  <c r="K100" i="6" s="1"/>
  <c r="L99" i="6"/>
  <c r="N99" i="6"/>
  <c r="D100" i="6"/>
  <c r="F100" i="6"/>
  <c r="G100" i="6"/>
  <c r="H100" i="6"/>
  <c r="J100" i="6"/>
  <c r="L100" i="6"/>
  <c r="M100" i="6"/>
  <c r="N100" i="6"/>
  <c r="C104" i="6"/>
  <c r="D104" i="6"/>
  <c r="L104" i="6"/>
  <c r="C107" i="6"/>
  <c r="D107" i="6"/>
  <c r="E107" i="6"/>
  <c r="E104" i="6" s="1"/>
  <c r="F107" i="6"/>
  <c r="G107" i="6"/>
  <c r="H107" i="6"/>
  <c r="I107" i="6"/>
  <c r="J107" i="6"/>
  <c r="K107" i="6"/>
  <c r="L107" i="6"/>
  <c r="M107" i="6"/>
  <c r="N107" i="6"/>
  <c r="C111" i="6"/>
  <c r="D111" i="6"/>
  <c r="E111" i="6"/>
  <c r="F111" i="6"/>
  <c r="F104" i="6" s="1"/>
  <c r="G111" i="6"/>
  <c r="H111" i="6"/>
  <c r="I111" i="6"/>
  <c r="J111" i="6"/>
  <c r="K111" i="6"/>
  <c r="L111" i="6"/>
  <c r="M111" i="6"/>
  <c r="N111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C119" i="6"/>
  <c r="D119" i="6"/>
  <c r="E119" i="6"/>
  <c r="F119" i="6"/>
  <c r="G119" i="6"/>
  <c r="G104" i="6" s="1"/>
  <c r="H119" i="6"/>
  <c r="H104" i="6" s="1"/>
  <c r="I119" i="6"/>
  <c r="I104" i="6" s="1"/>
  <c r="J119" i="6"/>
  <c r="K119" i="6"/>
  <c r="K104" i="6" s="1"/>
  <c r="L119" i="6"/>
  <c r="M119" i="6"/>
  <c r="M104" i="6" s="1"/>
  <c r="N119" i="6"/>
  <c r="N104" i="6" s="1"/>
  <c r="G122" i="6"/>
  <c r="C125" i="6"/>
  <c r="D125" i="6"/>
  <c r="E125" i="6"/>
  <c r="F125" i="6"/>
  <c r="F122" i="6" s="1"/>
  <c r="G125" i="6"/>
  <c r="H125" i="6"/>
  <c r="I125" i="6"/>
  <c r="J125" i="6"/>
  <c r="K125" i="6"/>
  <c r="L125" i="6"/>
  <c r="M125" i="6"/>
  <c r="N125" i="6"/>
  <c r="C129" i="6"/>
  <c r="D129" i="6"/>
  <c r="E129" i="6"/>
  <c r="E155" i="6" s="1"/>
  <c r="F129" i="6"/>
  <c r="G129" i="6"/>
  <c r="H129" i="6"/>
  <c r="H122" i="6" s="1"/>
  <c r="I129" i="6"/>
  <c r="I122" i="6" s="1"/>
  <c r="J129" i="6"/>
  <c r="J122" i="6" s="1"/>
  <c r="K129" i="6"/>
  <c r="K122" i="6" s="1"/>
  <c r="L129" i="6"/>
  <c r="M129" i="6"/>
  <c r="M122" i="6" s="1"/>
  <c r="N129" i="6"/>
  <c r="C133" i="6"/>
  <c r="D133" i="6"/>
  <c r="E133" i="6"/>
  <c r="F133" i="6"/>
  <c r="F155" i="6" s="1"/>
  <c r="G133" i="6"/>
  <c r="G159" i="6" s="1"/>
  <c r="H133" i="6"/>
  <c r="I133" i="6"/>
  <c r="I159" i="6" s="1"/>
  <c r="J133" i="6"/>
  <c r="J159" i="6" s="1"/>
  <c r="K133" i="6"/>
  <c r="K159" i="6" s="1"/>
  <c r="L133" i="6"/>
  <c r="L159" i="6" s="1"/>
  <c r="M133" i="6"/>
  <c r="N133" i="6"/>
  <c r="N159" i="6" s="1"/>
  <c r="F136" i="6"/>
  <c r="G136" i="6"/>
  <c r="C139" i="6"/>
  <c r="C136" i="6" s="1"/>
  <c r="D139" i="6"/>
  <c r="E139" i="6"/>
  <c r="F139" i="6"/>
  <c r="G139" i="6"/>
  <c r="H139" i="6"/>
  <c r="I139" i="6"/>
  <c r="J139" i="6"/>
  <c r="K139" i="6"/>
  <c r="L139" i="6"/>
  <c r="M139" i="6"/>
  <c r="N139" i="6"/>
  <c r="L142" i="6"/>
  <c r="M142" i="6"/>
  <c r="C143" i="6"/>
  <c r="D143" i="6"/>
  <c r="E143" i="6"/>
  <c r="E136" i="6" s="1"/>
  <c r="F143" i="6"/>
  <c r="G143" i="6"/>
  <c r="H143" i="6"/>
  <c r="H136" i="6" s="1"/>
  <c r="I143" i="6"/>
  <c r="J143" i="6"/>
  <c r="K143" i="6"/>
  <c r="K136" i="6" s="1"/>
  <c r="L143" i="6"/>
  <c r="M143" i="6"/>
  <c r="M136" i="6" s="1"/>
  <c r="N143" i="6"/>
  <c r="N136" i="6" s="1"/>
  <c r="C147" i="6"/>
  <c r="D147" i="6"/>
  <c r="E147" i="6"/>
  <c r="F147" i="6"/>
  <c r="G147" i="6"/>
  <c r="H147" i="6"/>
  <c r="I147" i="6"/>
  <c r="J147" i="6"/>
  <c r="J136" i="6" s="1"/>
  <c r="K147" i="6"/>
  <c r="L147" i="6"/>
  <c r="M147" i="6"/>
  <c r="N147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D155" i="6"/>
  <c r="D159" i="6"/>
  <c r="E159" i="6"/>
  <c r="F159" i="6"/>
  <c r="H159" i="6"/>
  <c r="M159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E171" i="6"/>
  <c r="M171" i="6"/>
  <c r="C174" i="6"/>
  <c r="D174" i="6"/>
  <c r="D171" i="6" s="1"/>
  <c r="E174" i="6"/>
  <c r="F174" i="6"/>
  <c r="G174" i="6"/>
  <c r="H174" i="6"/>
  <c r="I174" i="6"/>
  <c r="J174" i="6"/>
  <c r="K174" i="6"/>
  <c r="L174" i="6"/>
  <c r="M174" i="6"/>
  <c r="N174" i="6"/>
  <c r="L176" i="6"/>
  <c r="M176" i="6"/>
  <c r="M178" i="6" s="1"/>
  <c r="C178" i="6"/>
  <c r="C171" i="6" s="1"/>
  <c r="D178" i="6"/>
  <c r="E178" i="6"/>
  <c r="F178" i="6"/>
  <c r="G178" i="6"/>
  <c r="H178" i="6"/>
  <c r="I178" i="6"/>
  <c r="J178" i="6"/>
  <c r="K178" i="6"/>
  <c r="L178" i="6"/>
  <c r="N178" i="6"/>
  <c r="C182" i="6"/>
  <c r="D182" i="6"/>
  <c r="E182" i="6"/>
  <c r="F182" i="6"/>
  <c r="F171" i="6" s="1"/>
  <c r="G182" i="6"/>
  <c r="H182" i="6"/>
  <c r="H171" i="6" s="1"/>
  <c r="I182" i="6"/>
  <c r="J182" i="6"/>
  <c r="K182" i="6"/>
  <c r="L182" i="6"/>
  <c r="M182" i="6"/>
  <c r="N182" i="6"/>
  <c r="C186" i="6"/>
  <c r="D186" i="6"/>
  <c r="E186" i="6"/>
  <c r="F186" i="6"/>
  <c r="G186" i="6"/>
  <c r="H186" i="6"/>
  <c r="I186" i="6"/>
  <c r="I171" i="6" s="1"/>
  <c r="J186" i="6"/>
  <c r="J171" i="6" s="1"/>
  <c r="K186" i="6"/>
  <c r="L186" i="6"/>
  <c r="L171" i="6" s="1"/>
  <c r="M186" i="6"/>
  <c r="N186" i="6"/>
  <c r="J189" i="6"/>
  <c r="N189" i="6"/>
  <c r="F190" i="6"/>
  <c r="F192" i="6" s="1"/>
  <c r="F189" i="6" s="1"/>
  <c r="C192" i="6"/>
  <c r="D192" i="6"/>
  <c r="E192" i="6"/>
  <c r="G192" i="6"/>
  <c r="H192" i="6"/>
  <c r="I192" i="6"/>
  <c r="J192" i="6"/>
  <c r="K192" i="6"/>
  <c r="L192" i="6"/>
  <c r="M192" i="6"/>
  <c r="N192" i="6"/>
  <c r="L194" i="6"/>
  <c r="M194" i="6"/>
  <c r="C196" i="6"/>
  <c r="D196" i="6"/>
  <c r="D189" i="6" s="1"/>
  <c r="E196" i="6"/>
  <c r="F196" i="6"/>
  <c r="G196" i="6"/>
  <c r="H196" i="6"/>
  <c r="I196" i="6"/>
  <c r="J196" i="6"/>
  <c r="K196" i="6"/>
  <c r="K189" i="6" s="1"/>
  <c r="L196" i="6"/>
  <c r="L189" i="6" s="1"/>
  <c r="M196" i="6"/>
  <c r="M189" i="6" s="1"/>
  <c r="N196" i="6"/>
  <c r="C200" i="6"/>
  <c r="D200" i="6"/>
  <c r="E200" i="6"/>
  <c r="F200" i="6"/>
  <c r="G200" i="6"/>
  <c r="H200" i="6"/>
  <c r="H189" i="6" s="1"/>
  <c r="I200" i="6"/>
  <c r="J200" i="6"/>
  <c r="K200" i="6"/>
  <c r="L200" i="6"/>
  <c r="M200" i="6"/>
  <c r="N200" i="6"/>
  <c r="C203" i="6"/>
  <c r="E203" i="6"/>
  <c r="F205" i="6"/>
  <c r="F206" i="6" s="1"/>
  <c r="G205" i="6"/>
  <c r="H205" i="6"/>
  <c r="I205" i="6"/>
  <c r="I206" i="6" s="1"/>
  <c r="I203" i="6" s="1"/>
  <c r="C206" i="6"/>
  <c r="D206" i="6"/>
  <c r="D203" i="6" s="1"/>
  <c r="E206" i="6"/>
  <c r="G206" i="6"/>
  <c r="H206" i="6"/>
  <c r="J206" i="6"/>
  <c r="K206" i="6"/>
  <c r="L206" i="6"/>
  <c r="M206" i="6"/>
  <c r="N206" i="6"/>
  <c r="L208" i="6"/>
  <c r="M208" i="6"/>
  <c r="C209" i="6"/>
  <c r="D209" i="6"/>
  <c r="E209" i="6"/>
  <c r="E210" i="6" s="1"/>
  <c r="F209" i="6"/>
  <c r="F210" i="6" s="1"/>
  <c r="G209" i="6"/>
  <c r="H209" i="6"/>
  <c r="I209" i="6"/>
  <c r="I210" i="6" s="1"/>
  <c r="J209" i="6"/>
  <c r="K209" i="6"/>
  <c r="L209" i="6"/>
  <c r="C210" i="6"/>
  <c r="D210" i="6"/>
  <c r="G210" i="6"/>
  <c r="G203" i="6" s="1"/>
  <c r="H210" i="6"/>
  <c r="J210" i="6"/>
  <c r="K210" i="6"/>
  <c r="L210" i="6"/>
  <c r="M210" i="6"/>
  <c r="N210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C218" i="6"/>
  <c r="D218" i="6"/>
  <c r="E218" i="6"/>
  <c r="F218" i="6"/>
  <c r="G218" i="6"/>
  <c r="H218" i="6"/>
  <c r="I218" i="6"/>
  <c r="J218" i="6"/>
  <c r="J203" i="6" s="1"/>
  <c r="K218" i="6"/>
  <c r="K203" i="6" s="1"/>
  <c r="L218" i="6"/>
  <c r="L203" i="6" s="1"/>
  <c r="M218" i="6"/>
  <c r="M203" i="6" s="1"/>
  <c r="N218" i="6"/>
  <c r="N203" i="6" s="1"/>
  <c r="B14" i="15"/>
  <c r="B17" i="15"/>
  <c r="C17" i="15"/>
  <c r="B18" i="15"/>
  <c r="C18" i="15"/>
  <c r="C23" i="15"/>
  <c r="B25" i="15"/>
  <c r="C25" i="15"/>
  <c r="C26" i="15"/>
  <c r="B27" i="15"/>
  <c r="C27" i="15"/>
  <c r="B31" i="15"/>
  <c r="B32" i="15"/>
  <c r="B33" i="15"/>
  <c r="C33" i="15"/>
  <c r="B34" i="15"/>
  <c r="C34" i="15"/>
  <c r="B40" i="15"/>
  <c r="C40" i="15"/>
  <c r="B41" i="15"/>
  <c r="C41" i="15"/>
  <c r="C115" i="15" s="1"/>
  <c r="B42" i="15"/>
  <c r="C42" i="15"/>
  <c r="B50" i="15"/>
  <c r="C50" i="15"/>
  <c r="B51" i="15"/>
  <c r="B54" i="15" s="1"/>
  <c r="C51" i="15"/>
  <c r="C54" i="15" s="1"/>
  <c r="B52" i="15"/>
  <c r="C52" i="15"/>
  <c r="B53" i="15"/>
  <c r="C53" i="15"/>
  <c r="B57" i="15"/>
  <c r="B59" i="15"/>
  <c r="C59" i="15"/>
  <c r="B60" i="15"/>
  <c r="C60" i="15"/>
  <c r="C114" i="15" s="1"/>
  <c r="B61" i="15"/>
  <c r="C61" i="15"/>
  <c r="B67" i="15"/>
  <c r="C67" i="15"/>
  <c r="B68" i="15"/>
  <c r="C68" i="15"/>
  <c r="B72" i="15"/>
  <c r="C72" i="15"/>
  <c r="B74" i="15"/>
  <c r="C74" i="15"/>
  <c r="B75" i="15"/>
  <c r="B85" i="15"/>
  <c r="C85" i="15"/>
  <c r="B86" i="15"/>
  <c r="C86" i="15"/>
  <c r="B92" i="15"/>
  <c r="C92" i="15"/>
  <c r="C113" i="15" s="1"/>
  <c r="B93" i="15"/>
  <c r="C93" i="15"/>
  <c r="B103" i="15"/>
  <c r="C103" i="15"/>
  <c r="B104" i="15"/>
  <c r="C104" i="15"/>
  <c r="B114" i="15"/>
  <c r="B115" i="15"/>
  <c r="C124" i="15"/>
  <c r="C131" i="15"/>
  <c r="C135" i="15"/>
  <c r="C139" i="15"/>
  <c r="C140" i="15"/>
  <c r="C141" i="15"/>
  <c r="C143" i="15"/>
  <c r="L11" i="10"/>
  <c r="M11" i="10"/>
  <c r="N11" i="10"/>
  <c r="N16" i="10" s="1"/>
  <c r="O11" i="10"/>
  <c r="P11" i="10"/>
  <c r="Q11" i="10"/>
  <c r="R11" i="10"/>
  <c r="S11" i="10"/>
  <c r="T11" i="10"/>
  <c r="U11" i="10"/>
  <c r="V11" i="10"/>
  <c r="U12" i="10"/>
  <c r="U16" i="10" s="1"/>
  <c r="V12" i="10"/>
  <c r="N13" i="10"/>
  <c r="O13" i="10"/>
  <c r="P13" i="10"/>
  <c r="Q13" i="10"/>
  <c r="Q16" i="10" s="1"/>
  <c r="R13" i="10"/>
  <c r="R16" i="10" s="1"/>
  <c r="S13" i="10"/>
  <c r="T13" i="10"/>
  <c r="U13" i="10"/>
  <c r="V13" i="10"/>
  <c r="AA14" i="10"/>
  <c r="AA15" i="10"/>
  <c r="I16" i="10"/>
  <c r="L16" i="10"/>
  <c r="M16" i="10"/>
  <c r="O16" i="10"/>
  <c r="P16" i="10"/>
  <c r="T16" i="10"/>
  <c r="AA17" i="10"/>
  <c r="T18" i="10"/>
  <c r="W18" i="10" s="1"/>
  <c r="U18" i="10"/>
  <c r="V18" i="10"/>
  <c r="Z19" i="10"/>
  <c r="AA19" i="10" s="1"/>
  <c r="N20" i="10"/>
  <c r="O20" i="10"/>
  <c r="P20" i="10"/>
  <c r="Q20" i="10"/>
  <c r="R20" i="10"/>
  <c r="S20" i="10"/>
  <c r="T20" i="10"/>
  <c r="U20" i="10"/>
  <c r="V20" i="10"/>
  <c r="J21" i="10"/>
  <c r="S21" i="10" s="1"/>
  <c r="O21" i="10"/>
  <c r="P21" i="10"/>
  <c r="W21" i="10" s="1"/>
  <c r="AA21" i="10" s="1"/>
  <c r="Q21" i="10"/>
  <c r="R21" i="10"/>
  <c r="R25" i="10" s="1"/>
  <c r="T21" i="10"/>
  <c r="U21" i="10"/>
  <c r="V21" i="10"/>
  <c r="Z21" i="10"/>
  <c r="M22" i="10"/>
  <c r="W22" i="10" s="1"/>
  <c r="N22" i="10"/>
  <c r="O22" i="10"/>
  <c r="P22" i="10"/>
  <c r="Q22" i="10"/>
  <c r="R22" i="10"/>
  <c r="S22" i="10"/>
  <c r="T22" i="10"/>
  <c r="U22" i="10"/>
  <c r="U25" i="10" s="1"/>
  <c r="V22" i="10"/>
  <c r="W23" i="10"/>
  <c r="Z23" i="10"/>
  <c r="AA23" i="10" s="1"/>
  <c r="U24" i="10"/>
  <c r="V24" i="10"/>
  <c r="W24" i="10"/>
  <c r="AA24" i="10" s="1"/>
  <c r="Z24" i="10"/>
  <c r="I25" i="10"/>
  <c r="L25" i="10"/>
  <c r="Q25" i="10"/>
  <c r="V25" i="10"/>
  <c r="AA26" i="10"/>
  <c r="V27" i="10"/>
  <c r="W27" i="10"/>
  <c r="Z28" i="10"/>
  <c r="AA28" i="10" s="1"/>
  <c r="L29" i="10"/>
  <c r="M29" i="10"/>
  <c r="N29" i="10"/>
  <c r="O29" i="10"/>
  <c r="P29" i="10"/>
  <c r="Q29" i="10"/>
  <c r="R29" i="10"/>
  <c r="S29" i="10"/>
  <c r="T29" i="10"/>
  <c r="U29" i="10"/>
  <c r="U37" i="10" s="1"/>
  <c r="V29" i="10"/>
  <c r="L30" i="10"/>
  <c r="M30" i="10"/>
  <c r="N30" i="10"/>
  <c r="O30" i="10"/>
  <c r="P30" i="10"/>
  <c r="Q30" i="10"/>
  <c r="R30" i="10"/>
  <c r="S30" i="10"/>
  <c r="T30" i="10"/>
  <c r="U30" i="10"/>
  <c r="V30" i="10"/>
  <c r="V37" i="10" s="1"/>
  <c r="K31" i="10"/>
  <c r="L31" i="10"/>
  <c r="M31" i="10"/>
  <c r="N31" i="10"/>
  <c r="O31" i="10"/>
  <c r="P31" i="10"/>
  <c r="Q31" i="10"/>
  <c r="R31" i="10"/>
  <c r="S31" i="10"/>
  <c r="T31" i="10"/>
  <c r="U31" i="10"/>
  <c r="V31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K33" i="10"/>
  <c r="W33" i="10" s="1"/>
  <c r="L33" i="10"/>
  <c r="M33" i="10"/>
  <c r="N33" i="10"/>
  <c r="O33" i="10"/>
  <c r="P33" i="10"/>
  <c r="Q33" i="10"/>
  <c r="R33" i="10"/>
  <c r="S33" i="10"/>
  <c r="S37" i="10" s="1"/>
  <c r="T33" i="10"/>
  <c r="U33" i="10"/>
  <c r="V33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K36" i="10"/>
  <c r="L36" i="10"/>
  <c r="M36" i="10"/>
  <c r="N36" i="10"/>
  <c r="O36" i="10"/>
  <c r="P36" i="10"/>
  <c r="Q36" i="10"/>
  <c r="R36" i="10"/>
  <c r="R37" i="10" s="1"/>
  <c r="S36" i="10"/>
  <c r="T36" i="10"/>
  <c r="U36" i="10"/>
  <c r="V36" i="10"/>
  <c r="I37" i="10"/>
  <c r="M37" i="10"/>
  <c r="N37" i="10"/>
  <c r="L47" i="10"/>
  <c r="M47" i="10"/>
  <c r="M50" i="10" s="1"/>
  <c r="M81" i="10" s="1"/>
  <c r="M101" i="10" s="1"/>
  <c r="N47" i="10"/>
  <c r="N50" i="10" s="1"/>
  <c r="N81" i="10" s="1"/>
  <c r="O47" i="10"/>
  <c r="P47" i="10"/>
  <c r="Q47" i="10"/>
  <c r="R47" i="10"/>
  <c r="R50" i="10" s="1"/>
  <c r="R81" i="10" s="1"/>
  <c r="S47" i="10"/>
  <c r="T47" i="10"/>
  <c r="U47" i="10"/>
  <c r="V47" i="10"/>
  <c r="V50" i="10" s="1"/>
  <c r="V81" i="10" s="1"/>
  <c r="U48" i="10"/>
  <c r="V48" i="10"/>
  <c r="O49" i="10"/>
  <c r="O50" i="10" s="1"/>
  <c r="O81" i="10" s="1"/>
  <c r="O85" i="10" s="1"/>
  <c r="O111" i="10" s="1"/>
  <c r="O117" i="10" s="1"/>
  <c r="P49" i="10"/>
  <c r="Q49" i="10"/>
  <c r="R49" i="10"/>
  <c r="S49" i="10"/>
  <c r="T49" i="10"/>
  <c r="T50" i="10" s="1"/>
  <c r="T81" i="10" s="1"/>
  <c r="T101" i="10" s="1"/>
  <c r="U49" i="10"/>
  <c r="V49" i="10"/>
  <c r="K50" i="10"/>
  <c r="L50" i="10"/>
  <c r="L81" i="10" s="1"/>
  <c r="P50" i="10"/>
  <c r="P81" i="10" s="1"/>
  <c r="P101" i="10" s="1"/>
  <c r="U50" i="10"/>
  <c r="U81" i="10" s="1"/>
  <c r="U101" i="10" s="1"/>
  <c r="K54" i="10"/>
  <c r="K78" i="10" s="1"/>
  <c r="K98" i="10" s="1"/>
  <c r="L54" i="10"/>
  <c r="L78" i="10" s="1"/>
  <c r="M54" i="10"/>
  <c r="N54" i="10"/>
  <c r="O54" i="10"/>
  <c r="O78" i="10" s="1"/>
  <c r="O98" i="10" s="1"/>
  <c r="P54" i="10"/>
  <c r="Q54" i="10"/>
  <c r="R54" i="10"/>
  <c r="S54" i="10"/>
  <c r="S78" i="10" s="1"/>
  <c r="T54" i="10"/>
  <c r="T78" i="10" s="1"/>
  <c r="U54" i="10"/>
  <c r="V54" i="10"/>
  <c r="T56" i="10"/>
  <c r="U56" i="10"/>
  <c r="V56" i="10"/>
  <c r="N58" i="10"/>
  <c r="O58" i="10"/>
  <c r="P58" i="10"/>
  <c r="Q58" i="10"/>
  <c r="R58" i="10"/>
  <c r="S58" i="10"/>
  <c r="T58" i="10"/>
  <c r="U58" i="10"/>
  <c r="V58" i="10"/>
  <c r="O59" i="10"/>
  <c r="P59" i="10"/>
  <c r="Q59" i="10"/>
  <c r="R59" i="10"/>
  <c r="S59" i="10"/>
  <c r="T59" i="10"/>
  <c r="U59" i="10"/>
  <c r="V59" i="10"/>
  <c r="M60" i="10"/>
  <c r="M63" i="10" s="1"/>
  <c r="M87" i="10" s="1"/>
  <c r="M107" i="10" s="1"/>
  <c r="N60" i="10"/>
  <c r="N63" i="10" s="1"/>
  <c r="N87" i="10" s="1"/>
  <c r="N107" i="10" s="1"/>
  <c r="O60" i="10"/>
  <c r="O63" i="10" s="1"/>
  <c r="P60" i="10"/>
  <c r="Q60" i="10"/>
  <c r="Q63" i="10" s="1"/>
  <c r="Q87" i="10" s="1"/>
  <c r="Q107" i="10" s="1"/>
  <c r="R60" i="10"/>
  <c r="S60" i="10"/>
  <c r="S63" i="10" s="1"/>
  <c r="T60" i="10"/>
  <c r="U60" i="10"/>
  <c r="U63" i="10" s="1"/>
  <c r="U87" i="10" s="1"/>
  <c r="U107" i="10" s="1"/>
  <c r="V60" i="10"/>
  <c r="V63" i="10" s="1"/>
  <c r="V87" i="10" s="1"/>
  <c r="V107" i="10" s="1"/>
  <c r="U61" i="10"/>
  <c r="V61" i="10"/>
  <c r="U62" i="10"/>
  <c r="V62" i="10"/>
  <c r="I63" i="10"/>
  <c r="K63" i="10"/>
  <c r="L63" i="10"/>
  <c r="L87" i="10" s="1"/>
  <c r="P63" i="10"/>
  <c r="P87" i="10" s="1"/>
  <c r="P107" i="10" s="1"/>
  <c r="R63" i="10"/>
  <c r="R87" i="10" s="1"/>
  <c r="R107" i="10" s="1"/>
  <c r="T63" i="10"/>
  <c r="V65" i="10"/>
  <c r="L67" i="10"/>
  <c r="M67" i="10"/>
  <c r="N67" i="10"/>
  <c r="O67" i="10"/>
  <c r="P67" i="10"/>
  <c r="Q67" i="10"/>
  <c r="R67" i="10"/>
  <c r="S67" i="10"/>
  <c r="T67" i="10"/>
  <c r="U67" i="10"/>
  <c r="U73" i="10" s="1"/>
  <c r="U82" i="10" s="1"/>
  <c r="U102" i="10" s="1"/>
  <c r="V67" i="10"/>
  <c r="V73" i="10" s="1"/>
  <c r="V82" i="10" s="1"/>
  <c r="V102" i="10" s="1"/>
  <c r="K68" i="10"/>
  <c r="L68" i="10"/>
  <c r="M68" i="10"/>
  <c r="N68" i="10"/>
  <c r="O68" i="10"/>
  <c r="O73" i="10" s="1"/>
  <c r="O82" i="10" s="1"/>
  <c r="O110" i="10" s="1"/>
  <c r="O115" i="10" s="1"/>
  <c r="P68" i="10"/>
  <c r="Q68" i="10"/>
  <c r="R68" i="10"/>
  <c r="S68" i="10"/>
  <c r="T68" i="10"/>
  <c r="U68" i="10"/>
  <c r="V68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K73" i="10"/>
  <c r="L73" i="10"/>
  <c r="L82" i="10" s="1"/>
  <c r="L102" i="10" s="1"/>
  <c r="M73" i="10"/>
  <c r="M82" i="10" s="1"/>
  <c r="M102" i="10" s="1"/>
  <c r="N73" i="10"/>
  <c r="N82" i="10" s="1"/>
  <c r="Q73" i="10"/>
  <c r="Q82" i="10" s="1"/>
  <c r="Q102" i="10" s="1"/>
  <c r="S73" i="10"/>
  <c r="M78" i="10"/>
  <c r="N78" i="10"/>
  <c r="P78" i="10"/>
  <c r="Q78" i="10"/>
  <c r="R78" i="10"/>
  <c r="U78" i="10"/>
  <c r="V78" i="10"/>
  <c r="K81" i="10"/>
  <c r="K101" i="10" s="1"/>
  <c r="K82" i="10"/>
  <c r="K102" i="10" s="1"/>
  <c r="S82" i="10"/>
  <c r="S102" i="10" s="1"/>
  <c r="W83" i="10"/>
  <c r="W84" i="10"/>
  <c r="K87" i="10"/>
  <c r="O87" i="10"/>
  <c r="O107" i="10" s="1"/>
  <c r="S87" i="10"/>
  <c r="S107" i="10" s="1"/>
  <c r="T87" i="10"/>
  <c r="T107" i="10" s="1"/>
  <c r="K91" i="10"/>
  <c r="L91" i="10"/>
  <c r="M91" i="10"/>
  <c r="M100" i="10" s="1"/>
  <c r="N91" i="10"/>
  <c r="N100" i="10" s="1"/>
  <c r="O91" i="10"/>
  <c r="P91" i="10"/>
  <c r="Q91" i="10"/>
  <c r="Q100" i="10" s="1"/>
  <c r="R91" i="10"/>
  <c r="R100" i="10" s="1"/>
  <c r="S91" i="10"/>
  <c r="T91" i="10"/>
  <c r="U91" i="10"/>
  <c r="U100" i="10" s="1"/>
  <c r="V91" i="10"/>
  <c r="V100" i="10" s="1"/>
  <c r="N98" i="10"/>
  <c r="Q98" i="10"/>
  <c r="R98" i="10"/>
  <c r="S98" i="10"/>
  <c r="U98" i="10"/>
  <c r="V98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K100" i="10"/>
  <c r="L100" i="10"/>
  <c r="O100" i="10"/>
  <c r="O105" i="10" s="1"/>
  <c r="P100" i="10"/>
  <c r="S100" i="10"/>
  <c r="T100" i="10"/>
  <c r="L101" i="10"/>
  <c r="N101" i="10"/>
  <c r="O101" i="10"/>
  <c r="R101" i="10"/>
  <c r="V101" i="10"/>
  <c r="O102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K107" i="10"/>
  <c r="W114" i="10"/>
  <c r="W116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E16" i="8"/>
  <c r="S16" i="8"/>
  <c r="S22" i="8" s="1"/>
  <c r="S26" i="8" s="1"/>
  <c r="U16" i="8"/>
  <c r="U18" i="8"/>
  <c r="U22" i="8" s="1"/>
  <c r="U26" i="8" s="1"/>
  <c r="C22" i="8"/>
  <c r="E22" i="8"/>
  <c r="K22" i="8"/>
  <c r="M22" i="8"/>
  <c r="M26" i="8" s="1"/>
  <c r="O22" i="8"/>
  <c r="O26" i="8" s="1"/>
  <c r="Q22" i="8"/>
  <c r="Q26" i="8" s="1"/>
  <c r="Y22" i="8"/>
  <c r="C26" i="8"/>
  <c r="E26" i="8"/>
  <c r="K26" i="8"/>
  <c r="Y26" i="8"/>
  <c r="G49" i="8"/>
  <c r="I49" i="8"/>
  <c r="K49" i="8"/>
  <c r="M49" i="8"/>
  <c r="M53" i="8" s="1"/>
  <c r="G53" i="8"/>
  <c r="I53" i="8"/>
  <c r="K53" i="8"/>
  <c r="G73" i="8"/>
  <c r="G77" i="8" s="1"/>
  <c r="I73" i="8"/>
  <c r="K73" i="8"/>
  <c r="K77" i="8" s="1"/>
  <c r="M73" i="8"/>
  <c r="O73" i="8"/>
  <c r="O77" i="8" s="1"/>
  <c r="I77" i="8"/>
  <c r="M77" i="8"/>
  <c r="L11" i="9"/>
  <c r="L16" i="9" s="1"/>
  <c r="M11" i="9"/>
  <c r="N11" i="9"/>
  <c r="O11" i="9"/>
  <c r="P11" i="9"/>
  <c r="P16" i="9" s="1"/>
  <c r="Q11" i="9"/>
  <c r="R11" i="9"/>
  <c r="R16" i="9" s="1"/>
  <c r="S11" i="9"/>
  <c r="S16" i="9" s="1"/>
  <c r="T11" i="9"/>
  <c r="U11" i="9"/>
  <c r="V11" i="9"/>
  <c r="U12" i="9"/>
  <c r="V12" i="9"/>
  <c r="W12" i="9"/>
  <c r="Z12" i="10" s="1"/>
  <c r="N13" i="9"/>
  <c r="W13" i="9" s="1"/>
  <c r="Z13" i="10" s="1"/>
  <c r="O13" i="9"/>
  <c r="P13" i="9"/>
  <c r="Q13" i="9"/>
  <c r="R13" i="9"/>
  <c r="S13" i="9"/>
  <c r="T13" i="9"/>
  <c r="U13" i="9"/>
  <c r="U16" i="9" s="1"/>
  <c r="V13" i="9"/>
  <c r="I16" i="9"/>
  <c r="M16" i="9"/>
  <c r="N16" i="9"/>
  <c r="O16" i="9"/>
  <c r="Q16" i="9"/>
  <c r="V16" i="9"/>
  <c r="T18" i="9"/>
  <c r="U18" i="9"/>
  <c r="V18" i="9"/>
  <c r="N20" i="9"/>
  <c r="O20" i="9"/>
  <c r="O26" i="9" s="1"/>
  <c r="P20" i="9"/>
  <c r="P26" i="9" s="1"/>
  <c r="Q20" i="9"/>
  <c r="Q26" i="9" s="1"/>
  <c r="R20" i="9"/>
  <c r="R26" i="9" s="1"/>
  <c r="S20" i="9"/>
  <c r="T20" i="9"/>
  <c r="T26" i="9" s="1"/>
  <c r="U20" i="9"/>
  <c r="V20" i="9"/>
  <c r="M22" i="9"/>
  <c r="N22" i="9"/>
  <c r="N26" i="9" s="1"/>
  <c r="O22" i="9"/>
  <c r="P22" i="9"/>
  <c r="Q22" i="9"/>
  <c r="R22" i="9"/>
  <c r="S22" i="9"/>
  <c r="T22" i="9"/>
  <c r="U22" i="9"/>
  <c r="U26" i="9" s="1"/>
  <c r="V22" i="9"/>
  <c r="V26" i="9" s="1"/>
  <c r="W23" i="9"/>
  <c r="W24" i="9"/>
  <c r="U25" i="9"/>
  <c r="V25" i="9"/>
  <c r="W25" i="9"/>
  <c r="I26" i="9"/>
  <c r="L26" i="9"/>
  <c r="M26" i="9"/>
  <c r="S26" i="9"/>
  <c r="V28" i="9"/>
  <c r="L30" i="9"/>
  <c r="M30" i="9"/>
  <c r="N30" i="9"/>
  <c r="O30" i="9"/>
  <c r="P30" i="9"/>
  <c r="Q30" i="9"/>
  <c r="R30" i="9"/>
  <c r="S30" i="9"/>
  <c r="T30" i="9"/>
  <c r="U30" i="9"/>
  <c r="V30" i="9"/>
  <c r="L31" i="9"/>
  <c r="M31" i="9"/>
  <c r="N31" i="9"/>
  <c r="N38" i="9" s="1"/>
  <c r="O31" i="9"/>
  <c r="P31" i="9"/>
  <c r="Q31" i="9"/>
  <c r="R31" i="9"/>
  <c r="S31" i="9"/>
  <c r="T31" i="9"/>
  <c r="U31" i="9"/>
  <c r="V31" i="9"/>
  <c r="K32" i="9"/>
  <c r="L32" i="9"/>
  <c r="W32" i="9" s="1"/>
  <c r="Z31" i="10" s="1"/>
  <c r="M32" i="9"/>
  <c r="N32" i="9"/>
  <c r="O32" i="9"/>
  <c r="P32" i="9"/>
  <c r="Q32" i="9"/>
  <c r="R32" i="9"/>
  <c r="S32" i="9"/>
  <c r="T32" i="9"/>
  <c r="T38" i="9" s="1"/>
  <c r="U32" i="9"/>
  <c r="V32" i="9"/>
  <c r="K33" i="9"/>
  <c r="L33" i="9"/>
  <c r="M33" i="9"/>
  <c r="N33" i="9"/>
  <c r="O33" i="9"/>
  <c r="O38" i="9" s="1"/>
  <c r="P33" i="9"/>
  <c r="P38" i="9" s="1"/>
  <c r="Q33" i="9"/>
  <c r="R33" i="9"/>
  <c r="S33" i="9"/>
  <c r="T33" i="9"/>
  <c r="U33" i="9"/>
  <c r="V33" i="9"/>
  <c r="K34" i="9"/>
  <c r="W34" i="9" s="1"/>
  <c r="Z33" i="10" s="1"/>
  <c r="L34" i="9"/>
  <c r="M34" i="9"/>
  <c r="N34" i="9"/>
  <c r="O34" i="9"/>
  <c r="P34" i="9"/>
  <c r="Q34" i="9"/>
  <c r="R34" i="9"/>
  <c r="S34" i="9"/>
  <c r="T34" i="9"/>
  <c r="U34" i="9"/>
  <c r="V34" i="9"/>
  <c r="K35" i="9"/>
  <c r="L35" i="9"/>
  <c r="M35" i="9"/>
  <c r="W35" i="9" s="1"/>
  <c r="Z34" i="10" s="1"/>
  <c r="N35" i="9"/>
  <c r="O35" i="9"/>
  <c r="P35" i="9"/>
  <c r="Q35" i="9"/>
  <c r="R35" i="9"/>
  <c r="S35" i="9"/>
  <c r="T35" i="9"/>
  <c r="U35" i="9"/>
  <c r="V35" i="9"/>
  <c r="K36" i="9"/>
  <c r="L36" i="9"/>
  <c r="M36" i="9"/>
  <c r="N36" i="9"/>
  <c r="O36" i="9"/>
  <c r="P36" i="9"/>
  <c r="Q36" i="9"/>
  <c r="R36" i="9"/>
  <c r="S36" i="9"/>
  <c r="T36" i="9"/>
  <c r="U36" i="9"/>
  <c r="V36" i="9"/>
  <c r="K37" i="9"/>
  <c r="L37" i="9"/>
  <c r="M37" i="9"/>
  <c r="N37" i="9"/>
  <c r="O37" i="9"/>
  <c r="P37" i="9"/>
  <c r="Q37" i="9"/>
  <c r="R37" i="9"/>
  <c r="S37" i="9"/>
  <c r="T37" i="9"/>
  <c r="U37" i="9"/>
  <c r="V37" i="9"/>
  <c r="I38" i="9"/>
  <c r="R38" i="9"/>
  <c r="W43" i="9"/>
  <c r="X43" i="9"/>
  <c r="W47" i="9"/>
  <c r="X47" i="9"/>
  <c r="W58" i="9"/>
  <c r="J12" i="7"/>
  <c r="J13" i="7"/>
  <c r="V13" i="7" s="1"/>
  <c r="U13" i="7"/>
  <c r="J14" i="7"/>
  <c r="N14" i="7"/>
  <c r="O14" i="7"/>
  <c r="P14" i="7"/>
  <c r="W14" i="7" s="1"/>
  <c r="Q14" i="7"/>
  <c r="R14" i="7"/>
  <c r="S14" i="7"/>
  <c r="T14" i="7"/>
  <c r="U14" i="7"/>
  <c r="V14" i="7"/>
  <c r="J19" i="7"/>
  <c r="T19" i="7" s="1"/>
  <c r="V19" i="7"/>
  <c r="J21" i="7"/>
  <c r="T21" i="7" s="1"/>
  <c r="T26" i="7" s="1"/>
  <c r="J22" i="7"/>
  <c r="O22" i="7" s="1"/>
  <c r="P22" i="7"/>
  <c r="S22" i="7"/>
  <c r="T22" i="7"/>
  <c r="U22" i="7"/>
  <c r="V22" i="7"/>
  <c r="J23" i="7"/>
  <c r="S23" i="7" s="1"/>
  <c r="M23" i="7"/>
  <c r="P23" i="7"/>
  <c r="Q23" i="7"/>
  <c r="R23" i="7"/>
  <c r="T23" i="7"/>
  <c r="U23" i="7"/>
  <c r="V23" i="7"/>
  <c r="U24" i="7"/>
  <c r="V24" i="7"/>
  <c r="W24" i="7"/>
  <c r="U25" i="7"/>
  <c r="V25" i="7"/>
  <c r="W25" i="7" s="1"/>
  <c r="I26" i="7"/>
  <c r="L26" i="7"/>
  <c r="V28" i="7"/>
  <c r="W28" i="7"/>
  <c r="J30" i="7"/>
  <c r="M30" i="7"/>
  <c r="P30" i="7"/>
  <c r="R30" i="7"/>
  <c r="S30" i="7"/>
  <c r="S37" i="7" s="1"/>
  <c r="T30" i="7"/>
  <c r="K31" i="7"/>
  <c r="L31" i="7"/>
  <c r="M31" i="7"/>
  <c r="N31" i="7"/>
  <c r="O31" i="7"/>
  <c r="P31" i="7"/>
  <c r="Q31" i="7"/>
  <c r="W31" i="7" s="1"/>
  <c r="R31" i="7"/>
  <c r="S31" i="7"/>
  <c r="T31" i="7"/>
  <c r="U31" i="7"/>
  <c r="V31" i="7"/>
  <c r="K32" i="7"/>
  <c r="L32" i="7"/>
  <c r="M32" i="7"/>
  <c r="N32" i="7"/>
  <c r="O32" i="7"/>
  <c r="P32" i="7"/>
  <c r="Q32" i="7"/>
  <c r="R32" i="7"/>
  <c r="S32" i="7"/>
  <c r="T32" i="7"/>
  <c r="U32" i="7"/>
  <c r="V32" i="7"/>
  <c r="K33" i="7"/>
  <c r="L33" i="7"/>
  <c r="M33" i="7"/>
  <c r="N33" i="7"/>
  <c r="O33" i="7"/>
  <c r="P33" i="7"/>
  <c r="P37" i="7" s="1"/>
  <c r="Q33" i="7"/>
  <c r="R33" i="7"/>
  <c r="S33" i="7"/>
  <c r="T33" i="7"/>
  <c r="U33" i="7"/>
  <c r="V33" i="7"/>
  <c r="K34" i="7"/>
  <c r="W34" i="7" s="1"/>
  <c r="L34" i="7"/>
  <c r="M34" i="7"/>
  <c r="N34" i="7"/>
  <c r="O34" i="7"/>
  <c r="P34" i="7"/>
  <c r="Q34" i="7"/>
  <c r="R34" i="7"/>
  <c r="S34" i="7"/>
  <c r="T34" i="7"/>
  <c r="U34" i="7"/>
  <c r="V34" i="7"/>
  <c r="K35" i="7"/>
  <c r="L35" i="7"/>
  <c r="M35" i="7"/>
  <c r="N35" i="7"/>
  <c r="O35" i="7"/>
  <c r="P35" i="7"/>
  <c r="Q35" i="7"/>
  <c r="R35" i="7"/>
  <c r="S35" i="7"/>
  <c r="T35" i="7"/>
  <c r="U35" i="7"/>
  <c r="V35" i="7"/>
  <c r="K36" i="7"/>
  <c r="L36" i="7"/>
  <c r="M36" i="7"/>
  <c r="N36" i="7"/>
  <c r="O36" i="7"/>
  <c r="P36" i="7"/>
  <c r="Q36" i="7"/>
  <c r="W36" i="7" s="1"/>
  <c r="R36" i="7"/>
  <c r="S36" i="7"/>
  <c r="T36" i="7"/>
  <c r="U36" i="7"/>
  <c r="V36" i="7"/>
  <c r="R37" i="7"/>
  <c r="L47" i="7"/>
  <c r="L50" i="7" s="1"/>
  <c r="M47" i="7"/>
  <c r="M50" i="7" s="1"/>
  <c r="N47" i="7"/>
  <c r="N50" i="7" s="1"/>
  <c r="N81" i="7" s="1"/>
  <c r="N101" i="7" s="1"/>
  <c r="O47" i="7"/>
  <c r="O50" i="7" s="1"/>
  <c r="O81" i="7" s="1"/>
  <c r="O101" i="7" s="1"/>
  <c r="P47" i="7"/>
  <c r="Q47" i="7"/>
  <c r="R47" i="7"/>
  <c r="S47" i="7"/>
  <c r="T47" i="7"/>
  <c r="U47" i="7"/>
  <c r="V47" i="7"/>
  <c r="V50" i="7" s="1"/>
  <c r="U48" i="7"/>
  <c r="V48" i="7"/>
  <c r="O49" i="7"/>
  <c r="P49" i="7"/>
  <c r="Q49" i="7"/>
  <c r="R49" i="7"/>
  <c r="R50" i="7" s="1"/>
  <c r="R81" i="7" s="1"/>
  <c r="R101" i="7" s="1"/>
  <c r="S49" i="7"/>
  <c r="T49" i="7"/>
  <c r="T50" i="7" s="1"/>
  <c r="T81" i="7" s="1"/>
  <c r="T101" i="7" s="1"/>
  <c r="U49" i="7"/>
  <c r="V49" i="7"/>
  <c r="K50" i="7"/>
  <c r="P50" i="7"/>
  <c r="Q50" i="7"/>
  <c r="Q81" i="7" s="1"/>
  <c r="Q101" i="7" s="1"/>
  <c r="K54" i="7"/>
  <c r="K78" i="7" s="1"/>
  <c r="L54" i="7"/>
  <c r="L78" i="7" s="1"/>
  <c r="M54" i="7"/>
  <c r="M78" i="7" s="1"/>
  <c r="M98" i="7" s="1"/>
  <c r="N54" i="7"/>
  <c r="N78" i="7" s="1"/>
  <c r="O54" i="7"/>
  <c r="P54" i="7"/>
  <c r="P78" i="7" s="1"/>
  <c r="Q54" i="7"/>
  <c r="R54" i="7"/>
  <c r="S54" i="7"/>
  <c r="S78" i="7" s="1"/>
  <c r="T54" i="7"/>
  <c r="T78" i="7" s="1"/>
  <c r="T98" i="7" s="1"/>
  <c r="U54" i="7"/>
  <c r="U78" i="7" s="1"/>
  <c r="V54" i="7"/>
  <c r="V78" i="7" s="1"/>
  <c r="V98" i="7" s="1"/>
  <c r="T56" i="7"/>
  <c r="U56" i="7"/>
  <c r="V56" i="7"/>
  <c r="N58" i="7"/>
  <c r="O58" i="7"/>
  <c r="P58" i="7"/>
  <c r="Q58" i="7"/>
  <c r="R58" i="7"/>
  <c r="S58" i="7"/>
  <c r="T58" i="7"/>
  <c r="U58" i="7"/>
  <c r="V58" i="7"/>
  <c r="O59" i="7"/>
  <c r="P59" i="7"/>
  <c r="Q59" i="7"/>
  <c r="R59" i="7"/>
  <c r="S59" i="7"/>
  <c r="T59" i="7"/>
  <c r="U59" i="7"/>
  <c r="V59" i="7"/>
  <c r="M60" i="7"/>
  <c r="N60" i="7"/>
  <c r="N63" i="7" s="1"/>
  <c r="N87" i="7" s="1"/>
  <c r="N107" i="7" s="1"/>
  <c r="O60" i="7"/>
  <c r="O63" i="7" s="1"/>
  <c r="O87" i="7" s="1"/>
  <c r="O107" i="7" s="1"/>
  <c r="P60" i="7"/>
  <c r="P63" i="7" s="1"/>
  <c r="Q60" i="7"/>
  <c r="R60" i="7"/>
  <c r="S60" i="7"/>
  <c r="T60" i="7"/>
  <c r="U60" i="7"/>
  <c r="U63" i="7" s="1"/>
  <c r="U87" i="7" s="1"/>
  <c r="U107" i="7" s="1"/>
  <c r="V60" i="7"/>
  <c r="U61" i="7"/>
  <c r="V61" i="7"/>
  <c r="U62" i="7"/>
  <c r="V62" i="7"/>
  <c r="I63" i="7"/>
  <c r="K63" i="7"/>
  <c r="L63" i="7"/>
  <c r="M63" i="7"/>
  <c r="M87" i="7" s="1"/>
  <c r="M107" i="7" s="1"/>
  <c r="Q63" i="7"/>
  <c r="R63" i="7"/>
  <c r="R87" i="7" s="1"/>
  <c r="S63" i="7"/>
  <c r="T63" i="7"/>
  <c r="V63" i="7"/>
  <c r="V87" i="7" s="1"/>
  <c r="V107" i="7" s="1"/>
  <c r="V65" i="7"/>
  <c r="L67" i="7"/>
  <c r="M67" i="7"/>
  <c r="N67" i="7"/>
  <c r="O67" i="7"/>
  <c r="P67" i="7"/>
  <c r="Q67" i="7"/>
  <c r="R67" i="7"/>
  <c r="R73" i="7" s="1"/>
  <c r="R82" i="7" s="1"/>
  <c r="R102" i="7" s="1"/>
  <c r="S67" i="7"/>
  <c r="S73" i="7" s="1"/>
  <c r="S82" i="7" s="1"/>
  <c r="S102" i="7" s="1"/>
  <c r="T67" i="7"/>
  <c r="U67" i="7"/>
  <c r="V67" i="7"/>
  <c r="K68" i="7"/>
  <c r="L68" i="7"/>
  <c r="M68" i="7"/>
  <c r="M73" i="7" s="1"/>
  <c r="M82" i="7" s="1"/>
  <c r="N68" i="7"/>
  <c r="O68" i="7"/>
  <c r="O73" i="7" s="1"/>
  <c r="O82" i="7" s="1"/>
  <c r="O102" i="7" s="1"/>
  <c r="P68" i="7"/>
  <c r="Q68" i="7"/>
  <c r="R68" i="7"/>
  <c r="S68" i="7"/>
  <c r="T68" i="7"/>
  <c r="U68" i="7"/>
  <c r="V68" i="7"/>
  <c r="K69" i="7"/>
  <c r="L69" i="7"/>
  <c r="M69" i="7"/>
  <c r="N69" i="7"/>
  <c r="O69" i="7"/>
  <c r="P69" i="7"/>
  <c r="Q69" i="7"/>
  <c r="R69" i="7"/>
  <c r="S69" i="7"/>
  <c r="T69" i="7"/>
  <c r="U69" i="7"/>
  <c r="V69" i="7"/>
  <c r="K70" i="7"/>
  <c r="L70" i="7"/>
  <c r="M70" i="7"/>
  <c r="N70" i="7"/>
  <c r="O70" i="7"/>
  <c r="P70" i="7"/>
  <c r="Q70" i="7"/>
  <c r="R70" i="7"/>
  <c r="S70" i="7"/>
  <c r="T70" i="7"/>
  <c r="U70" i="7"/>
  <c r="V70" i="7"/>
  <c r="K71" i="7"/>
  <c r="L71" i="7"/>
  <c r="M71" i="7"/>
  <c r="N71" i="7"/>
  <c r="O71" i="7"/>
  <c r="P71" i="7"/>
  <c r="Q71" i="7"/>
  <c r="R71" i="7"/>
  <c r="S71" i="7"/>
  <c r="T71" i="7"/>
  <c r="U71" i="7"/>
  <c r="V71" i="7"/>
  <c r="K72" i="7"/>
  <c r="L72" i="7"/>
  <c r="M72" i="7"/>
  <c r="N72" i="7"/>
  <c r="O72" i="7"/>
  <c r="P72" i="7"/>
  <c r="Q72" i="7"/>
  <c r="R72" i="7"/>
  <c r="S72" i="7"/>
  <c r="T72" i="7"/>
  <c r="U72" i="7"/>
  <c r="V72" i="7"/>
  <c r="K73" i="7"/>
  <c r="K82" i="7" s="1"/>
  <c r="P73" i="7"/>
  <c r="U73" i="7"/>
  <c r="U82" i="7" s="1"/>
  <c r="U102" i="7" s="1"/>
  <c r="V73" i="7"/>
  <c r="V82" i="7" s="1"/>
  <c r="V85" i="7" s="1"/>
  <c r="V111" i="7" s="1"/>
  <c r="V117" i="7" s="1"/>
  <c r="O78" i="7"/>
  <c r="Q78" i="7"/>
  <c r="R78" i="7"/>
  <c r="K81" i="7"/>
  <c r="L81" i="7"/>
  <c r="L101" i="7" s="1"/>
  <c r="M81" i="7"/>
  <c r="P81" i="7"/>
  <c r="P101" i="7" s="1"/>
  <c r="V81" i="7"/>
  <c r="V101" i="7" s="1"/>
  <c r="P82" i="7"/>
  <c r="P85" i="7" s="1"/>
  <c r="P111" i="7" s="1"/>
  <c r="P117" i="7" s="1"/>
  <c r="W83" i="7"/>
  <c r="W84" i="7"/>
  <c r="K85" i="7"/>
  <c r="K111" i="7" s="1"/>
  <c r="K117" i="7" s="1"/>
  <c r="W117" i="7" s="1"/>
  <c r="K87" i="7"/>
  <c r="L87" i="7"/>
  <c r="P87" i="7"/>
  <c r="P107" i="7" s="1"/>
  <c r="Q87" i="7"/>
  <c r="Q107" i="7" s="1"/>
  <c r="S87" i="7"/>
  <c r="S107" i="7" s="1"/>
  <c r="T87" i="7"/>
  <c r="K91" i="7"/>
  <c r="K100" i="7" s="1"/>
  <c r="L91" i="7"/>
  <c r="L100" i="7" s="1"/>
  <c r="M91" i="7"/>
  <c r="N91" i="7"/>
  <c r="O91" i="7"/>
  <c r="O100" i="7" s="1"/>
  <c r="P91" i="7"/>
  <c r="Q91" i="7"/>
  <c r="R91" i="7"/>
  <c r="S91" i="7"/>
  <c r="S100" i="7" s="1"/>
  <c r="T91" i="7"/>
  <c r="T100" i="7" s="1"/>
  <c r="U91" i="7"/>
  <c r="V91" i="7"/>
  <c r="V100" i="7" s="1"/>
  <c r="O98" i="7"/>
  <c r="P98" i="7"/>
  <c r="P105" i="7" s="1"/>
  <c r="R98" i="7"/>
  <c r="K99" i="7"/>
  <c r="L99" i="7"/>
  <c r="M99" i="7"/>
  <c r="N99" i="7"/>
  <c r="O99" i="7"/>
  <c r="P99" i="7"/>
  <c r="Q99" i="7"/>
  <c r="R99" i="7"/>
  <c r="S99" i="7"/>
  <c r="T99" i="7"/>
  <c r="U99" i="7"/>
  <c r="V99" i="7"/>
  <c r="M100" i="7"/>
  <c r="N100" i="7"/>
  <c r="P100" i="7"/>
  <c r="Q100" i="7"/>
  <c r="R100" i="7"/>
  <c r="U100" i="7"/>
  <c r="K101" i="7"/>
  <c r="M101" i="7"/>
  <c r="P102" i="7"/>
  <c r="K103" i="7"/>
  <c r="L103" i="7"/>
  <c r="M103" i="7"/>
  <c r="N103" i="7"/>
  <c r="W103" i="7" s="1"/>
  <c r="O103" i="7"/>
  <c r="P103" i="7"/>
  <c r="Q103" i="7"/>
  <c r="R103" i="7"/>
  <c r="S103" i="7"/>
  <c r="T103" i="7"/>
  <c r="U103" i="7"/>
  <c r="V103" i="7"/>
  <c r="K104" i="7"/>
  <c r="L104" i="7"/>
  <c r="M104" i="7"/>
  <c r="N104" i="7"/>
  <c r="O104" i="7"/>
  <c r="W104" i="7" s="1"/>
  <c r="P104" i="7"/>
  <c r="Q104" i="7"/>
  <c r="R104" i="7"/>
  <c r="S104" i="7"/>
  <c r="T104" i="7"/>
  <c r="U104" i="7"/>
  <c r="V104" i="7"/>
  <c r="K107" i="7"/>
  <c r="L107" i="7"/>
  <c r="R107" i="7"/>
  <c r="T107" i="7"/>
  <c r="W114" i="7"/>
  <c r="W116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W100" i="7" l="1"/>
  <c r="M102" i="7"/>
  <c r="M105" i="7" s="1"/>
  <c r="M108" i="7" s="1"/>
  <c r="M113" i="7" s="1"/>
  <c r="M118" i="7" s="1"/>
  <c r="M110" i="7"/>
  <c r="M115" i="7" s="1"/>
  <c r="R105" i="10"/>
  <c r="T98" i="10"/>
  <c r="T105" i="10" s="1"/>
  <c r="T108" i="10" s="1"/>
  <c r="T113" i="10" s="1"/>
  <c r="T118" i="10" s="1"/>
  <c r="T85" i="10"/>
  <c r="T111" i="10" s="1"/>
  <c r="T117" i="10" s="1"/>
  <c r="L98" i="10"/>
  <c r="L105" i="10" s="1"/>
  <c r="L85" i="10"/>
  <c r="L111" i="10" s="1"/>
  <c r="L117" i="10" s="1"/>
  <c r="L110" i="10"/>
  <c r="L115" i="10" s="1"/>
  <c r="R108" i="10"/>
  <c r="R113" i="10" s="1"/>
  <c r="R118" i="10" s="1"/>
  <c r="M108" i="10"/>
  <c r="M113" i="10" s="1"/>
  <c r="M118" i="10" s="1"/>
  <c r="K105" i="10"/>
  <c r="U98" i="7"/>
  <c r="P108" i="7"/>
  <c r="P113" i="7" s="1"/>
  <c r="P118" i="7" s="1"/>
  <c r="T105" i="7"/>
  <c r="T108" i="7" s="1"/>
  <c r="T113" i="7" s="1"/>
  <c r="T118" i="7" s="1"/>
  <c r="L98" i="7"/>
  <c r="S110" i="7"/>
  <c r="S115" i="7" s="1"/>
  <c r="S98" i="7"/>
  <c r="N102" i="10"/>
  <c r="N105" i="10" s="1"/>
  <c r="N108" i="10" s="1"/>
  <c r="N113" i="10" s="1"/>
  <c r="N118" i="10" s="1"/>
  <c r="W82" i="10"/>
  <c r="K102" i="7"/>
  <c r="T37" i="7"/>
  <c r="N21" i="7"/>
  <c r="L12" i="7"/>
  <c r="T12" i="7"/>
  <c r="T17" i="7" s="1"/>
  <c r="O12" i="7"/>
  <c r="O17" i="7" s="1"/>
  <c r="Q12" i="7"/>
  <c r="Q17" i="7" s="1"/>
  <c r="R12" i="7"/>
  <c r="R17" i="7" s="1"/>
  <c r="Q38" i="9"/>
  <c r="U38" i="9"/>
  <c r="M38" i="9"/>
  <c r="W22" i="9"/>
  <c r="Z22" i="10" s="1"/>
  <c r="AA22" i="10" s="1"/>
  <c r="K110" i="10"/>
  <c r="U105" i="10"/>
  <c r="U108" i="10" s="1"/>
  <c r="U113" i="10" s="1"/>
  <c r="U118" i="10" s="1"/>
  <c r="W36" i="10"/>
  <c r="AA34" i="10"/>
  <c r="J35" i="6"/>
  <c r="J28" i="6" s="1"/>
  <c r="J85" i="6"/>
  <c r="J79" i="6" s="1"/>
  <c r="G131" i="13"/>
  <c r="C395" i="1"/>
  <c r="N395" i="1" s="1"/>
  <c r="N391" i="1"/>
  <c r="W100" i="10"/>
  <c r="K108" i="10"/>
  <c r="P25" i="10"/>
  <c r="I31" i="13"/>
  <c r="M26" i="7"/>
  <c r="U12" i="7"/>
  <c r="U17" i="7" s="1"/>
  <c r="M85" i="10"/>
  <c r="M111" i="10" s="1"/>
  <c r="M117" i="10" s="1"/>
  <c r="M110" i="10"/>
  <c r="M115" i="10" s="1"/>
  <c r="M98" i="10"/>
  <c r="M105" i="10" s="1"/>
  <c r="W32" i="10"/>
  <c r="M37" i="7"/>
  <c r="V85" i="10"/>
  <c r="V111" i="10" s="1"/>
  <c r="V117" i="10" s="1"/>
  <c r="O37" i="10"/>
  <c r="N171" i="6"/>
  <c r="D122" i="6"/>
  <c r="I9" i="6"/>
  <c r="E374" i="1"/>
  <c r="F122" i="13"/>
  <c r="E376" i="1"/>
  <c r="B293" i="1"/>
  <c r="B343" i="1"/>
  <c r="P98" i="10"/>
  <c r="AA33" i="10"/>
  <c r="B323" i="1"/>
  <c r="O321" i="1"/>
  <c r="K110" i="7"/>
  <c r="W28" i="9"/>
  <c r="V38" i="9"/>
  <c r="W111" i="7"/>
  <c r="T110" i="7"/>
  <c r="T115" i="7" s="1"/>
  <c r="V102" i="7"/>
  <c r="V105" i="7" s="1"/>
  <c r="V108" i="7" s="1"/>
  <c r="V113" i="7" s="1"/>
  <c r="V118" i="7" s="1"/>
  <c r="R85" i="7"/>
  <c r="R111" i="7" s="1"/>
  <c r="R117" i="7" s="1"/>
  <c r="N73" i="7"/>
  <c r="N82" i="7" s="1"/>
  <c r="N102" i="7" s="1"/>
  <c r="P110" i="7"/>
  <c r="P115" i="7" s="1"/>
  <c r="W33" i="7"/>
  <c r="K37" i="7"/>
  <c r="Q30" i="7"/>
  <c r="Q37" i="7" s="1"/>
  <c r="L30" i="7"/>
  <c r="U30" i="7"/>
  <c r="U37" i="7" s="1"/>
  <c r="N30" i="7"/>
  <c r="N37" i="7" s="1"/>
  <c r="O30" i="7"/>
  <c r="O37" i="7" s="1"/>
  <c r="U21" i="7"/>
  <c r="P12" i="7"/>
  <c r="P17" i="7" s="1"/>
  <c r="K38" i="9"/>
  <c r="W31" i="9"/>
  <c r="Z30" i="10" s="1"/>
  <c r="AA30" i="10" s="1"/>
  <c r="L38" i="9"/>
  <c r="W11" i="9"/>
  <c r="W102" i="10"/>
  <c r="U85" i="10"/>
  <c r="U111" i="10" s="1"/>
  <c r="U117" i="10" s="1"/>
  <c r="U110" i="10"/>
  <c r="U115" i="10" s="1"/>
  <c r="Q37" i="10"/>
  <c r="M25" i="10"/>
  <c r="W13" i="10"/>
  <c r="AA13" i="10" s="1"/>
  <c r="D136" i="6"/>
  <c r="J104" i="6"/>
  <c r="I85" i="6"/>
  <c r="I79" i="6" s="1"/>
  <c r="L9" i="6"/>
  <c r="S13" i="2"/>
  <c r="L139" i="13"/>
  <c r="E36" i="13"/>
  <c r="E54" i="13" s="1"/>
  <c r="E127" i="13"/>
  <c r="N305" i="1"/>
  <c r="P224" i="1"/>
  <c r="E251" i="1"/>
  <c r="N224" i="1"/>
  <c r="E144" i="1"/>
  <c r="E228" i="1"/>
  <c r="E252" i="1" s="1"/>
  <c r="P252" i="1" s="1"/>
  <c r="E220" i="1"/>
  <c r="C188" i="12"/>
  <c r="D188" i="12" s="1"/>
  <c r="N123" i="1"/>
  <c r="C119" i="12" s="1"/>
  <c r="D119" i="12" s="1"/>
  <c r="W78" i="10"/>
  <c r="K85" i="10"/>
  <c r="K111" i="10" s="1"/>
  <c r="I61" i="6"/>
  <c r="R105" i="7"/>
  <c r="R108" i="7" s="1"/>
  <c r="R113" i="7" s="1"/>
  <c r="R118" i="7" s="1"/>
  <c r="Q73" i="7"/>
  <c r="Q82" i="7" s="1"/>
  <c r="T37" i="10"/>
  <c r="W12" i="10"/>
  <c r="AA12" i="10" s="1"/>
  <c r="F90" i="1"/>
  <c r="G15" i="13"/>
  <c r="V16" i="10"/>
  <c r="B113" i="15"/>
  <c r="H374" i="1"/>
  <c r="I122" i="13"/>
  <c r="H323" i="1"/>
  <c r="Q321" i="1"/>
  <c r="Q323" i="1" s="1"/>
  <c r="V110" i="7"/>
  <c r="V115" i="7" s="1"/>
  <c r="U50" i="7"/>
  <c r="U81" i="7" s="1"/>
  <c r="U101" i="7" s="1"/>
  <c r="Q98" i="7"/>
  <c r="N12" i="7"/>
  <c r="N17" i="7" s="1"/>
  <c r="W36" i="9"/>
  <c r="Z35" i="10" s="1"/>
  <c r="S38" i="9"/>
  <c r="O108" i="10"/>
  <c r="O113" i="10" s="1"/>
  <c r="O118" i="10" s="1"/>
  <c r="Q50" i="10"/>
  <c r="Q81" i="10" s="1"/>
  <c r="C116" i="15"/>
  <c r="F203" i="6"/>
  <c r="E79" i="6"/>
  <c r="W87" i="7"/>
  <c r="Q21" i="7"/>
  <c r="O21" i="7"/>
  <c r="R21" i="7"/>
  <c r="S21" i="7"/>
  <c r="S26" i="7" s="1"/>
  <c r="W33" i="9"/>
  <c r="Z32" i="10" s="1"/>
  <c r="R73" i="10"/>
  <c r="R82" i="10" s="1"/>
  <c r="R102" i="10" s="1"/>
  <c r="L107" i="10"/>
  <c r="L108" i="10" s="1"/>
  <c r="L113" i="10" s="1"/>
  <c r="L118" i="10" s="1"/>
  <c r="W87" i="10"/>
  <c r="C376" i="1"/>
  <c r="S267" i="1"/>
  <c r="W107" i="7"/>
  <c r="K98" i="7"/>
  <c r="W78" i="7"/>
  <c r="V12" i="7"/>
  <c r="V17" i="7" s="1"/>
  <c r="W37" i="9"/>
  <c r="Z36" i="10" s="1"/>
  <c r="L37" i="10"/>
  <c r="W29" i="10"/>
  <c r="N385" i="1"/>
  <c r="C386" i="1"/>
  <c r="N386" i="1" s="1"/>
  <c r="V26" i="7"/>
  <c r="W20" i="9"/>
  <c r="Z20" i="10" s="1"/>
  <c r="T73" i="10"/>
  <c r="T82" i="10" s="1"/>
  <c r="T102" i="10" s="1"/>
  <c r="K37" i="10"/>
  <c r="T25" i="10"/>
  <c r="J376" i="1"/>
  <c r="H19" i="13"/>
  <c r="H59" i="13"/>
  <c r="H31" i="13"/>
  <c r="H128" i="13"/>
  <c r="O105" i="7"/>
  <c r="O108" i="7" s="1"/>
  <c r="O113" i="7" s="1"/>
  <c r="O118" i="7" s="1"/>
  <c r="T85" i="7"/>
  <c r="T111" i="7" s="1"/>
  <c r="T117" i="7" s="1"/>
  <c r="W35" i="7"/>
  <c r="V21" i="7"/>
  <c r="S12" i="7"/>
  <c r="S17" i="7" s="1"/>
  <c r="S50" i="10"/>
  <c r="S81" i="10" s="1"/>
  <c r="S101" i="10" s="1"/>
  <c r="S105" i="10" s="1"/>
  <c r="S108" i="10" s="1"/>
  <c r="S113" i="10" s="1"/>
  <c r="S118" i="10" s="1"/>
  <c r="W20" i="10"/>
  <c r="AA20" i="10" s="1"/>
  <c r="N25" i="10"/>
  <c r="W30" i="9"/>
  <c r="Z29" i="10" s="1"/>
  <c r="W99" i="10"/>
  <c r="H203" i="6"/>
  <c r="G189" i="6"/>
  <c r="N122" i="6"/>
  <c r="D35" i="6"/>
  <c r="D85" i="6"/>
  <c r="I28" i="6"/>
  <c r="K139" i="13"/>
  <c r="K50" i="13"/>
  <c r="P18" i="1"/>
  <c r="P41" i="1" s="1"/>
  <c r="P121" i="1"/>
  <c r="R110" i="7"/>
  <c r="R115" i="7" s="1"/>
  <c r="W99" i="7"/>
  <c r="M85" i="7"/>
  <c r="M111" i="7" s="1"/>
  <c r="M117" i="7" s="1"/>
  <c r="O85" i="7"/>
  <c r="O111" i="7" s="1"/>
  <c r="O117" i="7" s="1"/>
  <c r="O110" i="7"/>
  <c r="O115" i="7" s="1"/>
  <c r="N98" i="7"/>
  <c r="N105" i="7" s="1"/>
  <c r="N108" i="7" s="1"/>
  <c r="N113" i="7" s="1"/>
  <c r="N118" i="7" s="1"/>
  <c r="V30" i="7"/>
  <c r="V37" i="7" s="1"/>
  <c r="P21" i="7"/>
  <c r="P26" i="7" s="1"/>
  <c r="W13" i="7"/>
  <c r="M12" i="7"/>
  <c r="M17" i="7" s="1"/>
  <c r="W103" i="10"/>
  <c r="V105" i="10"/>
  <c r="V108" i="10" s="1"/>
  <c r="V113" i="10" s="1"/>
  <c r="V118" i="10" s="1"/>
  <c r="P73" i="10"/>
  <c r="P82" i="10" s="1"/>
  <c r="P102" i="10" s="1"/>
  <c r="B116" i="15"/>
  <c r="K171" i="6"/>
  <c r="F85" i="6"/>
  <c r="F79" i="6" s="1"/>
  <c r="G28" i="6"/>
  <c r="D81" i="6"/>
  <c r="D79" i="6" s="1"/>
  <c r="D31" i="6"/>
  <c r="D28" i="6" s="1"/>
  <c r="D376" i="1"/>
  <c r="O302" i="1"/>
  <c r="R235" i="1"/>
  <c r="S235" i="1" s="1"/>
  <c r="N235" i="1"/>
  <c r="C231" i="12" s="1"/>
  <c r="D231" i="12" s="1"/>
  <c r="M153" i="1"/>
  <c r="M290" i="1"/>
  <c r="R290" i="1" s="1"/>
  <c r="I193" i="1"/>
  <c r="I219" i="1" s="1"/>
  <c r="I218" i="1"/>
  <c r="I120" i="1"/>
  <c r="O68" i="1"/>
  <c r="C162" i="1"/>
  <c r="C74" i="1"/>
  <c r="N512" i="4"/>
  <c r="AC512" i="4" s="1"/>
  <c r="AC537" i="4"/>
  <c r="AD537" i="4" s="1"/>
  <c r="T73" i="7"/>
  <c r="T82" i="7" s="1"/>
  <c r="T102" i="7" s="1"/>
  <c r="L73" i="7"/>
  <c r="L82" i="7" s="1"/>
  <c r="L102" i="7" s="1"/>
  <c r="S50" i="7"/>
  <c r="S81" i="7" s="1"/>
  <c r="S101" i="7" s="1"/>
  <c r="W101" i="7" s="1"/>
  <c r="O23" i="7"/>
  <c r="R22" i="7"/>
  <c r="U19" i="7"/>
  <c r="T16" i="9"/>
  <c r="R85" i="10"/>
  <c r="R111" i="10" s="1"/>
  <c r="R117" i="10" s="1"/>
  <c r="R110" i="10"/>
  <c r="R115" i="10" s="1"/>
  <c r="P37" i="10"/>
  <c r="O25" i="10"/>
  <c r="W11" i="10"/>
  <c r="I189" i="6"/>
  <c r="L136" i="6"/>
  <c r="C155" i="6"/>
  <c r="C159" i="6"/>
  <c r="C122" i="6"/>
  <c r="K28" i="6"/>
  <c r="J9" i="6"/>
  <c r="F373" i="1"/>
  <c r="J36" i="13"/>
  <c r="J54" i="13" s="1"/>
  <c r="J127" i="13"/>
  <c r="C317" i="1"/>
  <c r="Z620" i="4"/>
  <c r="E32" i="13"/>
  <c r="E59" i="13"/>
  <c r="E128" i="13"/>
  <c r="U209" i="1"/>
  <c r="U218" i="1"/>
  <c r="U132" i="1"/>
  <c r="N23" i="7"/>
  <c r="W23" i="7" s="1"/>
  <c r="Q22" i="7"/>
  <c r="W22" i="7" s="1"/>
  <c r="V110" i="10"/>
  <c r="V115" i="10" s="1"/>
  <c r="N110" i="10"/>
  <c r="N115" i="10" s="1"/>
  <c r="W35" i="10"/>
  <c r="S25" i="10"/>
  <c r="S16" i="10"/>
  <c r="B35" i="15"/>
  <c r="E189" i="6"/>
  <c r="G171" i="6"/>
  <c r="N61" i="6"/>
  <c r="G9" i="6"/>
  <c r="G11" i="2"/>
  <c r="D139" i="13"/>
  <c r="H64" i="13"/>
  <c r="O64" i="13" s="1"/>
  <c r="H75" i="13"/>
  <c r="C372" i="1"/>
  <c r="Q298" i="1"/>
  <c r="B43" i="1"/>
  <c r="B104" i="1"/>
  <c r="Q1" i="1"/>
  <c r="R1" i="1"/>
  <c r="N122" i="1"/>
  <c r="C118" i="12" s="1"/>
  <c r="D118" i="12" s="1"/>
  <c r="N141" i="1"/>
  <c r="C137" i="12" s="1"/>
  <c r="D137" i="12" s="1"/>
  <c r="N128" i="1"/>
  <c r="C124" i="12" s="1"/>
  <c r="D124" i="12" s="1"/>
  <c r="W32" i="7"/>
  <c r="W18" i="9"/>
  <c r="N85" i="10"/>
  <c r="N111" i="10" s="1"/>
  <c r="N117" i="10" s="1"/>
  <c r="W31" i="10"/>
  <c r="AA31" i="10" s="1"/>
  <c r="C189" i="6"/>
  <c r="I136" i="6"/>
  <c r="L122" i="6"/>
  <c r="K79" i="6"/>
  <c r="O80" i="13"/>
  <c r="M139" i="13"/>
  <c r="N75" i="13"/>
  <c r="N64" i="13"/>
  <c r="D372" i="1"/>
  <c r="J19" i="13"/>
  <c r="J59" i="13"/>
  <c r="N359" i="1"/>
  <c r="K165" i="1"/>
  <c r="R249" i="1"/>
  <c r="N249" i="1"/>
  <c r="C245" i="12" s="1"/>
  <c r="D245" i="12" s="1"/>
  <c r="C75" i="15"/>
  <c r="I144" i="1"/>
  <c r="Q224" i="1"/>
  <c r="I251" i="1"/>
  <c r="I228" i="1"/>
  <c r="I252" i="1" s="1"/>
  <c r="Q252" i="1" s="1"/>
  <c r="O217" i="1"/>
  <c r="J73" i="1"/>
  <c r="J110" i="1" s="1"/>
  <c r="J313" i="1" s="1"/>
  <c r="J315" i="1" s="1"/>
  <c r="K18" i="13"/>
  <c r="B73" i="1"/>
  <c r="B110" i="1" s="1"/>
  <c r="C18" i="13"/>
  <c r="E122" i="6"/>
  <c r="F128" i="13"/>
  <c r="F129" i="13" s="1"/>
  <c r="N361" i="1"/>
  <c r="S277" i="1"/>
  <c r="J271" i="1"/>
  <c r="M177" i="1"/>
  <c r="N267" i="1"/>
  <c r="C263" i="12" s="1"/>
  <c r="D263" i="12" s="1"/>
  <c r="P268" i="1"/>
  <c r="P270" i="1" s="1"/>
  <c r="P269" i="1"/>
  <c r="H253" i="1"/>
  <c r="T236" i="1"/>
  <c r="T150" i="1"/>
  <c r="T251" i="1"/>
  <c r="P122" i="1"/>
  <c r="S191" i="1"/>
  <c r="P115" i="1"/>
  <c r="O115" i="1"/>
  <c r="V511" i="4"/>
  <c r="AC536" i="4"/>
  <c r="AD536" i="4" s="1"/>
  <c r="E17" i="2"/>
  <c r="G17" i="2" s="1"/>
  <c r="J64" i="13"/>
  <c r="J75" i="13"/>
  <c r="F59" i="13"/>
  <c r="H37" i="13"/>
  <c r="H55" i="13" s="1"/>
  <c r="G374" i="1" s="1"/>
  <c r="D36" i="13"/>
  <c r="D54" i="13" s="1"/>
  <c r="N322" i="1"/>
  <c r="Q322" i="1"/>
  <c r="T317" i="1"/>
  <c r="P286" i="1"/>
  <c r="E292" i="1"/>
  <c r="E316" i="1" s="1"/>
  <c r="E279" i="1"/>
  <c r="E281" i="1"/>
  <c r="B222" i="1"/>
  <c r="F219" i="1"/>
  <c r="F220" i="1"/>
  <c r="S578" i="4"/>
  <c r="O79" i="13"/>
  <c r="D50" i="13"/>
  <c r="C371" i="1" s="1"/>
  <c r="H129" i="13"/>
  <c r="D292" i="1"/>
  <c r="D316" i="1" s="1"/>
  <c r="D317" i="1" s="1"/>
  <c r="H270" i="1"/>
  <c r="H271" i="1" s="1"/>
  <c r="O261" i="1"/>
  <c r="O269" i="1"/>
  <c r="P106" i="1"/>
  <c r="E108" i="1"/>
  <c r="S106" i="1"/>
  <c r="C41" i="1"/>
  <c r="D14" i="13"/>
  <c r="T105" i="1"/>
  <c r="T108" i="1" s="1"/>
  <c r="T40" i="1"/>
  <c r="T41" i="1" s="1"/>
  <c r="T110" i="1" s="1"/>
  <c r="T139" i="1"/>
  <c r="F374" i="1"/>
  <c r="Q38" i="13"/>
  <c r="Q42" i="13" s="1"/>
  <c r="Q45" i="13" s="1"/>
  <c r="Q92" i="13" s="1"/>
  <c r="Q94" i="13" s="1"/>
  <c r="F31" i="13"/>
  <c r="F19" i="13"/>
  <c r="J128" i="13"/>
  <c r="J132" i="13" s="1"/>
  <c r="J143" i="13" s="1"/>
  <c r="N360" i="1"/>
  <c r="N306" i="1"/>
  <c r="M298" i="1"/>
  <c r="O290" i="1"/>
  <c r="S288" i="1"/>
  <c r="O280" i="1"/>
  <c r="L171" i="1"/>
  <c r="R260" i="1"/>
  <c r="N260" i="1"/>
  <c r="C256" i="12" s="1"/>
  <c r="D256" i="12" s="1"/>
  <c r="C253" i="1"/>
  <c r="C285" i="1"/>
  <c r="C291" i="1" s="1"/>
  <c r="O251" i="1"/>
  <c r="O228" i="1"/>
  <c r="O105" i="1"/>
  <c r="O108" i="1" s="1"/>
  <c r="O28" i="1"/>
  <c r="O42" i="1" s="1"/>
  <c r="N28" i="1"/>
  <c r="C42" i="1"/>
  <c r="C132" i="1"/>
  <c r="G42" i="1"/>
  <c r="G120" i="1"/>
  <c r="P14" i="1"/>
  <c r="N14" i="1"/>
  <c r="O72" i="13"/>
  <c r="Q341" i="1"/>
  <c r="R341" i="1"/>
  <c r="F342" i="1"/>
  <c r="I323" i="1"/>
  <c r="S307" i="1"/>
  <c r="S289" i="1"/>
  <c r="P288" i="1"/>
  <c r="Q268" i="1"/>
  <c r="U285" i="1"/>
  <c r="U291" i="1" s="1"/>
  <c r="U253" i="1"/>
  <c r="P227" i="1"/>
  <c r="P147" i="1" s="1"/>
  <c r="N227" i="1"/>
  <c r="N201" i="1"/>
  <c r="C197" i="12" s="1"/>
  <c r="D197" i="12" s="1"/>
  <c r="K129" i="1"/>
  <c r="R201" i="1"/>
  <c r="S201" i="1" s="1"/>
  <c r="N115" i="1"/>
  <c r="N88" i="1"/>
  <c r="S88" i="1"/>
  <c r="R88" i="1"/>
  <c r="L177" i="1"/>
  <c r="M171" i="1"/>
  <c r="H73" i="1"/>
  <c r="O73" i="1"/>
  <c r="F41" i="1"/>
  <c r="G168" i="1"/>
  <c r="G91" i="1"/>
  <c r="S322" i="1"/>
  <c r="P323" i="1"/>
  <c r="S308" i="1"/>
  <c r="R289" i="1"/>
  <c r="N289" i="1"/>
  <c r="C285" i="12" s="1"/>
  <c r="D285" i="12" s="1"/>
  <c r="O268" i="1"/>
  <c r="S248" i="1"/>
  <c r="S242" i="1"/>
  <c r="O243" i="1"/>
  <c r="G218" i="1"/>
  <c r="P218" i="1" s="1"/>
  <c r="P220" i="1" s="1"/>
  <c r="G193" i="1"/>
  <c r="G219" i="1" s="1"/>
  <c r="P219" i="1" s="1"/>
  <c r="P90" i="1"/>
  <c r="F73" i="1"/>
  <c r="Z548" i="4"/>
  <c r="F180" i="1"/>
  <c r="F101" i="1"/>
  <c r="F100" i="1"/>
  <c r="P95" i="1"/>
  <c r="S314" i="1"/>
  <c r="N287" i="1"/>
  <c r="C283" i="12" s="1"/>
  <c r="D283" i="12" s="1"/>
  <c r="Q292" i="1"/>
  <c r="Q316" i="1" s="1"/>
  <c r="Q280" i="1"/>
  <c r="S234" i="1"/>
  <c r="B221" i="1"/>
  <c r="H188" i="1"/>
  <c r="P99" i="1"/>
  <c r="P181" i="1"/>
  <c r="Y564" i="4"/>
  <c r="M61" i="1" s="1"/>
  <c r="M156" i="1" s="1"/>
  <c r="Y568" i="4"/>
  <c r="Y582" i="4" s="1"/>
  <c r="Y575" i="4"/>
  <c r="Y578" i="4" s="1"/>
  <c r="M239" i="1" s="1"/>
  <c r="Y587" i="4"/>
  <c r="Y590" i="4" s="1"/>
  <c r="M329" i="1" s="1"/>
  <c r="Q564" i="4"/>
  <c r="E61" i="1" s="1"/>
  <c r="Q568" i="4"/>
  <c r="Q582" i="4" s="1"/>
  <c r="Q575" i="4"/>
  <c r="Q578" i="4" s="1"/>
  <c r="Q587" i="4"/>
  <c r="Q590" i="4" s="1"/>
  <c r="E329" i="1" s="1"/>
  <c r="U567" i="4"/>
  <c r="U564" i="4"/>
  <c r="I61" i="1" s="1"/>
  <c r="I156" i="1" s="1"/>
  <c r="U574" i="4"/>
  <c r="U578" i="4" s="1"/>
  <c r="U588" i="4"/>
  <c r="U590" i="4" s="1"/>
  <c r="I329" i="1" s="1"/>
  <c r="O500" i="4"/>
  <c r="AF525" i="4"/>
  <c r="O412" i="4"/>
  <c r="E395" i="1"/>
  <c r="N335" i="1"/>
  <c r="S305" i="1"/>
  <c r="I292" i="1"/>
  <c r="I316" i="1" s="1"/>
  <c r="G292" i="1"/>
  <c r="G316" i="1" s="1"/>
  <c r="G317" i="1" s="1"/>
  <c r="P280" i="1"/>
  <c r="S260" i="1"/>
  <c r="C255" i="12"/>
  <c r="D255" i="12" s="1"/>
  <c r="N170" i="1"/>
  <c r="C166" i="12" s="1"/>
  <c r="D166" i="12" s="1"/>
  <c r="Q270" i="1"/>
  <c r="Q271" i="1" s="1"/>
  <c r="J253" i="1"/>
  <c r="P217" i="1"/>
  <c r="Q189" i="1"/>
  <c r="D220" i="1"/>
  <c r="U120" i="1"/>
  <c r="I108" i="1"/>
  <c r="M183" i="1"/>
  <c r="S98" i="1"/>
  <c r="C93" i="12"/>
  <c r="D93" i="12" s="1"/>
  <c r="N182" i="1"/>
  <c r="C178" i="12" s="1"/>
  <c r="D178" i="12" s="1"/>
  <c r="N507" i="4"/>
  <c r="S216" i="1"/>
  <c r="P182" i="1"/>
  <c r="P174" i="1"/>
  <c r="P153" i="1"/>
  <c r="Y604" i="4"/>
  <c r="M69" i="1" s="1"/>
  <c r="Y613" i="4"/>
  <c r="Y607" i="4" s="1"/>
  <c r="O590" i="4"/>
  <c r="C329" i="1" s="1"/>
  <c r="C336" i="1" s="1"/>
  <c r="C342" i="1" s="1"/>
  <c r="V582" i="4"/>
  <c r="V571" i="4"/>
  <c r="R581" i="4"/>
  <c r="R585" i="4" s="1"/>
  <c r="R571" i="4"/>
  <c r="S575" i="4"/>
  <c r="S587" i="4"/>
  <c r="S590" i="4" s="1"/>
  <c r="G329" i="1" s="1"/>
  <c r="G336" i="1" s="1"/>
  <c r="G342" i="1" s="1"/>
  <c r="W564" i="4"/>
  <c r="K61" i="1" s="1"/>
  <c r="W574" i="4"/>
  <c r="W578" i="4" s="1"/>
  <c r="K239" i="1" s="1"/>
  <c r="W588" i="4"/>
  <c r="W590" i="4" s="1"/>
  <c r="K329" i="1" s="1"/>
  <c r="K336" i="1" s="1"/>
  <c r="K342" i="1" s="1"/>
  <c r="O564" i="4"/>
  <c r="C61" i="1" s="1"/>
  <c r="O574" i="4"/>
  <c r="O578" i="4" s="1"/>
  <c r="O588" i="4"/>
  <c r="U424" i="4"/>
  <c r="O287" i="1"/>
  <c r="S287" i="1" s="1"/>
  <c r="O252" i="1"/>
  <c r="B165" i="1"/>
  <c r="O249" i="1"/>
  <c r="U162" i="1"/>
  <c r="U250" i="1"/>
  <c r="Q236" i="1"/>
  <c r="S225" i="1"/>
  <c r="U219" i="1"/>
  <c r="J196" i="1"/>
  <c r="Q197" i="1"/>
  <c r="S197" i="1" s="1"/>
  <c r="P188" i="1"/>
  <c r="P193" i="1" s="1"/>
  <c r="H126" i="1"/>
  <c r="R106" i="1"/>
  <c r="P108" i="1"/>
  <c r="H90" i="1"/>
  <c r="D43" i="1"/>
  <c r="D110" i="1"/>
  <c r="Q15" i="1"/>
  <c r="Q18" i="1" s="1"/>
  <c r="H18" i="1"/>
  <c r="H105" i="1"/>
  <c r="H121" i="1"/>
  <c r="Q556" i="4"/>
  <c r="E328" i="1" s="1"/>
  <c r="O509" i="4"/>
  <c r="AC511" i="4"/>
  <c r="M91" i="1"/>
  <c r="H292" i="1"/>
  <c r="H316" i="1" s="1"/>
  <c r="T162" i="1"/>
  <c r="T180" i="1"/>
  <c r="C221" i="12"/>
  <c r="D221" i="12" s="1"/>
  <c r="N145" i="1"/>
  <c r="C141" i="12" s="1"/>
  <c r="D141" i="12" s="1"/>
  <c r="T219" i="1"/>
  <c r="T220" i="1" s="1"/>
  <c r="S207" i="1"/>
  <c r="P202" i="1"/>
  <c r="U202" i="1"/>
  <c r="U126" i="1"/>
  <c r="I121" i="1"/>
  <c r="G108" i="1"/>
  <c r="N106" i="1"/>
  <c r="C102" i="12" s="1"/>
  <c r="D102" i="12" s="1"/>
  <c r="R98" i="1"/>
  <c r="R97" i="1"/>
  <c r="L106" i="1"/>
  <c r="N71" i="1"/>
  <c r="L165" i="1"/>
  <c r="S71" i="1"/>
  <c r="P58" i="1"/>
  <c r="P73" i="1" s="1"/>
  <c r="N57" i="1"/>
  <c r="S57" i="1"/>
  <c r="R68" i="1"/>
  <c r="K162" i="1"/>
  <c r="K74" i="1"/>
  <c r="W412" i="4"/>
  <c r="R267" i="1"/>
  <c r="O218" i="1"/>
  <c r="S215" i="1"/>
  <c r="Q217" i="1"/>
  <c r="T209" i="1"/>
  <c r="O209" i="1"/>
  <c r="B126" i="1"/>
  <c r="O196" i="1"/>
  <c r="O193" i="1"/>
  <c r="Q115" i="1"/>
  <c r="R115" i="1"/>
  <c r="R81" i="1"/>
  <c r="S81" i="1"/>
  <c r="M107" i="1"/>
  <c r="N81" i="1"/>
  <c r="O236" i="1"/>
  <c r="N98" i="1"/>
  <c r="H99" i="1"/>
  <c r="H107" i="1"/>
  <c r="Q107" i="1" s="1"/>
  <c r="Q82" i="1"/>
  <c r="Q90" i="1" s="1"/>
  <c r="W604" i="4"/>
  <c r="K69" i="1" s="1"/>
  <c r="W612" i="4"/>
  <c r="W616" i="4" s="1"/>
  <c r="K247" i="1" s="1"/>
  <c r="W567" i="4"/>
  <c r="S564" i="4"/>
  <c r="G61" i="1" s="1"/>
  <c r="G156" i="1" s="1"/>
  <c r="Y571" i="4"/>
  <c r="M62" i="1" s="1"/>
  <c r="Y581" i="4"/>
  <c r="Q581" i="4"/>
  <c r="Y521" i="4"/>
  <c r="U521" i="4"/>
  <c r="W297" i="4"/>
  <c r="W322" i="4" s="1"/>
  <c r="W309" i="4"/>
  <c r="O297" i="4"/>
  <c r="O322" i="4" s="1"/>
  <c r="O309" i="4"/>
  <c r="S296" i="4"/>
  <c r="S321" i="4" s="1"/>
  <c r="S308" i="4"/>
  <c r="W295" i="4"/>
  <c r="W320" i="4" s="1"/>
  <c r="W307" i="4"/>
  <c r="O295" i="4"/>
  <c r="O320" i="4" s="1"/>
  <c r="O307" i="4"/>
  <c r="S306" i="4"/>
  <c r="S312" i="4" s="1"/>
  <c r="G275" i="1" s="1"/>
  <c r="S294" i="4"/>
  <c r="S319" i="4" s="1"/>
  <c r="O305" i="4"/>
  <c r="O293" i="4"/>
  <c r="O318" i="4" s="1"/>
  <c r="S292" i="4"/>
  <c r="S304" i="4"/>
  <c r="S287" i="4"/>
  <c r="W287" i="4"/>
  <c r="K95" i="1" s="1"/>
  <c r="W290" i="4"/>
  <c r="W303" i="4"/>
  <c r="W312" i="4" s="1"/>
  <c r="K275" i="1" s="1"/>
  <c r="O287" i="4"/>
  <c r="C95" i="1" s="1"/>
  <c r="O290" i="4"/>
  <c r="O303" i="4"/>
  <c r="J183" i="1"/>
  <c r="B101" i="1"/>
  <c r="J99" i="1"/>
  <c r="I73" i="1"/>
  <c r="F42" i="1"/>
  <c r="N29" i="1"/>
  <c r="L32" i="1"/>
  <c r="S29" i="1"/>
  <c r="S32" i="1" s="1"/>
  <c r="E41" i="1"/>
  <c r="O18" i="1"/>
  <c r="O41" i="1" s="1"/>
  <c r="O110" i="1" s="1"/>
  <c r="H42" i="1"/>
  <c r="Q14" i="1"/>
  <c r="O600" i="4"/>
  <c r="V585" i="4"/>
  <c r="X564" i="4"/>
  <c r="L61" i="1" s="1"/>
  <c r="L74" i="1" s="1"/>
  <c r="P564" i="4"/>
  <c r="AC533" i="4"/>
  <c r="AD533" i="4" s="1"/>
  <c r="AF531" i="4"/>
  <c r="V508" i="4"/>
  <c r="AC508" i="4" s="1"/>
  <c r="S504" i="4"/>
  <c r="O521" i="4"/>
  <c r="O494" i="4"/>
  <c r="Y353" i="4"/>
  <c r="AC364" i="4"/>
  <c r="AD364" i="4" s="1"/>
  <c r="R325" i="4"/>
  <c r="Q61" i="1"/>
  <c r="P28" i="1"/>
  <c r="P132" i="1" s="1"/>
  <c r="N24" i="1"/>
  <c r="S24" i="1"/>
  <c r="O610" i="4"/>
  <c r="X607" i="4"/>
  <c r="P607" i="4"/>
  <c r="S610" i="4"/>
  <c r="N496" i="4"/>
  <c r="P411" i="4"/>
  <c r="T360" i="4"/>
  <c r="AC360" i="4" s="1"/>
  <c r="AC372" i="4"/>
  <c r="AD372" i="4" s="1"/>
  <c r="W365" i="4"/>
  <c r="V347" i="4"/>
  <c r="V371" i="4" s="1"/>
  <c r="V359" i="4"/>
  <c r="N347" i="4"/>
  <c r="N371" i="4" s="1"/>
  <c r="AC371" i="4" s="1"/>
  <c r="AD371" i="4" s="1"/>
  <c r="N359" i="4"/>
  <c r="AC359" i="4" s="1"/>
  <c r="R346" i="4"/>
  <c r="R370" i="4" s="1"/>
  <c r="R358" i="4" s="1"/>
  <c r="V345" i="4"/>
  <c r="V369" i="4" s="1"/>
  <c r="V357" i="4"/>
  <c r="N345" i="4"/>
  <c r="N369" i="4" s="1"/>
  <c r="AF369" i="4" s="1"/>
  <c r="N357" i="4"/>
  <c r="R344" i="4"/>
  <c r="R368" i="4" s="1"/>
  <c r="AF368" i="4" s="1"/>
  <c r="R356" i="4"/>
  <c r="V343" i="4"/>
  <c r="V367" i="4" s="1"/>
  <c r="V355" i="4" s="1"/>
  <c r="N343" i="4"/>
  <c r="N367" i="4" s="1"/>
  <c r="N355" i="4"/>
  <c r="R338" i="4"/>
  <c r="F78" i="1" s="1"/>
  <c r="R342" i="4"/>
  <c r="R366" i="4" s="1"/>
  <c r="R354" i="4"/>
  <c r="V341" i="4"/>
  <c r="V338" i="4"/>
  <c r="J78" i="1" s="1"/>
  <c r="N341" i="4"/>
  <c r="Y157" i="4"/>
  <c r="Y166" i="4" s="1"/>
  <c r="M190" i="1" s="1"/>
  <c r="S14" i="1"/>
  <c r="E42" i="1"/>
  <c r="U136" i="4"/>
  <c r="U163" i="4" s="1"/>
  <c r="U149" i="4"/>
  <c r="U184" i="4"/>
  <c r="Q135" i="4"/>
  <c r="Q162" i="4" s="1"/>
  <c r="Q148" i="4"/>
  <c r="U134" i="4"/>
  <c r="U161" i="4" s="1"/>
  <c r="U147" i="4"/>
  <c r="Z147" i="4" s="1"/>
  <c r="U133" i="4"/>
  <c r="U160" i="4" s="1"/>
  <c r="U146" i="4"/>
  <c r="U183" i="4"/>
  <c r="U182" i="4"/>
  <c r="Y145" i="4"/>
  <c r="Y132" i="4"/>
  <c r="Y159" i="4" s="1"/>
  <c r="Y181" i="4"/>
  <c r="Q145" i="4"/>
  <c r="Q181" i="4"/>
  <c r="U144" i="4"/>
  <c r="U131" i="4"/>
  <c r="U158" i="4" s="1"/>
  <c r="U180" i="4"/>
  <c r="U186" i="4" s="1"/>
  <c r="I333" i="1" s="1"/>
  <c r="I336" i="1" s="1"/>
  <c r="I342" i="1" s="1"/>
  <c r="Y143" i="4"/>
  <c r="Y152" i="4" s="1"/>
  <c r="M188" i="1" s="1"/>
  <c r="Y125" i="4"/>
  <c r="M14" i="1" s="1"/>
  <c r="Y179" i="4"/>
  <c r="Y186" i="4" s="1"/>
  <c r="M333" i="1" s="1"/>
  <c r="Q143" i="4"/>
  <c r="Q152" i="4" s="1"/>
  <c r="Q130" i="4"/>
  <c r="Q179" i="4"/>
  <c r="U125" i="4"/>
  <c r="U142" i="4"/>
  <c r="U128" i="4"/>
  <c r="I41" i="1"/>
  <c r="S623" i="4"/>
  <c r="G330" i="1" s="1"/>
  <c r="R606" i="4"/>
  <c r="T606" i="4"/>
  <c r="X601" i="4"/>
  <c r="X613" i="4" s="1"/>
  <c r="U612" i="4"/>
  <c r="U616" i="4" s="1"/>
  <c r="U604" i="4"/>
  <c r="S598" i="4"/>
  <c r="G68" i="1" s="1"/>
  <c r="P68" i="1" s="1"/>
  <c r="V607" i="4"/>
  <c r="V610" i="4" s="1"/>
  <c r="V598" i="4"/>
  <c r="J68" i="1" s="1"/>
  <c r="V601" i="4"/>
  <c r="V613" i="4" s="1"/>
  <c r="N598" i="4"/>
  <c r="N601" i="4"/>
  <c r="N613" i="4" s="1"/>
  <c r="N607" i="4" s="1"/>
  <c r="N610" i="4" s="1"/>
  <c r="Q604" i="4"/>
  <c r="Q612" i="4"/>
  <c r="Q616" i="4" s="1"/>
  <c r="N585" i="4"/>
  <c r="X568" i="4"/>
  <c r="X587" i="4"/>
  <c r="X590" i="4" s="1"/>
  <c r="L329" i="1" s="1"/>
  <c r="P568" i="4"/>
  <c r="P582" i="4" s="1"/>
  <c r="P587" i="4"/>
  <c r="P590" i="4" s="1"/>
  <c r="D329" i="1" s="1"/>
  <c r="T567" i="4"/>
  <c r="T588" i="4"/>
  <c r="T590" i="4" s="1"/>
  <c r="H329" i="1" s="1"/>
  <c r="H336" i="1" s="1"/>
  <c r="H342" i="1" s="1"/>
  <c r="W507" i="4"/>
  <c r="N417" i="4"/>
  <c r="N414" i="4"/>
  <c r="T420" i="4"/>
  <c r="X406" i="4"/>
  <c r="X432" i="4" s="1"/>
  <c r="X419" i="4"/>
  <c r="P419" i="4"/>
  <c r="X417" i="4"/>
  <c r="X404" i="4"/>
  <c r="X430" i="4" s="1"/>
  <c r="P404" i="4"/>
  <c r="P430" i="4" s="1"/>
  <c r="P417" i="4" s="1"/>
  <c r="T403" i="4"/>
  <c r="T429" i="4" s="1"/>
  <c r="T416" i="4" s="1"/>
  <c r="AC416" i="4" s="1"/>
  <c r="X395" i="4"/>
  <c r="L85" i="1" s="1"/>
  <c r="X402" i="4"/>
  <c r="X428" i="4" s="1"/>
  <c r="X415" i="4" s="1"/>
  <c r="X421" i="4" s="1"/>
  <c r="L264" i="1" s="1"/>
  <c r="S401" i="4"/>
  <c r="S427" i="4" s="1"/>
  <c r="S414" i="4"/>
  <c r="W400" i="4"/>
  <c r="W395" i="4"/>
  <c r="K85" i="1" s="1"/>
  <c r="O400" i="4"/>
  <c r="T395" i="4"/>
  <c r="T398" i="4"/>
  <c r="T374" i="4"/>
  <c r="T353" i="4"/>
  <c r="R300" i="4"/>
  <c r="N221" i="4"/>
  <c r="Y135" i="4"/>
  <c r="Y162" i="4" s="1"/>
  <c r="U105" i="1"/>
  <c r="U108" i="1" s="1"/>
  <c r="S50" i="1"/>
  <c r="R24" i="1"/>
  <c r="Y610" i="4"/>
  <c r="M246" i="1" s="1"/>
  <c r="M162" i="1" s="1"/>
  <c r="U598" i="4"/>
  <c r="I68" i="1" s="1"/>
  <c r="U601" i="4"/>
  <c r="U613" i="4" s="1"/>
  <c r="U607" i="4" s="1"/>
  <c r="U610" i="4" s="1"/>
  <c r="X600" i="4"/>
  <c r="X623" i="4"/>
  <c r="L330" i="1" s="1"/>
  <c r="X606" i="4"/>
  <c r="P600" i="4"/>
  <c r="P623" i="4"/>
  <c r="D330" i="1" s="1"/>
  <c r="P606" i="4"/>
  <c r="P610" i="4" s="1"/>
  <c r="S571" i="4"/>
  <c r="S581" i="4"/>
  <c r="S585" i="4" s="1"/>
  <c r="N556" i="4"/>
  <c r="Q514" i="4"/>
  <c r="R510" i="4"/>
  <c r="AC510" i="4" s="1"/>
  <c r="Q500" i="4"/>
  <c r="N497" i="4"/>
  <c r="Y518" i="4"/>
  <c r="S513" i="4"/>
  <c r="S488" i="4"/>
  <c r="S538" i="4" s="1"/>
  <c r="S510" i="4"/>
  <c r="W484" i="4"/>
  <c r="W534" i="4" s="1"/>
  <c r="W544" i="4" s="1"/>
  <c r="K232" i="1" s="1"/>
  <c r="W509" i="4"/>
  <c r="X482" i="4"/>
  <c r="X532" i="4" s="1"/>
  <c r="AC532" i="4" s="1"/>
  <c r="AD532" i="4" s="1"/>
  <c r="T479" i="4"/>
  <c r="T529" i="4" s="1"/>
  <c r="T504" i="4"/>
  <c r="T468" i="4"/>
  <c r="N478" i="4"/>
  <c r="N528" i="4" s="1"/>
  <c r="AF528" i="4" s="1"/>
  <c r="N503" i="4"/>
  <c r="R477" i="4"/>
  <c r="R527" i="4" s="1"/>
  <c r="AF527" i="4" s="1"/>
  <c r="R502" i="4"/>
  <c r="N476" i="4"/>
  <c r="N526" i="4" s="1"/>
  <c r="N501" i="4"/>
  <c r="R475" i="4"/>
  <c r="R525" i="4" s="1"/>
  <c r="R500" i="4" s="1"/>
  <c r="N473" i="4"/>
  <c r="N468" i="4"/>
  <c r="R472" i="4"/>
  <c r="R522" i="4" s="1"/>
  <c r="R497" i="4"/>
  <c r="S468" i="4"/>
  <c r="S471" i="4"/>
  <c r="O395" i="4"/>
  <c r="L107" i="1"/>
  <c r="S107" i="1" s="1"/>
  <c r="O61" i="1"/>
  <c r="P32" i="1"/>
  <c r="U41" i="1"/>
  <c r="U110" i="1" s="1"/>
  <c r="S600" i="4"/>
  <c r="P598" i="4"/>
  <c r="T598" i="4"/>
  <c r="H68" i="1" s="1"/>
  <c r="T601" i="4"/>
  <c r="Z590" i="4"/>
  <c r="AB590" i="4" s="1"/>
  <c r="N502" i="4"/>
  <c r="Q521" i="4"/>
  <c r="W491" i="4"/>
  <c r="W541" i="4" s="1"/>
  <c r="W516" i="4" s="1"/>
  <c r="Z516" i="4" s="1"/>
  <c r="W490" i="4"/>
  <c r="W540" i="4" s="1"/>
  <c r="W515" i="4"/>
  <c r="R488" i="4"/>
  <c r="R538" i="4" s="1"/>
  <c r="R513" i="4"/>
  <c r="V484" i="4"/>
  <c r="V534" i="4" s="1"/>
  <c r="AC534" i="4" s="1"/>
  <c r="AD534" i="4" s="1"/>
  <c r="Q480" i="4"/>
  <c r="Q530" i="4" s="1"/>
  <c r="Q505" i="4" s="1"/>
  <c r="Q502" i="4"/>
  <c r="U473" i="4"/>
  <c r="U523" i="4" s="1"/>
  <c r="U498" i="4"/>
  <c r="U468" i="4"/>
  <c r="Y468" i="4"/>
  <c r="M53" i="1" s="1"/>
  <c r="S53" i="1" s="1"/>
  <c r="Y472" i="4"/>
  <c r="Y522" i="4" s="1"/>
  <c r="Y497" i="4"/>
  <c r="Q472" i="4"/>
  <c r="Q522" i="4" s="1"/>
  <c r="Q497" i="4" s="1"/>
  <c r="R468" i="4"/>
  <c r="R471" i="4"/>
  <c r="Z438" i="4"/>
  <c r="AC429" i="4"/>
  <c r="AD429" i="4" s="1"/>
  <c r="R407" i="4"/>
  <c r="R433" i="4" s="1"/>
  <c r="R420" i="4"/>
  <c r="V406" i="4"/>
  <c r="V432" i="4" s="1"/>
  <c r="V419" i="4" s="1"/>
  <c r="N406" i="4"/>
  <c r="N432" i="4" s="1"/>
  <c r="N419" i="4"/>
  <c r="R405" i="4"/>
  <c r="R431" i="4" s="1"/>
  <c r="R418" i="4"/>
  <c r="V404" i="4"/>
  <c r="V430" i="4" s="1"/>
  <c r="V417" i="4"/>
  <c r="R403" i="4"/>
  <c r="R429" i="4" s="1"/>
  <c r="R416" i="4"/>
  <c r="V402" i="4"/>
  <c r="V428" i="4" s="1"/>
  <c r="V415" i="4"/>
  <c r="Y414" i="4"/>
  <c r="Q395" i="4"/>
  <c r="Q401" i="4"/>
  <c r="Q427" i="4" s="1"/>
  <c r="Q414" i="4" s="1"/>
  <c r="U395" i="4"/>
  <c r="U400" i="4"/>
  <c r="U426" i="4" s="1"/>
  <c r="U413" i="4"/>
  <c r="N399" i="4"/>
  <c r="N425" i="4" s="1"/>
  <c r="AF425" i="4" s="1"/>
  <c r="N395" i="4"/>
  <c r="R395" i="4"/>
  <c r="R398" i="4"/>
  <c r="R601" i="4"/>
  <c r="V600" i="4"/>
  <c r="N600" i="4"/>
  <c r="P494" i="4"/>
  <c r="Y507" i="4"/>
  <c r="U479" i="4"/>
  <c r="U529" i="4" s="1"/>
  <c r="U504" i="4"/>
  <c r="T471" i="4"/>
  <c r="S407" i="4"/>
  <c r="S433" i="4" s="1"/>
  <c r="S420" i="4"/>
  <c r="W406" i="4"/>
  <c r="W432" i="4" s="1"/>
  <c r="W419" i="4" s="1"/>
  <c r="O406" i="4"/>
  <c r="O432" i="4" s="1"/>
  <c r="O419" i="4"/>
  <c r="S405" i="4"/>
  <c r="S431" i="4" s="1"/>
  <c r="S418" i="4"/>
  <c r="W404" i="4"/>
  <c r="W430" i="4" s="1"/>
  <c r="W417" i="4" s="1"/>
  <c r="O417" i="4"/>
  <c r="O404" i="4"/>
  <c r="O430" i="4" s="1"/>
  <c r="AC430" i="4" s="1"/>
  <c r="AD430" i="4" s="1"/>
  <c r="S403" i="4"/>
  <c r="S429" i="4" s="1"/>
  <c r="S416" i="4"/>
  <c r="W402" i="4"/>
  <c r="W428" i="4" s="1"/>
  <c r="W415" i="4"/>
  <c r="N400" i="4"/>
  <c r="N426" i="4" s="1"/>
  <c r="N413" i="4"/>
  <c r="S395" i="4"/>
  <c r="S398" i="4"/>
  <c r="T315" i="4"/>
  <c r="O217" i="4"/>
  <c r="O234" i="4"/>
  <c r="O246" i="4" s="1"/>
  <c r="X156" i="4"/>
  <c r="X139" i="4"/>
  <c r="L15" i="1" s="1"/>
  <c r="O227" i="4"/>
  <c r="N226" i="4"/>
  <c r="AF240" i="4"/>
  <c r="P225" i="4"/>
  <c r="Z161" i="4"/>
  <c r="T152" i="4"/>
  <c r="Y424" i="4"/>
  <c r="Y434" i="4" s="1"/>
  <c r="M265" i="1" s="1"/>
  <c r="Y408" i="4"/>
  <c r="M86" i="1" s="1"/>
  <c r="N356" i="4"/>
  <c r="R365" i="4"/>
  <c r="R350" i="4"/>
  <c r="Y346" i="4"/>
  <c r="Y370" i="4" s="1"/>
  <c r="Y358" i="4" s="1"/>
  <c r="U345" i="4"/>
  <c r="U369" i="4" s="1"/>
  <c r="U357" i="4"/>
  <c r="Q344" i="4"/>
  <c r="Q368" i="4" s="1"/>
  <c r="Q356" i="4"/>
  <c r="Y338" i="4"/>
  <c r="M78" i="1" s="1"/>
  <c r="Y342" i="4"/>
  <c r="Q338" i="4"/>
  <c r="Q342" i="4"/>
  <c r="Q366" i="4" s="1"/>
  <c r="Q354" i="4" s="1"/>
  <c r="U341" i="4"/>
  <c r="N50" i="1"/>
  <c r="Q22" i="1"/>
  <c r="Q25" i="1" s="1"/>
  <c r="X574" i="4"/>
  <c r="X578" i="4" s="1"/>
  <c r="L239" i="1" s="1"/>
  <c r="P574" i="4"/>
  <c r="P578" i="4" s="1"/>
  <c r="Z578" i="4" s="1"/>
  <c r="X521" i="4"/>
  <c r="V510" i="4"/>
  <c r="R508" i="4"/>
  <c r="V407" i="4"/>
  <c r="V433" i="4" s="1"/>
  <c r="V420" i="4"/>
  <c r="V418" i="4"/>
  <c r="N418" i="4"/>
  <c r="AC418" i="4" s="1"/>
  <c r="N405" i="4"/>
  <c r="N431" i="4" s="1"/>
  <c r="R417" i="4"/>
  <c r="V416" i="4"/>
  <c r="R402" i="4"/>
  <c r="R428" i="4" s="1"/>
  <c r="R415" i="4" s="1"/>
  <c r="AC415" i="4" s="1"/>
  <c r="U401" i="4"/>
  <c r="U427" i="4" s="1"/>
  <c r="U414" i="4" s="1"/>
  <c r="Y413" i="4"/>
  <c r="Q413" i="4"/>
  <c r="V398" i="4"/>
  <c r="V395" i="4"/>
  <c r="N424" i="4"/>
  <c r="Q365" i="4"/>
  <c r="Q350" i="4"/>
  <c r="R265" i="4"/>
  <c r="R269" i="4" s="1"/>
  <c r="R275" i="4"/>
  <c r="T255" i="4"/>
  <c r="H28" i="1" s="1"/>
  <c r="T258" i="4"/>
  <c r="O63" i="4"/>
  <c r="AF86" i="4"/>
  <c r="U477" i="4"/>
  <c r="U527" i="4" s="1"/>
  <c r="U502" i="4" s="1"/>
  <c r="Q476" i="4"/>
  <c r="Q526" i="4" s="1"/>
  <c r="Q501" i="4"/>
  <c r="U475" i="4"/>
  <c r="U525" i="4" s="1"/>
  <c r="U500" i="4"/>
  <c r="P474" i="4"/>
  <c r="P524" i="4" s="1"/>
  <c r="AF524" i="4" s="1"/>
  <c r="P499" i="4"/>
  <c r="V471" i="4"/>
  <c r="V468" i="4"/>
  <c r="X297" i="4"/>
  <c r="X322" i="4" s="1"/>
  <c r="X309" i="4"/>
  <c r="P297" i="4"/>
  <c r="P322" i="4" s="1"/>
  <c r="P309" i="4"/>
  <c r="T296" i="4"/>
  <c r="T321" i="4" s="1"/>
  <c r="T308" i="4"/>
  <c r="T306" i="4"/>
  <c r="T294" i="4"/>
  <c r="T319" i="4" s="1"/>
  <c r="X305" i="4"/>
  <c r="X293" i="4"/>
  <c r="X318" i="4" s="1"/>
  <c r="P305" i="4"/>
  <c r="P293" i="4"/>
  <c r="P318" i="4" s="1"/>
  <c r="T304" i="4"/>
  <c r="T292" i="4"/>
  <c r="T317" i="4" s="1"/>
  <c r="T287" i="4"/>
  <c r="X303" i="4"/>
  <c r="X290" i="4"/>
  <c r="X287" i="4"/>
  <c r="L95" i="1" s="1"/>
  <c r="P303" i="4"/>
  <c r="P287" i="4"/>
  <c r="P290" i="4"/>
  <c r="Q265" i="4"/>
  <c r="Q269" i="4" s="1"/>
  <c r="Q275" i="4"/>
  <c r="S255" i="4"/>
  <c r="G28" i="1" s="1"/>
  <c r="G132" i="1" s="1"/>
  <c r="S258" i="4"/>
  <c r="S234" i="4"/>
  <c r="T139" i="4"/>
  <c r="T155" i="4"/>
  <c r="T166" i="4" s="1"/>
  <c r="V155" i="4"/>
  <c r="V166" i="4" s="1"/>
  <c r="T57" i="4"/>
  <c r="P401" i="4"/>
  <c r="P427" i="4" s="1"/>
  <c r="P414" i="4" s="1"/>
  <c r="U416" i="4"/>
  <c r="Y415" i="4"/>
  <c r="Q415" i="4"/>
  <c r="N358" i="4"/>
  <c r="U315" i="4"/>
  <c r="W265" i="4"/>
  <c r="W269" i="4" s="1"/>
  <c r="K205" i="1" s="1"/>
  <c r="W275" i="4"/>
  <c r="K206" i="1" s="1"/>
  <c r="U255" i="4"/>
  <c r="U258" i="4"/>
  <c r="N246" i="4"/>
  <c r="N220" i="4"/>
  <c r="P234" i="4"/>
  <c r="P220" i="4" s="1"/>
  <c r="O166" i="4"/>
  <c r="P54" i="4"/>
  <c r="Y420" i="4"/>
  <c r="Q420" i="4"/>
  <c r="U419" i="4"/>
  <c r="Y411" i="4"/>
  <c r="X338" i="4"/>
  <c r="L78" i="1" s="1"/>
  <c r="X342" i="4"/>
  <c r="P338" i="4"/>
  <c r="P342" i="4"/>
  <c r="T350" i="4"/>
  <c r="N297" i="4"/>
  <c r="N322" i="4" s="1"/>
  <c r="N309" i="4"/>
  <c r="R296" i="4"/>
  <c r="R321" i="4" s="1"/>
  <c r="R308" i="4"/>
  <c r="V295" i="4"/>
  <c r="V320" i="4" s="1"/>
  <c r="V307" i="4"/>
  <c r="N295" i="4"/>
  <c r="N320" i="4" s="1"/>
  <c r="N307" i="4"/>
  <c r="V287" i="4"/>
  <c r="J95" i="1" s="1"/>
  <c r="V290" i="4"/>
  <c r="V303" i="4"/>
  <c r="N287" i="4"/>
  <c r="N290" i="4"/>
  <c r="N303" i="4"/>
  <c r="V220" i="4"/>
  <c r="V231" i="4" s="1"/>
  <c r="V246" i="4"/>
  <c r="X234" i="4"/>
  <c r="O350" i="4"/>
  <c r="U361" i="4"/>
  <c r="W338" i="4"/>
  <c r="K78" i="1" s="1"/>
  <c r="W342" i="4"/>
  <c r="W366" i="4" s="1"/>
  <c r="W354" i="4" s="1"/>
  <c r="O338" i="4"/>
  <c r="C78" i="1" s="1"/>
  <c r="O342" i="4"/>
  <c r="O366" i="4" s="1"/>
  <c r="S341" i="4"/>
  <c r="R312" i="4"/>
  <c r="F275" i="1" s="1"/>
  <c r="Q296" i="4"/>
  <c r="Q321" i="4" s="1"/>
  <c r="Q308" i="4"/>
  <c r="U295" i="4"/>
  <c r="U320" i="4" s="1"/>
  <c r="U307" i="4"/>
  <c r="Y294" i="4"/>
  <c r="Y319" i="4" s="1"/>
  <c r="Y306" i="4"/>
  <c r="Q294" i="4"/>
  <c r="Q319" i="4" s="1"/>
  <c r="Q306" i="4"/>
  <c r="Y287" i="4"/>
  <c r="M95" i="1" s="1"/>
  <c r="U287" i="4"/>
  <c r="U303" i="4"/>
  <c r="S221" i="4"/>
  <c r="X472" i="4"/>
  <c r="X522" i="4" s="1"/>
  <c r="X497" i="4" s="1"/>
  <c r="P472" i="4"/>
  <c r="P522" i="4" s="1"/>
  <c r="U406" i="4"/>
  <c r="U432" i="4" s="1"/>
  <c r="Q398" i="4"/>
  <c r="N354" i="4"/>
  <c r="Y265" i="4"/>
  <c r="Y269" i="4" s="1"/>
  <c r="M205" i="1" s="1"/>
  <c r="Y275" i="4"/>
  <c r="M206" i="1" s="1"/>
  <c r="M133" i="1" s="1"/>
  <c r="V186" i="4"/>
  <c r="J333" i="1" s="1"/>
  <c r="J336" i="1" s="1"/>
  <c r="J342" i="1" s="1"/>
  <c r="N186" i="4"/>
  <c r="V258" i="4"/>
  <c r="N258" i="4"/>
  <c r="U220" i="4"/>
  <c r="T223" i="4"/>
  <c r="N217" i="4"/>
  <c r="V221" i="4"/>
  <c r="W186" i="4"/>
  <c r="K333" i="1" s="1"/>
  <c r="O186" i="4"/>
  <c r="C333" i="1" s="1"/>
  <c r="O61" i="4"/>
  <c r="AF84" i="4"/>
  <c r="Y217" i="4"/>
  <c r="M36" i="1" s="1"/>
  <c r="Y234" i="4"/>
  <c r="Q217" i="4"/>
  <c r="Q234" i="4"/>
  <c r="N177" i="4"/>
  <c r="N224" i="4"/>
  <c r="V217" i="4"/>
  <c r="X214" i="4"/>
  <c r="X243" i="4" s="1"/>
  <c r="X228" i="4" s="1"/>
  <c r="P214" i="4"/>
  <c r="P243" i="4" s="1"/>
  <c r="P228" i="4"/>
  <c r="T213" i="4"/>
  <c r="T242" i="4" s="1"/>
  <c r="T227" i="4"/>
  <c r="X212" i="4"/>
  <c r="X241" i="4" s="1"/>
  <c r="X226" i="4"/>
  <c r="P212" i="4"/>
  <c r="P241" i="4" s="1"/>
  <c r="P226" i="4" s="1"/>
  <c r="T211" i="4"/>
  <c r="T240" i="4" s="1"/>
  <c r="T225" i="4"/>
  <c r="X210" i="4"/>
  <c r="X239" i="4" s="1"/>
  <c r="X224" i="4"/>
  <c r="P210" i="4"/>
  <c r="P239" i="4" s="1"/>
  <c r="AF239" i="4" s="1"/>
  <c r="P224" i="4"/>
  <c r="T207" i="4"/>
  <c r="X220" i="4"/>
  <c r="X202" i="4"/>
  <c r="L35" i="1" s="1"/>
  <c r="W177" i="4"/>
  <c r="K189" i="1" s="1"/>
  <c r="O177" i="4"/>
  <c r="Q177" i="4"/>
  <c r="X166" i="4"/>
  <c r="L190" i="1" s="1"/>
  <c r="Y290" i="4"/>
  <c r="Y303" i="4"/>
  <c r="Y312" i="4" s="1"/>
  <c r="M275" i="1" s="1"/>
  <c r="Q290" i="4"/>
  <c r="Q303" i="4"/>
  <c r="AF238" i="4"/>
  <c r="W228" i="4"/>
  <c r="O228" i="4"/>
  <c r="S213" i="4"/>
  <c r="S242" i="4" s="1"/>
  <c r="S227" i="4" s="1"/>
  <c r="W212" i="4"/>
  <c r="W241" i="4" s="1"/>
  <c r="W226" i="4" s="1"/>
  <c r="O226" i="4"/>
  <c r="S225" i="4"/>
  <c r="W210" i="4"/>
  <c r="W239" i="4" s="1"/>
  <c r="W224" i="4"/>
  <c r="O224" i="4"/>
  <c r="O210" i="4"/>
  <c r="O239" i="4" s="1"/>
  <c r="S223" i="4"/>
  <c r="S202" i="4"/>
  <c r="G35" i="1" s="1"/>
  <c r="S207" i="4"/>
  <c r="S236" i="4" s="1"/>
  <c r="W202" i="4"/>
  <c r="K35" i="1" s="1"/>
  <c r="W205" i="4"/>
  <c r="O220" i="4"/>
  <c r="O231" i="4" s="1"/>
  <c r="W155" i="4"/>
  <c r="W166" i="4" s="1"/>
  <c r="K190" i="1" s="1"/>
  <c r="W139" i="4"/>
  <c r="K15" i="1" s="1"/>
  <c r="N56" i="4"/>
  <c r="AF79" i="4"/>
  <c r="U177" i="4"/>
  <c r="V144" i="4"/>
  <c r="AF91" i="4"/>
  <c r="X54" i="4"/>
  <c r="T28" i="4"/>
  <c r="W51" i="4"/>
  <c r="K22" i="1" s="1"/>
  <c r="W78" i="4"/>
  <c r="W97" i="4" s="1"/>
  <c r="K198" i="1" s="1"/>
  <c r="O78" i="4"/>
  <c r="X223" i="4"/>
  <c r="P223" i="4"/>
  <c r="T222" i="4"/>
  <c r="X221" i="4"/>
  <c r="P221" i="4"/>
  <c r="T220" i="4"/>
  <c r="P144" i="4"/>
  <c r="P152" i="4" s="1"/>
  <c r="U44" i="4"/>
  <c r="U90" i="4" s="1"/>
  <c r="U67" i="4"/>
  <c r="W43" i="4"/>
  <c r="W89" i="4" s="1"/>
  <c r="W66" i="4"/>
  <c r="X42" i="4"/>
  <c r="X88" i="4" s="1"/>
  <c r="X65" i="4" s="1"/>
  <c r="Y41" i="4"/>
  <c r="Y86" i="4" s="1"/>
  <c r="Y63" i="4"/>
  <c r="Q41" i="4"/>
  <c r="Q86" i="4" s="1"/>
  <c r="Q63" i="4"/>
  <c r="P61" i="4"/>
  <c r="T38" i="4"/>
  <c r="T83" i="4" s="1"/>
  <c r="AC83" i="4" s="1"/>
  <c r="AD83" i="4" s="1"/>
  <c r="T60" i="4"/>
  <c r="T74" i="4" s="1"/>
  <c r="W37" i="4"/>
  <c r="W82" i="4" s="1"/>
  <c r="W59" i="4" s="1"/>
  <c r="O37" i="4"/>
  <c r="O82" i="4" s="1"/>
  <c r="O59" i="4"/>
  <c r="S28" i="4"/>
  <c r="S36" i="4"/>
  <c r="S81" i="4" s="1"/>
  <c r="S97" i="4" s="1"/>
  <c r="W35" i="4"/>
  <c r="W80" i="4" s="1"/>
  <c r="W57" i="4"/>
  <c r="O57" i="4"/>
  <c r="O35" i="4"/>
  <c r="O80" i="4" s="1"/>
  <c r="V28" i="4"/>
  <c r="V33" i="4"/>
  <c r="V78" i="4" s="1"/>
  <c r="V55" i="4" s="1"/>
  <c r="N33" i="4"/>
  <c r="N78" i="4" s="1"/>
  <c r="X275" i="4"/>
  <c r="L206" i="1" s="1"/>
  <c r="P275" i="4"/>
  <c r="T202" i="4"/>
  <c r="Y202" i="4"/>
  <c r="M35" i="1" s="1"/>
  <c r="P149" i="4"/>
  <c r="X149" i="4"/>
  <c r="Q149" i="4"/>
  <c r="Y149" i="4"/>
  <c r="S149" i="4"/>
  <c r="R149" i="4"/>
  <c r="R136" i="4"/>
  <c r="R163" i="4" s="1"/>
  <c r="V132" i="4"/>
  <c r="V159" i="4" s="1"/>
  <c r="V145" i="4"/>
  <c r="N132" i="4"/>
  <c r="N159" i="4" s="1"/>
  <c r="N145" i="4"/>
  <c r="R144" i="4"/>
  <c r="R131" i="4"/>
  <c r="R158" i="4" s="1"/>
  <c r="R128" i="4"/>
  <c r="R125" i="4"/>
  <c r="R142" i="4"/>
  <c r="Q82" i="4"/>
  <c r="Q59" i="4" s="1"/>
  <c r="U51" i="4"/>
  <c r="U76" i="4"/>
  <c r="Y28" i="4"/>
  <c r="M21" i="1" s="1"/>
  <c r="V202" i="4"/>
  <c r="J35" i="1" s="1"/>
  <c r="N202" i="4"/>
  <c r="S186" i="4"/>
  <c r="G333" i="1" s="1"/>
  <c r="R177" i="4"/>
  <c r="Q144" i="4"/>
  <c r="S144" i="4"/>
  <c r="X144" i="4"/>
  <c r="X152" i="4" s="1"/>
  <c r="L188" i="1" s="1"/>
  <c r="N155" i="4"/>
  <c r="P78" i="4"/>
  <c r="P55" i="4" s="1"/>
  <c r="S148" i="4"/>
  <c r="T145" i="4"/>
  <c r="O144" i="4"/>
  <c r="S143" i="4"/>
  <c r="S152" i="4" s="1"/>
  <c r="T144" i="4"/>
  <c r="Y54" i="4"/>
  <c r="Y97" i="4"/>
  <c r="M198" i="1" s="1"/>
  <c r="U60" i="4"/>
  <c r="U207" i="4"/>
  <c r="V147" i="4"/>
  <c r="V146" i="4"/>
  <c r="O143" i="4"/>
  <c r="P132" i="4"/>
  <c r="S139" i="4"/>
  <c r="O58" i="4"/>
  <c r="W58" i="4"/>
  <c r="U58" i="4"/>
  <c r="N58" i="4"/>
  <c r="Y58" i="4"/>
  <c r="P58" i="4"/>
  <c r="Y51" i="4"/>
  <c r="M22" i="1" s="1"/>
  <c r="W148" i="4"/>
  <c r="W152" i="4" s="1"/>
  <c r="K188" i="1" s="1"/>
  <c r="Q55" i="4"/>
  <c r="N62" i="4"/>
  <c r="AF85" i="4"/>
  <c r="O145" i="4"/>
  <c r="W145" i="4"/>
  <c r="V125" i="4"/>
  <c r="J14" i="1" s="1"/>
  <c r="V142" i="4"/>
  <c r="N125" i="4"/>
  <c r="N142" i="4"/>
  <c r="N152" i="4" s="1"/>
  <c r="V51" i="4"/>
  <c r="V76" i="4"/>
  <c r="N76" i="4"/>
  <c r="Y70" i="4"/>
  <c r="V44" i="4"/>
  <c r="V90" i="4" s="1"/>
  <c r="AF90" i="4" s="1"/>
  <c r="N67" i="4"/>
  <c r="Q42" i="4"/>
  <c r="Q88" i="4" s="1"/>
  <c r="AC88" i="4" s="1"/>
  <c r="AD88" i="4" s="1"/>
  <c r="R41" i="4"/>
  <c r="R86" i="4" s="1"/>
  <c r="R63" i="4"/>
  <c r="Q39" i="4"/>
  <c r="Q84" i="4" s="1"/>
  <c r="Q28" i="4"/>
  <c r="Q61" i="4"/>
  <c r="X37" i="4"/>
  <c r="X82" i="4" s="1"/>
  <c r="X59" i="4"/>
  <c r="T36" i="4"/>
  <c r="T81" i="4" s="1"/>
  <c r="T58" i="4"/>
  <c r="X35" i="4"/>
  <c r="X28" i="4"/>
  <c r="L21" i="1" s="1"/>
  <c r="P35" i="4"/>
  <c r="P80" i="4" s="1"/>
  <c r="P97" i="4" s="1"/>
  <c r="P28" i="4"/>
  <c r="P57" i="4"/>
  <c r="W28" i="4"/>
  <c r="K21" i="1" s="1"/>
  <c r="O40" i="4"/>
  <c r="O85" i="4" s="1"/>
  <c r="O62" i="4" s="1"/>
  <c r="S39" i="4"/>
  <c r="S84" i="4" s="1"/>
  <c r="S61" i="4" s="1"/>
  <c r="R35" i="4"/>
  <c r="O56" i="4"/>
  <c r="O34" i="4"/>
  <c r="O79" i="4" s="1"/>
  <c r="W65" i="4"/>
  <c r="S60" i="4"/>
  <c r="S74" i="4" s="1"/>
  <c r="V59" i="4"/>
  <c r="N59" i="4"/>
  <c r="R58" i="4"/>
  <c r="U28" i="4"/>
  <c r="N28" i="4"/>
  <c r="U66" i="4"/>
  <c r="V61" i="4"/>
  <c r="N61" i="4"/>
  <c r="U57" i="4"/>
  <c r="Y56" i="4"/>
  <c r="R188" i="1" l="1"/>
  <c r="K193" i="1"/>
  <c r="K120" i="1"/>
  <c r="C14" i="15"/>
  <c r="N188" i="1"/>
  <c r="G279" i="1"/>
  <c r="G281" i="1"/>
  <c r="P275" i="1"/>
  <c r="X97" i="4"/>
  <c r="L198" i="1" s="1"/>
  <c r="N198" i="1" s="1"/>
  <c r="C194" i="12" s="1"/>
  <c r="D194" i="12" s="1"/>
  <c r="P162" i="1"/>
  <c r="M193" i="1"/>
  <c r="J300" i="1"/>
  <c r="J317" i="1"/>
  <c r="C58" i="15"/>
  <c r="W519" i="4"/>
  <c r="K231" i="1" s="1"/>
  <c r="P231" i="4"/>
  <c r="E104" i="1"/>
  <c r="J168" i="1"/>
  <c r="Q78" i="1"/>
  <c r="Q91" i="1" s="1"/>
  <c r="J91" i="1"/>
  <c r="C25" i="12"/>
  <c r="D25" i="12" s="1"/>
  <c r="N133" i="1"/>
  <c r="C129" i="12" s="1"/>
  <c r="D129" i="12" s="1"/>
  <c r="N32" i="1"/>
  <c r="C28" i="12" s="1"/>
  <c r="D28" i="12" s="1"/>
  <c r="N95" i="1"/>
  <c r="O95" i="1"/>
  <c r="O100" i="1" s="1"/>
  <c r="S95" i="1"/>
  <c r="S100" i="1" s="1"/>
  <c r="C180" i="1"/>
  <c r="C101" i="1"/>
  <c r="C100" i="1"/>
  <c r="Y494" i="4"/>
  <c r="M54" i="1" s="1"/>
  <c r="M65" i="1"/>
  <c r="C94" i="12"/>
  <c r="D94" i="12" s="1"/>
  <c r="N183" i="1"/>
  <c r="C53" i="12"/>
  <c r="D53" i="12" s="1"/>
  <c r="N153" i="1"/>
  <c r="C149" i="12" s="1"/>
  <c r="D149" i="12" s="1"/>
  <c r="H108" i="1"/>
  <c r="Q105" i="1"/>
  <c r="Q108" i="1" s="1"/>
  <c r="P100" i="1"/>
  <c r="P180" i="1"/>
  <c r="C24" i="12"/>
  <c r="D24" i="12" s="1"/>
  <c r="N132" i="1"/>
  <c r="C128" i="12" s="1"/>
  <c r="D128" i="12" s="1"/>
  <c r="P271" i="1"/>
  <c r="I374" i="1"/>
  <c r="I377" i="1" s="1"/>
  <c r="J122" i="13"/>
  <c r="U26" i="7"/>
  <c r="W19" i="7"/>
  <c r="Z623" i="4"/>
  <c r="AB623" i="4" s="1"/>
  <c r="J56" i="13"/>
  <c r="Q102" i="7"/>
  <c r="Q110" i="7"/>
  <c r="Q115" i="7" s="1"/>
  <c r="O323" i="1"/>
  <c r="W25" i="10"/>
  <c r="L120" i="1"/>
  <c r="L193" i="1"/>
  <c r="AC60" i="4"/>
  <c r="N78" i="1"/>
  <c r="C91" i="1"/>
  <c r="C104" i="1" s="1"/>
  <c r="S78" i="1"/>
  <c r="O78" i="1"/>
  <c r="O91" i="1" s="1"/>
  <c r="C168" i="1"/>
  <c r="W217" i="4"/>
  <c r="K36" i="1" s="1"/>
  <c r="K105" i="1" s="1"/>
  <c r="W234" i="4"/>
  <c r="Q496" i="4"/>
  <c r="Q519" i="4" s="1"/>
  <c r="Q544" i="4"/>
  <c r="L91" i="1"/>
  <c r="L174" i="1"/>
  <c r="G74" i="1"/>
  <c r="G101" i="1"/>
  <c r="N68" i="1"/>
  <c r="G162" i="1"/>
  <c r="C10" i="12"/>
  <c r="D10" i="12" s="1"/>
  <c r="H139" i="13"/>
  <c r="Q101" i="10"/>
  <c r="Q85" i="10"/>
  <c r="Q111" i="10" s="1"/>
  <c r="Q117" i="10" s="1"/>
  <c r="Q110" i="10"/>
  <c r="Q115" i="10" s="1"/>
  <c r="Q353" i="4"/>
  <c r="Q362" i="4" s="1"/>
  <c r="Q374" i="4"/>
  <c r="V509" i="4"/>
  <c r="AC509" i="4" s="1"/>
  <c r="AF243" i="4"/>
  <c r="X507" i="4"/>
  <c r="P434" i="4"/>
  <c r="W300" i="4"/>
  <c r="K96" i="1" s="1"/>
  <c r="W315" i="4"/>
  <c r="W325" i="4" s="1"/>
  <c r="K276" i="1" s="1"/>
  <c r="H41" i="1"/>
  <c r="I13" i="13"/>
  <c r="C223" i="12"/>
  <c r="D223" i="12" s="1"/>
  <c r="N147" i="1"/>
  <c r="C143" i="12" s="1"/>
  <c r="D143" i="12" s="1"/>
  <c r="P120" i="1"/>
  <c r="W37" i="10"/>
  <c r="AA29" i="10"/>
  <c r="R26" i="7"/>
  <c r="V67" i="4"/>
  <c r="Q51" i="4"/>
  <c r="X366" i="4"/>
  <c r="X350" i="4"/>
  <c r="L79" i="1" s="1"/>
  <c r="S246" i="4"/>
  <c r="S220" i="4"/>
  <c r="S231" i="4" s="1"/>
  <c r="Q251" i="1"/>
  <c r="Q253" i="1" s="1"/>
  <c r="Q228" i="1"/>
  <c r="O74" i="1"/>
  <c r="W85" i="10"/>
  <c r="K113" i="10"/>
  <c r="J42" i="1"/>
  <c r="S42" i="1" s="1"/>
  <c r="J120" i="1"/>
  <c r="Q300" i="4"/>
  <c r="Q315" i="4"/>
  <c r="Q325" i="4" s="1"/>
  <c r="AC507" i="4"/>
  <c r="E74" i="1"/>
  <c r="P61" i="1"/>
  <c r="P156" i="1" s="1"/>
  <c r="E101" i="1"/>
  <c r="E156" i="1"/>
  <c r="AC428" i="4"/>
  <c r="AD428" i="4" s="1"/>
  <c r="F43" i="1"/>
  <c r="F110" i="1"/>
  <c r="C84" i="12"/>
  <c r="D84" i="12" s="1"/>
  <c r="N177" i="1"/>
  <c r="C173" i="12" s="1"/>
  <c r="D173" i="12" s="1"/>
  <c r="U293" i="1"/>
  <c r="U343" i="1"/>
  <c r="U344" i="1" s="1"/>
  <c r="U345" i="1" s="1"/>
  <c r="S28" i="1"/>
  <c r="O292" i="1"/>
  <c r="P292" i="1"/>
  <c r="P316" i="1" s="1"/>
  <c r="F66" i="13"/>
  <c r="E378" i="1"/>
  <c r="E114" i="1" s="1"/>
  <c r="F135" i="13"/>
  <c r="C37" i="13"/>
  <c r="C59" i="13"/>
  <c r="C127" i="13"/>
  <c r="B109" i="1"/>
  <c r="E285" i="1"/>
  <c r="E253" i="1"/>
  <c r="S110" i="10"/>
  <c r="S115" i="10" s="1"/>
  <c r="W107" i="10"/>
  <c r="W82" i="7"/>
  <c r="L105" i="7"/>
  <c r="L108" i="7" s="1"/>
  <c r="L113" i="7" s="1"/>
  <c r="L118" i="7" s="1"/>
  <c r="C24" i="15"/>
  <c r="T236" i="4"/>
  <c r="T217" i="4"/>
  <c r="P217" i="4"/>
  <c r="Q139" i="4"/>
  <c r="Q157" i="4"/>
  <c r="Q166" i="4" s="1"/>
  <c r="K25" i="1"/>
  <c r="L12" i="13" s="1"/>
  <c r="R22" i="1"/>
  <c r="R25" i="1" s="1"/>
  <c r="S22" i="1"/>
  <c r="S25" i="1" s="1"/>
  <c r="K127" i="1"/>
  <c r="B24" i="15"/>
  <c r="B28" i="15" s="1"/>
  <c r="I43" i="1"/>
  <c r="I110" i="1"/>
  <c r="I313" i="1" s="1"/>
  <c r="I315" i="1" s="1"/>
  <c r="I300" i="1" s="1"/>
  <c r="W494" i="4"/>
  <c r="K54" i="1" s="1"/>
  <c r="J126" i="1"/>
  <c r="J202" i="1"/>
  <c r="J219" i="1" s="1"/>
  <c r="J218" i="1"/>
  <c r="N139" i="13"/>
  <c r="T604" i="4"/>
  <c r="T613" i="4"/>
  <c r="P604" i="4"/>
  <c r="P612" i="4"/>
  <c r="P616" i="4" s="1"/>
  <c r="W571" i="4"/>
  <c r="K62" i="1" s="1"/>
  <c r="W581" i="4"/>
  <c r="W585" i="4" s="1"/>
  <c r="K240" i="1" s="1"/>
  <c r="K243" i="1" s="1"/>
  <c r="N107" i="1"/>
  <c r="C103" i="12" s="1"/>
  <c r="D103" i="12" s="1"/>
  <c r="C374" i="1"/>
  <c r="D122" i="13"/>
  <c r="E50" i="13"/>
  <c r="E38" i="13"/>
  <c r="E42" i="13" s="1"/>
  <c r="E45" i="13" s="1"/>
  <c r="S68" i="1"/>
  <c r="N110" i="7"/>
  <c r="N115" i="7" s="1"/>
  <c r="B309" i="1"/>
  <c r="B397" i="1" s="1"/>
  <c r="B346" i="1"/>
  <c r="L17" i="7"/>
  <c r="W12" i="7"/>
  <c r="W17" i="7" s="1"/>
  <c r="G16" i="8" s="1"/>
  <c r="T51" i="4"/>
  <c r="P312" i="4"/>
  <c r="D275" i="1" s="1"/>
  <c r="N604" i="4"/>
  <c r="N612" i="4"/>
  <c r="N616" i="4" s="1"/>
  <c r="Q68" i="1"/>
  <c r="Q74" i="1" s="1"/>
  <c r="H74" i="1"/>
  <c r="H101" i="1"/>
  <c r="H162" i="1"/>
  <c r="N290" i="1"/>
  <c r="C286" i="12" s="1"/>
  <c r="D286" i="12" s="1"/>
  <c r="G19" i="13"/>
  <c r="G59" i="13"/>
  <c r="G128" i="13"/>
  <c r="G129" i="13" s="1"/>
  <c r="G34" i="13"/>
  <c r="Z177" i="4"/>
  <c r="U262" i="4"/>
  <c r="U271" i="4"/>
  <c r="L101" i="1"/>
  <c r="L100" i="1"/>
  <c r="T262" i="4"/>
  <c r="T271" i="4"/>
  <c r="AF241" i="4"/>
  <c r="V604" i="4"/>
  <c r="V612" i="4"/>
  <c r="V616" i="4" s="1"/>
  <c r="AF582" i="4"/>
  <c r="O101" i="1"/>
  <c r="G104" i="1"/>
  <c r="G109" i="1" s="1"/>
  <c r="S290" i="1"/>
  <c r="D33" i="13"/>
  <c r="D59" i="13"/>
  <c r="D19" i="13"/>
  <c r="D128" i="13"/>
  <c r="J38" i="13"/>
  <c r="J42" i="13" s="1"/>
  <c r="J45" i="13" s="1"/>
  <c r="T285" i="1"/>
  <c r="T291" i="1" s="1"/>
  <c r="T253" i="1"/>
  <c r="H135" i="13"/>
  <c r="H66" i="13"/>
  <c r="G378" i="1"/>
  <c r="G114" i="1" s="1"/>
  <c r="Q26" i="7"/>
  <c r="C220" i="12"/>
  <c r="D220" i="12" s="1"/>
  <c r="N228" i="1"/>
  <c r="C224" i="12" s="1"/>
  <c r="D224" i="12" s="1"/>
  <c r="N144" i="1"/>
  <c r="C140" i="12" s="1"/>
  <c r="D140" i="12" s="1"/>
  <c r="L85" i="7"/>
  <c r="L111" i="7" s="1"/>
  <c r="L117" i="7" s="1"/>
  <c r="U110" i="7"/>
  <c r="U115" i="7" s="1"/>
  <c r="X87" i="4"/>
  <c r="X51" i="4"/>
  <c r="L22" i="1" s="1"/>
  <c r="N54" i="4"/>
  <c r="AF76" i="4"/>
  <c r="N97" i="4"/>
  <c r="P51" i="4"/>
  <c r="R152" i="4"/>
  <c r="AF82" i="4"/>
  <c r="R190" i="1"/>
  <c r="S190" i="1" s="1"/>
  <c r="C16" i="15"/>
  <c r="N190" i="1"/>
  <c r="C186" i="12" s="1"/>
  <c r="D186" i="12" s="1"/>
  <c r="S35" i="1"/>
  <c r="P35" i="1"/>
  <c r="P138" i="1" s="1"/>
  <c r="N35" i="1"/>
  <c r="G138" i="1"/>
  <c r="Q246" i="4"/>
  <c r="Q220" i="4"/>
  <c r="Q231" i="4" s="1"/>
  <c r="V262" i="4"/>
  <c r="V271" i="4"/>
  <c r="V312" i="4"/>
  <c r="J275" i="1" s="1"/>
  <c r="AF370" i="4"/>
  <c r="S262" i="4"/>
  <c r="S271" i="4"/>
  <c r="X300" i="4"/>
  <c r="L96" i="1" s="1"/>
  <c r="X315" i="4"/>
  <c r="X325" i="4" s="1"/>
  <c r="L276" i="1" s="1"/>
  <c r="U350" i="4"/>
  <c r="U365" i="4"/>
  <c r="M89" i="1"/>
  <c r="N15" i="13" s="1"/>
  <c r="N34" i="13" s="1"/>
  <c r="N52" i="13" s="1"/>
  <c r="M175" i="1"/>
  <c r="T300" i="4"/>
  <c r="T494" i="4"/>
  <c r="T521" i="4"/>
  <c r="R604" i="4"/>
  <c r="R613" i="4"/>
  <c r="S612" i="4"/>
  <c r="S616" i="4" s="1"/>
  <c r="S604" i="4"/>
  <c r="N523" i="4"/>
  <c r="N494" i="4"/>
  <c r="Z556" i="4"/>
  <c r="AB556" i="4" s="1"/>
  <c r="B328" i="1"/>
  <c r="X604" i="4"/>
  <c r="L69" i="1" s="1"/>
  <c r="X612" i="4"/>
  <c r="X616" i="4" s="1"/>
  <c r="L247" i="1" s="1"/>
  <c r="R247" i="1" s="1"/>
  <c r="S247" i="1" s="1"/>
  <c r="T424" i="4"/>
  <c r="T408" i="4"/>
  <c r="AC414" i="4"/>
  <c r="L336" i="1"/>
  <c r="L342" i="1" s="1"/>
  <c r="U152" i="4"/>
  <c r="W353" i="4"/>
  <c r="W362" i="4" s="1"/>
  <c r="K257" i="1" s="1"/>
  <c r="W374" i="4"/>
  <c r="K258" i="1" s="1"/>
  <c r="AC353" i="4"/>
  <c r="Z541" i="4"/>
  <c r="E43" i="1"/>
  <c r="E110" i="1"/>
  <c r="E313" i="1" s="1"/>
  <c r="U496" i="4"/>
  <c r="U519" i="4" s="1"/>
  <c r="U544" i="4"/>
  <c r="Q585" i="4"/>
  <c r="S51" i="4"/>
  <c r="N51" i="4"/>
  <c r="M25" i="1"/>
  <c r="N12" i="13" s="1"/>
  <c r="M127" i="1"/>
  <c r="P159" i="4"/>
  <c r="P166" i="4" s="1"/>
  <c r="P139" i="4"/>
  <c r="Y74" i="4"/>
  <c r="M196" i="1" s="1"/>
  <c r="M202" i="1" s="1"/>
  <c r="N139" i="4"/>
  <c r="Q35" i="1"/>
  <c r="J138" i="1"/>
  <c r="O97" i="4"/>
  <c r="O55" i="4"/>
  <c r="O74" i="4" s="1"/>
  <c r="M279" i="1"/>
  <c r="X231" i="4"/>
  <c r="L212" i="1" s="1"/>
  <c r="L217" i="1" s="1"/>
  <c r="B333" i="1"/>
  <c r="P497" i="4"/>
  <c r="P519" i="4" s="1"/>
  <c r="P544" i="4"/>
  <c r="S365" i="4"/>
  <c r="S350" i="4"/>
  <c r="X246" i="4"/>
  <c r="L213" i="1" s="1"/>
  <c r="V300" i="4"/>
  <c r="V315" i="4"/>
  <c r="V325" i="4" s="1"/>
  <c r="V139" i="4"/>
  <c r="X312" i="4"/>
  <c r="L275" i="1" s="1"/>
  <c r="Q28" i="1"/>
  <c r="Q42" i="1" s="1"/>
  <c r="H132" i="1"/>
  <c r="V408" i="4"/>
  <c r="V424" i="4"/>
  <c r="X496" i="4"/>
  <c r="X519" i="4" s="1"/>
  <c r="L231" i="1" s="1"/>
  <c r="X544" i="4"/>
  <c r="L232" i="1" s="1"/>
  <c r="N232" i="1" s="1"/>
  <c r="C228" i="12" s="1"/>
  <c r="D228" i="12" s="1"/>
  <c r="AF242" i="4"/>
  <c r="N22" i="1"/>
  <c r="P408" i="4"/>
  <c r="X571" i="4"/>
  <c r="L62" i="1" s="1"/>
  <c r="X582" i="4"/>
  <c r="X585" i="4" s="1"/>
  <c r="L240" i="1" s="1"/>
  <c r="N350" i="4"/>
  <c r="N365" i="4"/>
  <c r="AF367" i="4"/>
  <c r="W350" i="4"/>
  <c r="K79" i="1" s="1"/>
  <c r="AF522" i="4"/>
  <c r="O312" i="4"/>
  <c r="S300" i="4"/>
  <c r="S317" i="4"/>
  <c r="S325" i="4" s="1"/>
  <c r="U494" i="4"/>
  <c r="Q571" i="4"/>
  <c r="C77" i="12"/>
  <c r="D77" i="12" s="1"/>
  <c r="N171" i="1"/>
  <c r="C167" i="12" s="1"/>
  <c r="D167" i="12" s="1"/>
  <c r="O220" i="1"/>
  <c r="G43" i="1"/>
  <c r="N53" i="1"/>
  <c r="M336" i="1"/>
  <c r="M342" i="1" s="1"/>
  <c r="H218" i="1"/>
  <c r="H193" i="1"/>
  <c r="Q188" i="1"/>
  <c r="H120" i="1"/>
  <c r="R298" i="1"/>
  <c r="N298" i="1"/>
  <c r="O253" i="1"/>
  <c r="C43" i="1"/>
  <c r="C110" i="1"/>
  <c r="J139" i="13"/>
  <c r="U220" i="1"/>
  <c r="C19" i="13"/>
  <c r="I220" i="1"/>
  <c r="I285" i="1"/>
  <c r="I291" i="1" s="1"/>
  <c r="J371" i="1"/>
  <c r="H122" i="13"/>
  <c r="Q85" i="7"/>
  <c r="Q111" i="7" s="1"/>
  <c r="Q117" i="7" s="1"/>
  <c r="I131" i="13"/>
  <c r="P251" i="1"/>
  <c r="P253" i="1" s="1"/>
  <c r="P144" i="1"/>
  <c r="P228" i="1"/>
  <c r="W38" i="9"/>
  <c r="X38" i="9" s="1"/>
  <c r="Z27" i="10"/>
  <c r="AA27" i="10" s="1"/>
  <c r="P110" i="10"/>
  <c r="P115" i="10" s="1"/>
  <c r="F131" i="13"/>
  <c r="AA32" i="10"/>
  <c r="W81" i="7"/>
  <c r="W85" i="7" s="1"/>
  <c r="W102" i="7"/>
  <c r="S85" i="7"/>
  <c r="S111" i="7" s="1"/>
  <c r="S117" i="7" s="1"/>
  <c r="L110" i="7"/>
  <c r="L115" i="7" s="1"/>
  <c r="S21" i="1"/>
  <c r="R21" i="1"/>
  <c r="K42" i="1"/>
  <c r="K126" i="1"/>
  <c r="N21" i="1"/>
  <c r="B22" i="15"/>
  <c r="U54" i="4"/>
  <c r="U74" i="4" s="1"/>
  <c r="U97" i="4"/>
  <c r="L133" i="1"/>
  <c r="L209" i="1"/>
  <c r="M40" i="1"/>
  <c r="N14" i="13" s="1"/>
  <c r="N33" i="13" s="1"/>
  <c r="N51" i="13" s="1"/>
  <c r="M373" i="1" s="1"/>
  <c r="M139" i="1"/>
  <c r="R205" i="1"/>
  <c r="K132" i="1"/>
  <c r="K209" i="1"/>
  <c r="N205" i="1"/>
  <c r="C31" i="15"/>
  <c r="V494" i="4"/>
  <c r="V521" i="4"/>
  <c r="L105" i="1"/>
  <c r="L108" i="1" s="1"/>
  <c r="L121" i="1"/>
  <c r="L18" i="1"/>
  <c r="M250" i="1"/>
  <c r="R80" i="4"/>
  <c r="R51" i="4"/>
  <c r="AF78" i="4"/>
  <c r="M132" i="1"/>
  <c r="M209" i="1"/>
  <c r="U312" i="4"/>
  <c r="P366" i="4"/>
  <c r="P350" i="4"/>
  <c r="U325" i="4"/>
  <c r="X434" i="4"/>
  <c r="L265" i="1" s="1"/>
  <c r="L268" i="1" s="1"/>
  <c r="P315" i="4"/>
  <c r="P325" i="4" s="1"/>
  <c r="P300" i="4"/>
  <c r="T312" i="4"/>
  <c r="L243" i="1"/>
  <c r="Y366" i="4"/>
  <c r="Y350" i="4"/>
  <c r="M79" i="1" s="1"/>
  <c r="N330" i="1"/>
  <c r="O408" i="4"/>
  <c r="O426" i="4"/>
  <c r="AF426" i="4" s="1"/>
  <c r="V350" i="4"/>
  <c r="V365" i="4"/>
  <c r="P421" i="4"/>
  <c r="O604" i="4"/>
  <c r="O612" i="4"/>
  <c r="O616" i="4" s="1"/>
  <c r="R275" i="1"/>
  <c r="K279" i="1"/>
  <c r="K281" i="1"/>
  <c r="C101" i="15"/>
  <c r="R107" i="1"/>
  <c r="R239" i="1"/>
  <c r="N239" i="1"/>
  <c r="C65" i="15"/>
  <c r="N329" i="1"/>
  <c r="U571" i="4"/>
  <c r="U581" i="4"/>
  <c r="U585" i="4" s="1"/>
  <c r="C293" i="1"/>
  <c r="C343" i="1"/>
  <c r="C344" i="1" s="1"/>
  <c r="C345" i="1" s="1"/>
  <c r="E66" i="13"/>
  <c r="D378" i="1"/>
  <c r="D114" i="1" s="1"/>
  <c r="E135" i="13"/>
  <c r="K115" i="10"/>
  <c r="W115" i="10" s="1"/>
  <c r="W110" i="10"/>
  <c r="Z152" i="4"/>
  <c r="U217" i="4"/>
  <c r="U236" i="4"/>
  <c r="N55" i="4"/>
  <c r="R35" i="1"/>
  <c r="B38" i="15"/>
  <c r="R78" i="1"/>
  <c r="K168" i="1"/>
  <c r="B83" i="15"/>
  <c r="N312" i="4"/>
  <c r="N231" i="4"/>
  <c r="U300" i="4"/>
  <c r="S217" i="4"/>
  <c r="R353" i="4"/>
  <c r="R362" i="4" s="1"/>
  <c r="R374" i="4"/>
  <c r="AF530" i="4"/>
  <c r="Q494" i="4"/>
  <c r="K91" i="1"/>
  <c r="N85" i="1"/>
  <c r="S85" i="1"/>
  <c r="S91" i="1" s="1"/>
  <c r="R85" i="1"/>
  <c r="R91" i="1" s="1"/>
  <c r="B90" i="15"/>
  <c r="T571" i="4"/>
  <c r="T581" i="4"/>
  <c r="R61" i="1"/>
  <c r="R74" i="1" s="1"/>
  <c r="K156" i="1"/>
  <c r="B65" i="15"/>
  <c r="B77" i="15" s="1"/>
  <c r="W16" i="10"/>
  <c r="P85" i="10"/>
  <c r="P111" i="10" s="1"/>
  <c r="P117" i="10" s="1"/>
  <c r="E129" i="13"/>
  <c r="Z11" i="10"/>
  <c r="AA11" i="10" s="1"/>
  <c r="AA38" i="10" s="1"/>
  <c r="W16" i="9"/>
  <c r="X16" i="9" s="1"/>
  <c r="U105" i="7"/>
  <c r="U108" i="7" s="1"/>
  <c r="U113" i="7" s="1"/>
  <c r="U118" i="7" s="1"/>
  <c r="Q97" i="4"/>
  <c r="M180" i="1"/>
  <c r="M101" i="1"/>
  <c r="M100" i="1"/>
  <c r="N300" i="4"/>
  <c r="N315" i="4"/>
  <c r="N325" i="4" s="1"/>
  <c r="T97" i="4"/>
  <c r="N434" i="4"/>
  <c r="N411" i="4"/>
  <c r="C46" i="12"/>
  <c r="D46" i="12" s="1"/>
  <c r="X408" i="4"/>
  <c r="L86" i="1" s="1"/>
  <c r="X610" i="4"/>
  <c r="L246" i="1" s="1"/>
  <c r="T362" i="4"/>
  <c r="D336" i="1"/>
  <c r="D342" i="1" s="1"/>
  <c r="M42" i="1"/>
  <c r="M120" i="1"/>
  <c r="R14" i="1"/>
  <c r="R42" i="1" s="1"/>
  <c r="Y139" i="4"/>
  <c r="M15" i="1" s="1"/>
  <c r="R15" i="1" s="1"/>
  <c r="R18" i="1" s="1"/>
  <c r="Y616" i="4"/>
  <c r="M247" i="1" s="1"/>
  <c r="H104" i="1"/>
  <c r="K16" i="13"/>
  <c r="K40" i="13"/>
  <c r="K180" i="1"/>
  <c r="R95" i="1"/>
  <c r="R100" i="1" s="1"/>
  <c r="K101" i="1"/>
  <c r="K100" i="1"/>
  <c r="B101" i="15"/>
  <c r="N247" i="1"/>
  <c r="C243" i="12" s="1"/>
  <c r="D243" i="12" s="1"/>
  <c r="K250" i="1"/>
  <c r="C73" i="15"/>
  <c r="C76" i="15" s="1"/>
  <c r="Q41" i="1"/>
  <c r="Q110" i="1" s="1"/>
  <c r="U434" i="4"/>
  <c r="U411" i="4"/>
  <c r="U421" i="4" s="1"/>
  <c r="M72" i="1"/>
  <c r="M163" i="1"/>
  <c r="M74" i="1"/>
  <c r="G220" i="1"/>
  <c r="G285" i="1"/>
  <c r="G291" i="1" s="1"/>
  <c r="F38" i="13"/>
  <c r="F42" i="13" s="1"/>
  <c r="F45" i="13" s="1"/>
  <c r="F49" i="13"/>
  <c r="I253" i="1"/>
  <c r="I378" i="1"/>
  <c r="I114" i="1" s="1"/>
  <c r="J66" i="13"/>
  <c r="J135" i="13"/>
  <c r="Z18" i="10"/>
  <c r="AA18" i="10" s="1"/>
  <c r="W26" i="9"/>
  <c r="X26" i="9" s="1"/>
  <c r="N85" i="7"/>
  <c r="N111" i="7" s="1"/>
  <c r="N117" i="7" s="1"/>
  <c r="P110" i="1"/>
  <c r="W81" i="10"/>
  <c r="H49" i="13"/>
  <c r="H38" i="13"/>
  <c r="H42" i="13" s="1"/>
  <c r="H45" i="13" s="1"/>
  <c r="O26" i="7"/>
  <c r="K117" i="10"/>
  <c r="W117" i="10" s="1"/>
  <c r="W111" i="10"/>
  <c r="E122" i="13"/>
  <c r="D374" i="1"/>
  <c r="W30" i="7"/>
  <c r="W37" i="7" s="1"/>
  <c r="L37" i="7"/>
  <c r="G132" i="13"/>
  <c r="G143" i="13" s="1"/>
  <c r="G133" i="13"/>
  <c r="W21" i="7"/>
  <c r="N26" i="7"/>
  <c r="U85" i="7"/>
  <c r="U111" i="7" s="1"/>
  <c r="U117" i="7" s="1"/>
  <c r="L42" i="1"/>
  <c r="V152" i="4"/>
  <c r="K18" i="1"/>
  <c r="K121" i="1"/>
  <c r="B16" i="15"/>
  <c r="Q312" i="4"/>
  <c r="R189" i="1"/>
  <c r="S189" i="1" s="1"/>
  <c r="K321" i="1"/>
  <c r="C15" i="15"/>
  <c r="N271" i="4"/>
  <c r="N262" i="4"/>
  <c r="Q408" i="4"/>
  <c r="Q424" i="4"/>
  <c r="F281" i="1"/>
  <c r="F279" i="1"/>
  <c r="F285" i="1" s="1"/>
  <c r="F291" i="1" s="1"/>
  <c r="P74" i="4"/>
  <c r="N408" i="4"/>
  <c r="T325" i="4"/>
  <c r="N412" i="4"/>
  <c r="R494" i="4"/>
  <c r="R521" i="4"/>
  <c r="AF521" i="4" s="1"/>
  <c r="W426" i="4"/>
  <c r="W408" i="4"/>
  <c r="K86" i="1" s="1"/>
  <c r="AC427" i="4"/>
  <c r="AD427" i="4" s="1"/>
  <c r="U155" i="4"/>
  <c r="U166" i="4" s="1"/>
  <c r="U139" i="4"/>
  <c r="P78" i="1"/>
  <c r="F168" i="1"/>
  <c r="F91" i="1"/>
  <c r="F104" i="1" s="1"/>
  <c r="F109" i="1" s="1"/>
  <c r="N69" i="1"/>
  <c r="K72" i="1"/>
  <c r="R69" i="1"/>
  <c r="R72" i="1" s="1"/>
  <c r="S69" i="1"/>
  <c r="S72" i="1" s="1"/>
  <c r="K163" i="1"/>
  <c r="B73" i="15"/>
  <c r="B76" i="15" s="1"/>
  <c r="C67" i="12"/>
  <c r="D67" i="12" s="1"/>
  <c r="N165" i="1"/>
  <c r="C161" i="12" s="1"/>
  <c r="D161" i="12" s="1"/>
  <c r="U408" i="4"/>
  <c r="W55" i="4"/>
  <c r="W74" i="4" s="1"/>
  <c r="K196" i="1" s="1"/>
  <c r="Q65" i="4"/>
  <c r="V54" i="4"/>
  <c r="V74" i="4" s="1"/>
  <c r="V97" i="4"/>
  <c r="O152" i="4"/>
  <c r="N166" i="4"/>
  <c r="M126" i="1"/>
  <c r="R139" i="4"/>
  <c r="R155" i="4"/>
  <c r="R166" i="4" s="1"/>
  <c r="O51" i="4"/>
  <c r="Y300" i="4"/>
  <c r="M96" i="1" s="1"/>
  <c r="Y315" i="4"/>
  <c r="Y325" i="4" s="1"/>
  <c r="M276" i="1" s="1"/>
  <c r="M281" i="1" s="1"/>
  <c r="Y220" i="4"/>
  <c r="Y231" i="4" s="1"/>
  <c r="M212" i="1" s="1"/>
  <c r="Y246" i="4"/>
  <c r="M213" i="1" s="1"/>
  <c r="O354" i="4"/>
  <c r="O362" i="4" s="1"/>
  <c r="O374" i="4"/>
  <c r="X217" i="4"/>
  <c r="L36" i="1" s="1"/>
  <c r="J100" i="1"/>
  <c r="Q95" i="1"/>
  <c r="Q100" i="1" s="1"/>
  <c r="J101" i="1"/>
  <c r="N101" i="1" s="1"/>
  <c r="C97" i="12" s="1"/>
  <c r="D97" i="12" s="1"/>
  <c r="J180" i="1"/>
  <c r="Y421" i="4"/>
  <c r="M264" i="1" s="1"/>
  <c r="P246" i="4"/>
  <c r="K133" i="1"/>
  <c r="N206" i="1"/>
  <c r="C202" i="12" s="1"/>
  <c r="D202" i="12" s="1"/>
  <c r="R206" i="1"/>
  <c r="S206" i="1" s="1"/>
  <c r="C32" i="15"/>
  <c r="AC431" i="4"/>
  <c r="AD431" i="4" s="1"/>
  <c r="X494" i="4"/>
  <c r="L54" i="1" s="1"/>
  <c r="S408" i="4"/>
  <c r="S424" i="4"/>
  <c r="R408" i="4"/>
  <c r="R424" i="4"/>
  <c r="P571" i="4"/>
  <c r="S494" i="4"/>
  <c r="S521" i="4"/>
  <c r="I74" i="1"/>
  <c r="I104" i="1" s="1"/>
  <c r="I109" i="1" s="1"/>
  <c r="I162" i="1"/>
  <c r="I101" i="1"/>
  <c r="AC417" i="4"/>
  <c r="J74" i="1"/>
  <c r="J162" i="1"/>
  <c r="Q186" i="4"/>
  <c r="E333" i="1" s="1"/>
  <c r="E336" i="1" s="1"/>
  <c r="E342" i="1" s="1"/>
  <c r="P585" i="4"/>
  <c r="C20" i="12"/>
  <c r="D20" i="12" s="1"/>
  <c r="N129" i="1"/>
  <c r="C125" i="12" s="1"/>
  <c r="D125" i="12" s="1"/>
  <c r="O544" i="4"/>
  <c r="O496" i="4"/>
  <c r="O519" i="4" s="1"/>
  <c r="L156" i="1"/>
  <c r="O300" i="4"/>
  <c r="O315" i="4"/>
  <c r="O325" i="4" s="1"/>
  <c r="Y496" i="4"/>
  <c r="Y519" i="4" s="1"/>
  <c r="M231" i="1" s="1"/>
  <c r="Y544" i="4"/>
  <c r="M232" i="1" s="1"/>
  <c r="Y585" i="4"/>
  <c r="M240" i="1" s="1"/>
  <c r="M157" i="1" s="1"/>
  <c r="I40" i="13"/>
  <c r="I16" i="13"/>
  <c r="I35" i="13" s="1"/>
  <c r="I53" i="13" s="1"/>
  <c r="O202" i="1"/>
  <c r="Q196" i="1"/>
  <c r="Q202" i="1" s="1"/>
  <c r="O250" i="1"/>
  <c r="S249" i="1"/>
  <c r="N61" i="1"/>
  <c r="C156" i="1"/>
  <c r="R53" i="1"/>
  <c r="M243" i="1"/>
  <c r="N189" i="1"/>
  <c r="C185" i="12" s="1"/>
  <c r="D185" i="12" s="1"/>
  <c r="S224" i="1"/>
  <c r="O75" i="13"/>
  <c r="O139" i="13" s="1"/>
  <c r="S61" i="1"/>
  <c r="O270" i="1"/>
  <c r="O271" i="1" s="1"/>
  <c r="K37" i="13"/>
  <c r="K55" i="13" s="1"/>
  <c r="K127" i="13"/>
  <c r="AA35" i="10"/>
  <c r="J129" i="13"/>
  <c r="W98" i="7"/>
  <c r="W105" i="7" s="1"/>
  <c r="K105" i="7"/>
  <c r="K108" i="7" s="1"/>
  <c r="Q105" i="7"/>
  <c r="Q108" i="7" s="1"/>
  <c r="Q113" i="7" s="1"/>
  <c r="Q118" i="7" s="1"/>
  <c r="S85" i="10"/>
  <c r="S111" i="10" s="1"/>
  <c r="S117" i="10" s="1"/>
  <c r="S227" i="1"/>
  <c r="W110" i="7"/>
  <c r="K115" i="7"/>
  <c r="W115" i="7" s="1"/>
  <c r="P105" i="10"/>
  <c r="P108" i="10" s="1"/>
  <c r="P113" i="10" s="1"/>
  <c r="P118" i="10" s="1"/>
  <c r="I49" i="13"/>
  <c r="AA36" i="10"/>
  <c r="S105" i="7"/>
  <c r="S108" i="7" s="1"/>
  <c r="S113" i="7" s="1"/>
  <c r="S118" i="7" s="1"/>
  <c r="W98" i="10"/>
  <c r="T110" i="10"/>
  <c r="T115" i="10" s="1"/>
  <c r="K108" i="1" l="1"/>
  <c r="S105" i="1"/>
  <c r="S108" i="1" s="1"/>
  <c r="C109" i="1"/>
  <c r="O104" i="1"/>
  <c r="O109" i="1" s="1"/>
  <c r="L250" i="1"/>
  <c r="N246" i="1"/>
  <c r="L162" i="1"/>
  <c r="R246" i="1"/>
  <c r="V374" i="4"/>
  <c r="V353" i="4"/>
  <c r="V362" i="4" s="1"/>
  <c r="C17" i="12"/>
  <c r="D17" i="12" s="1"/>
  <c r="B399" i="1"/>
  <c r="X354" i="4"/>
  <c r="X362" i="4" s="1"/>
  <c r="L257" i="1" s="1"/>
  <c r="X374" i="4"/>
  <c r="L258" i="1" s="1"/>
  <c r="Z325" i="4"/>
  <c r="AE325" i="4" s="1"/>
  <c r="V544" i="4"/>
  <c r="V496" i="4"/>
  <c r="V519" i="4" s="1"/>
  <c r="U374" i="4"/>
  <c r="U353" i="4"/>
  <c r="U362" i="4" s="1"/>
  <c r="S434" i="4"/>
  <c r="S411" i="4"/>
  <c r="S421" i="4" s="1"/>
  <c r="L104" i="1"/>
  <c r="L109" i="1" s="1"/>
  <c r="AF424" i="4"/>
  <c r="T275" i="4"/>
  <c r="T265" i="4"/>
  <c r="T269" i="4" s="1"/>
  <c r="G22" i="8"/>
  <c r="D131" i="13"/>
  <c r="R101" i="1"/>
  <c r="Q101" i="1"/>
  <c r="X37" i="10"/>
  <c r="I20" i="8"/>
  <c r="K181" i="1"/>
  <c r="K99" i="1"/>
  <c r="L40" i="13" s="1"/>
  <c r="N96" i="1"/>
  <c r="R96" i="1"/>
  <c r="R99" i="1" s="1"/>
  <c r="B102" i="15"/>
  <c r="B106" i="15" s="1"/>
  <c r="S96" i="1"/>
  <c r="S99" i="1" s="1"/>
  <c r="M58" i="1"/>
  <c r="M151" i="1"/>
  <c r="M268" i="1"/>
  <c r="M174" i="1"/>
  <c r="Z166" i="4"/>
  <c r="AE166" i="4" s="1"/>
  <c r="B19" i="15"/>
  <c r="B45" i="15" s="1"/>
  <c r="W105" i="10"/>
  <c r="K122" i="13"/>
  <c r="J374" i="1"/>
  <c r="L58" i="1"/>
  <c r="L151" i="1"/>
  <c r="M217" i="1"/>
  <c r="F56" i="13"/>
  <c r="E372" i="1"/>
  <c r="B105" i="15"/>
  <c r="B111" i="15" s="1"/>
  <c r="B117" i="15" s="1"/>
  <c r="B107" i="15"/>
  <c r="S15" i="1"/>
  <c r="S18" i="1" s="1"/>
  <c r="R209" i="1"/>
  <c r="S205" i="1"/>
  <c r="S209" i="1" s="1"/>
  <c r="B44" i="15"/>
  <c r="H219" i="1"/>
  <c r="N333" i="1"/>
  <c r="AF523" i="4"/>
  <c r="N544" i="4"/>
  <c r="N498" i="4"/>
  <c r="N519" i="4" s="1"/>
  <c r="C31" i="12"/>
  <c r="D31" i="12" s="1"/>
  <c r="L180" i="1"/>
  <c r="K118" i="10"/>
  <c r="W118" i="10" s="1"/>
  <c r="I24" i="8" s="1"/>
  <c r="W113" i="10"/>
  <c r="L169" i="1"/>
  <c r="L82" i="1"/>
  <c r="P42" i="1"/>
  <c r="P101" i="1"/>
  <c r="P74" i="1"/>
  <c r="N15" i="1"/>
  <c r="M376" i="1"/>
  <c r="C378" i="1"/>
  <c r="C114" i="1" s="1"/>
  <c r="D135" i="13"/>
  <c r="D66" i="13"/>
  <c r="W101" i="10"/>
  <c r="Q105" i="10"/>
  <c r="Q108" i="10" s="1"/>
  <c r="R232" i="1"/>
  <c r="S232" i="1" s="1"/>
  <c r="H375" i="1"/>
  <c r="M99" i="1"/>
  <c r="N40" i="13" s="1"/>
  <c r="M181" i="1"/>
  <c r="X50" i="9"/>
  <c r="X57" i="9" s="1"/>
  <c r="T434" i="4"/>
  <c r="T411" i="4"/>
  <c r="T421" i="4" s="1"/>
  <c r="V275" i="4"/>
  <c r="V265" i="4"/>
  <c r="V269" i="4" s="1"/>
  <c r="D51" i="13"/>
  <c r="D38" i="13"/>
  <c r="D42" i="13" s="1"/>
  <c r="D45" i="13" s="1"/>
  <c r="R36" i="1"/>
  <c r="R40" i="1" s="1"/>
  <c r="R41" i="1" s="1"/>
  <c r="N36" i="1"/>
  <c r="S36" i="1"/>
  <c r="K139" i="1"/>
  <c r="K40" i="1"/>
  <c r="B39" i="15"/>
  <c r="B43" i="15" s="1"/>
  <c r="L13" i="13"/>
  <c r="L32" i="13" s="1"/>
  <c r="L50" i="13" s="1"/>
  <c r="K371" i="1" s="1"/>
  <c r="G343" i="1"/>
  <c r="G344" i="1" s="1"/>
  <c r="G345" i="1" s="1"/>
  <c r="G293" i="1"/>
  <c r="C81" i="12"/>
  <c r="D81" i="12" s="1"/>
  <c r="N91" i="1"/>
  <c r="C87" i="12" s="1"/>
  <c r="D87" i="12" s="1"/>
  <c r="F132" i="13"/>
  <c r="F143" i="13" s="1"/>
  <c r="C49" i="12"/>
  <c r="D49" i="12" s="1"/>
  <c r="N150" i="1"/>
  <c r="C146" i="12" s="1"/>
  <c r="D146" i="12" s="1"/>
  <c r="V411" i="4"/>
  <c r="V421" i="4" s="1"/>
  <c r="V434" i="4"/>
  <c r="C84" i="15"/>
  <c r="R607" i="4"/>
  <c r="R610" i="4" s="1"/>
  <c r="R616" i="4"/>
  <c r="Z616" i="4" s="1"/>
  <c r="AE616" i="4" s="1"/>
  <c r="N74" i="4"/>
  <c r="T293" i="1"/>
  <c r="T343" i="1"/>
  <c r="T344" i="1" s="1"/>
  <c r="T345" i="1" s="1"/>
  <c r="U275" i="4"/>
  <c r="U265" i="4"/>
  <c r="U269" i="4" s="1"/>
  <c r="D279" i="1"/>
  <c r="D285" i="1" s="1"/>
  <c r="D281" i="1"/>
  <c r="N275" i="1"/>
  <c r="O275" i="1"/>
  <c r="S74" i="1"/>
  <c r="B378" i="1"/>
  <c r="C135" i="13"/>
  <c r="C66" i="13"/>
  <c r="I32" i="13"/>
  <c r="I128" i="13"/>
  <c r="I129" i="13" s="1"/>
  <c r="I19" i="13"/>
  <c r="I59" i="13"/>
  <c r="W26" i="7"/>
  <c r="G18" i="8" s="1"/>
  <c r="P104" i="1"/>
  <c r="P109" i="1" s="1"/>
  <c r="E109" i="1"/>
  <c r="H372" i="1"/>
  <c r="S228" i="1"/>
  <c r="R434" i="4"/>
  <c r="R411" i="4"/>
  <c r="R421" i="4" s="1"/>
  <c r="L40" i="1"/>
  <c r="M14" i="13" s="1"/>
  <c r="M33" i="13" s="1"/>
  <c r="M51" i="13" s="1"/>
  <c r="L373" i="1" s="1"/>
  <c r="L139" i="1"/>
  <c r="K202" i="1"/>
  <c r="C22" i="15"/>
  <c r="C28" i="15" s="1"/>
  <c r="K323" i="1"/>
  <c r="R321" i="1"/>
  <c r="N321" i="1"/>
  <c r="N323" i="1" s="1"/>
  <c r="H92" i="13"/>
  <c r="H94" i="13" s="1"/>
  <c r="H60" i="13"/>
  <c r="H61" i="13"/>
  <c r="H69" i="13" s="1"/>
  <c r="M104" i="1"/>
  <c r="M109" i="1" s="1"/>
  <c r="Z312" i="4"/>
  <c r="U221" i="4"/>
  <c r="U231" i="4" s="1"/>
  <c r="Z231" i="4" s="1"/>
  <c r="U246" i="4"/>
  <c r="C235" i="12"/>
  <c r="D235" i="12" s="1"/>
  <c r="C35" i="15"/>
  <c r="K269" i="1"/>
  <c r="R257" i="1"/>
  <c r="K261" i="1"/>
  <c r="C83" i="15"/>
  <c r="L72" i="1"/>
  <c r="L163" i="1"/>
  <c r="L280" i="1"/>
  <c r="L286" i="1"/>
  <c r="L292" i="1" s="1"/>
  <c r="L316" i="1" s="1"/>
  <c r="L25" i="1"/>
  <c r="M12" i="13" s="1"/>
  <c r="L127" i="1"/>
  <c r="J61" i="13"/>
  <c r="J69" i="13" s="1"/>
  <c r="J60" i="13"/>
  <c r="J92" i="13"/>
  <c r="J94" i="13" s="1"/>
  <c r="E60" i="13"/>
  <c r="E92" i="13"/>
  <c r="E94" i="13" s="1"/>
  <c r="E61" i="13"/>
  <c r="E69" i="13" s="1"/>
  <c r="J220" i="1"/>
  <c r="T246" i="4"/>
  <c r="T221" i="4"/>
  <c r="T231" i="4" s="1"/>
  <c r="AF236" i="4"/>
  <c r="C55" i="13"/>
  <c r="C38" i="13"/>
  <c r="C42" i="13" s="1"/>
  <c r="C45" i="13" s="1"/>
  <c r="H110" i="1"/>
  <c r="H313" i="1" s="1"/>
  <c r="H43" i="1"/>
  <c r="I18" i="8"/>
  <c r="X25" i="10"/>
  <c r="C91" i="12"/>
  <c r="D91" i="12" s="1"/>
  <c r="N100" i="1"/>
  <c r="C96" i="12" s="1"/>
  <c r="D96" i="12" s="1"/>
  <c r="P279" i="1"/>
  <c r="P281" i="1"/>
  <c r="C19" i="15"/>
  <c r="F61" i="13"/>
  <c r="F69" i="13" s="1"/>
  <c r="F60" i="13"/>
  <c r="F92" i="13"/>
  <c r="F94" i="13" s="1"/>
  <c r="Q218" i="1"/>
  <c r="H220" i="1"/>
  <c r="H285" i="1"/>
  <c r="N374" i="4"/>
  <c r="Z374" i="4" s="1"/>
  <c r="AE374" i="4" s="1"/>
  <c r="AF365" i="4"/>
  <c r="N353" i="4"/>
  <c r="N362" i="4" s="1"/>
  <c r="Z186" i="4"/>
  <c r="AB186" i="4" s="1"/>
  <c r="AB630" i="4" s="1"/>
  <c r="J279" i="1"/>
  <c r="J285" i="1" s="1"/>
  <c r="J291" i="1" s="1"/>
  <c r="J281" i="1"/>
  <c r="Q275" i="1"/>
  <c r="G66" i="13"/>
  <c r="F378" i="1"/>
  <c r="F114" i="1" s="1"/>
  <c r="G135" i="13"/>
  <c r="R240" i="1"/>
  <c r="S240" i="1" s="1"/>
  <c r="N240" i="1"/>
  <c r="C236" i="12" s="1"/>
  <c r="D236" i="12" s="1"/>
  <c r="C66" i="15"/>
  <c r="J63" i="13"/>
  <c r="J107" i="13"/>
  <c r="J109" i="13" s="1"/>
  <c r="G137" i="13"/>
  <c r="G141" i="13" s="1"/>
  <c r="C105" i="15"/>
  <c r="L251" i="1"/>
  <c r="L236" i="1"/>
  <c r="L252" i="1" s="1"/>
  <c r="L150" i="1"/>
  <c r="C129" i="13"/>
  <c r="C64" i="12"/>
  <c r="D64" i="12" s="1"/>
  <c r="N74" i="1"/>
  <c r="C70" i="12" s="1"/>
  <c r="D70" i="12" s="1"/>
  <c r="W108" i="7"/>
  <c r="K113" i="7"/>
  <c r="C57" i="12"/>
  <c r="D57" i="12" s="1"/>
  <c r="N156" i="1"/>
  <c r="C152" i="12" s="1"/>
  <c r="D152" i="12" s="1"/>
  <c r="AC65" i="4"/>
  <c r="Q74" i="4"/>
  <c r="Z38" i="10"/>
  <c r="C69" i="15"/>
  <c r="O413" i="4"/>
  <c r="O421" i="4" s="1"/>
  <c r="O434" i="4"/>
  <c r="K104" i="1"/>
  <c r="I132" i="13"/>
  <c r="I143" i="13" s="1"/>
  <c r="K89" i="1"/>
  <c r="L15" i="13" s="1"/>
  <c r="L34" i="13" s="1"/>
  <c r="L52" i="13" s="1"/>
  <c r="N86" i="1"/>
  <c r="R86" i="1"/>
  <c r="R89" i="1" s="1"/>
  <c r="S86" i="1"/>
  <c r="S89" i="1" s="1"/>
  <c r="B91" i="15"/>
  <c r="B94" i="15" s="1"/>
  <c r="B96" i="15" s="1"/>
  <c r="F343" i="1"/>
  <c r="F344" i="1" s="1"/>
  <c r="F345" i="1" s="1"/>
  <c r="F293" i="1"/>
  <c r="G20" i="8"/>
  <c r="W20" i="8" s="1"/>
  <c r="E47" i="8" s="1"/>
  <c r="O47" i="8" s="1"/>
  <c r="E71" i="8" s="1"/>
  <c r="S71" i="8" s="1"/>
  <c r="X38" i="7"/>
  <c r="H56" i="13"/>
  <c r="G372" i="1"/>
  <c r="G377" i="1" s="1"/>
  <c r="AF613" i="4"/>
  <c r="N421" i="4"/>
  <c r="Z421" i="4" s="1"/>
  <c r="T585" i="4"/>
  <c r="Z585" i="4" s="1"/>
  <c r="AE585" i="4" s="1"/>
  <c r="AF581" i="4"/>
  <c r="R243" i="1"/>
  <c r="S239" i="1"/>
  <c r="S243" i="1" s="1"/>
  <c r="R279" i="1"/>
  <c r="R97" i="4"/>
  <c r="Z97" i="4" s="1"/>
  <c r="AE97" i="4" s="1"/>
  <c r="R57" i="4"/>
  <c r="R74" i="4" s="1"/>
  <c r="C201" i="12"/>
  <c r="D201" i="12" s="1"/>
  <c r="N209" i="1"/>
  <c r="C205" i="12" s="1"/>
  <c r="D205" i="12" s="1"/>
  <c r="L65" i="1"/>
  <c r="M17" i="13" s="1"/>
  <c r="L157" i="1"/>
  <c r="S374" i="4"/>
  <c r="S353" i="4"/>
  <c r="S362" i="4" s="1"/>
  <c r="P313" i="1"/>
  <c r="E315" i="1"/>
  <c r="E317" i="1" s="1"/>
  <c r="N328" i="1"/>
  <c r="N336" i="1" s="1"/>
  <c r="N342" i="1" s="1"/>
  <c r="B336" i="1"/>
  <c r="B342" i="1" s="1"/>
  <c r="B344" i="1" s="1"/>
  <c r="B345" i="1" s="1"/>
  <c r="T544" i="4"/>
  <c r="T496" i="4"/>
  <c r="T519" i="4" s="1"/>
  <c r="L99" i="1"/>
  <c r="M40" i="13" s="1"/>
  <c r="L181" i="1"/>
  <c r="AC87" i="4"/>
  <c r="AD87" i="4" s="1"/>
  <c r="AD630" i="4" s="1"/>
  <c r="X64" i="4"/>
  <c r="D371" i="1"/>
  <c r="E56" i="13"/>
  <c r="T616" i="4"/>
  <c r="T607" i="4"/>
  <c r="T610" i="4" s="1"/>
  <c r="R198" i="1"/>
  <c r="S198" i="1" s="1"/>
  <c r="E291" i="1"/>
  <c r="P285" i="1"/>
  <c r="P291" i="1" s="1"/>
  <c r="P293" i="1" s="1"/>
  <c r="P309" i="1" s="1"/>
  <c r="M138" i="1"/>
  <c r="R276" i="1"/>
  <c r="R281" i="1" s="1"/>
  <c r="N276" i="1"/>
  <c r="K280" i="1"/>
  <c r="C102" i="15"/>
  <c r="C107" i="15" s="1"/>
  <c r="S298" i="1"/>
  <c r="J123" i="13"/>
  <c r="N17" i="13"/>
  <c r="S544" i="4"/>
  <c r="S496" i="4"/>
  <c r="S519" i="4" s="1"/>
  <c r="M280" i="1"/>
  <c r="M286" i="1"/>
  <c r="M292" i="1" s="1"/>
  <c r="M316" i="1" s="1"/>
  <c r="P168" i="1"/>
  <c r="P91" i="1"/>
  <c r="M105" i="1"/>
  <c r="M108" i="1" s="1"/>
  <c r="M18" i="1"/>
  <c r="M121" i="1"/>
  <c r="Q300" i="1"/>
  <c r="I302" i="1"/>
  <c r="W246" i="4"/>
  <c r="K213" i="1" s="1"/>
  <c r="AF234" i="4"/>
  <c r="W220" i="4"/>
  <c r="W231" i="4" s="1"/>
  <c r="K212" i="1" s="1"/>
  <c r="AF271" i="4"/>
  <c r="N265" i="4"/>
  <c r="N269" i="4" s="1"/>
  <c r="N275" i="4"/>
  <c r="L89" i="1"/>
  <c r="M15" i="13" s="1"/>
  <c r="M34" i="13" s="1"/>
  <c r="M52" i="13" s="1"/>
  <c r="L175" i="1"/>
  <c r="I293" i="1"/>
  <c r="I343" i="1"/>
  <c r="I344" i="1" s="1"/>
  <c r="I345" i="1" s="1"/>
  <c r="K65" i="1"/>
  <c r="L17" i="13" s="1"/>
  <c r="N62" i="1"/>
  <c r="K157" i="1"/>
  <c r="R62" i="1"/>
  <c r="R65" i="1" s="1"/>
  <c r="S62" i="1"/>
  <c r="S65" i="1" s="1"/>
  <c r="B66" i="15"/>
  <c r="B69" i="15" s="1"/>
  <c r="O316" i="1"/>
  <c r="C184" i="12"/>
  <c r="D184" i="12" s="1"/>
  <c r="N193" i="1"/>
  <c r="C189" i="12" s="1"/>
  <c r="D189" i="12" s="1"/>
  <c r="M251" i="1"/>
  <c r="M236" i="1"/>
  <c r="M252" i="1" s="1"/>
  <c r="C65" i="12"/>
  <c r="D65" i="12" s="1"/>
  <c r="N72" i="1"/>
  <c r="C68" i="12" s="1"/>
  <c r="D68" i="12" s="1"/>
  <c r="N163" i="1"/>
  <c r="C159" i="12" s="1"/>
  <c r="D159" i="12" s="1"/>
  <c r="W413" i="4"/>
  <c r="W421" i="4" s="1"/>
  <c r="K264" i="1" s="1"/>
  <c r="W434" i="4"/>
  <c r="K265" i="1" s="1"/>
  <c r="K286" i="1" s="1"/>
  <c r="I317" i="1"/>
  <c r="K35" i="13"/>
  <c r="K128" i="13"/>
  <c r="K132" i="13" s="1"/>
  <c r="K143" i="13" s="1"/>
  <c r="K19" i="13"/>
  <c r="C309" i="1"/>
  <c r="C397" i="1" s="1"/>
  <c r="C399" i="1" s="1"/>
  <c r="C346" i="1"/>
  <c r="M169" i="1"/>
  <c r="M82" i="1"/>
  <c r="S275" i="4"/>
  <c r="S265" i="4"/>
  <c r="S269" i="4" s="1"/>
  <c r="L138" i="1"/>
  <c r="N42" i="1"/>
  <c r="C38" i="12" s="1"/>
  <c r="D38" i="12" s="1"/>
  <c r="J124" i="13"/>
  <c r="J131" i="13"/>
  <c r="J133" i="13" s="1"/>
  <c r="J137" i="13" s="1"/>
  <c r="J141" i="13" s="1"/>
  <c r="M218" i="1"/>
  <c r="M219" i="1" s="1"/>
  <c r="R496" i="4"/>
  <c r="R519" i="4" s="1"/>
  <c r="R544" i="4"/>
  <c r="Q434" i="4"/>
  <c r="Z434" i="4" s="1"/>
  <c r="AE434" i="4" s="1"/>
  <c r="Q411" i="4"/>
  <c r="Q421" i="4" s="1"/>
  <c r="E131" i="13"/>
  <c r="H109" i="1"/>
  <c r="I16" i="8"/>
  <c r="I22" i="8" s="1"/>
  <c r="I26" i="8" s="1"/>
  <c r="X16" i="10"/>
  <c r="X38" i="10" s="1"/>
  <c r="B95" i="15"/>
  <c r="Y374" i="4"/>
  <c r="M258" i="1" s="1"/>
  <c r="R258" i="1" s="1"/>
  <c r="S258" i="1" s="1"/>
  <c r="Y354" i="4"/>
  <c r="Y362" i="4" s="1"/>
  <c r="M257" i="1" s="1"/>
  <c r="P374" i="4"/>
  <c r="P354" i="4"/>
  <c r="P362" i="4" s="1"/>
  <c r="AF366" i="4"/>
  <c r="M13" i="13"/>
  <c r="M32" i="13" s="1"/>
  <c r="M50" i="13" s="1"/>
  <c r="L371" i="1" s="1"/>
  <c r="H131" i="13"/>
  <c r="Q193" i="1"/>
  <c r="S188" i="1"/>
  <c r="S193" i="1" s="1"/>
  <c r="R79" i="1"/>
  <c r="R82" i="1" s="1"/>
  <c r="R90" i="1" s="1"/>
  <c r="S79" i="1"/>
  <c r="S82" i="1" s="1"/>
  <c r="S90" i="1" s="1"/>
  <c r="K169" i="1"/>
  <c r="K82" i="1"/>
  <c r="N79" i="1"/>
  <c r="B84" i="15"/>
  <c r="B87" i="15" s="1"/>
  <c r="C18" i="12"/>
  <c r="D18" i="12" s="1"/>
  <c r="N127" i="1"/>
  <c r="C123" i="12" s="1"/>
  <c r="D123" i="12" s="1"/>
  <c r="N25" i="1"/>
  <c r="C21" i="12" s="1"/>
  <c r="D21" i="12" s="1"/>
  <c r="L279" i="1"/>
  <c r="L281" i="1"/>
  <c r="AF80" i="4"/>
  <c r="AF630" i="4" s="1"/>
  <c r="N31" i="13"/>
  <c r="D129" i="13"/>
  <c r="S101" i="1"/>
  <c r="G38" i="13"/>
  <c r="G42" i="13" s="1"/>
  <c r="G45" i="13" s="1"/>
  <c r="G52" i="13"/>
  <c r="M150" i="1"/>
  <c r="S54" i="1"/>
  <c r="S58" i="1" s="1"/>
  <c r="K58" i="1"/>
  <c r="R54" i="1"/>
  <c r="R58" i="1" s="1"/>
  <c r="N54" i="1"/>
  <c r="K151" i="1"/>
  <c r="B58" i="15"/>
  <c r="B62" i="15" s="1"/>
  <c r="B78" i="15" s="1"/>
  <c r="L31" i="13"/>
  <c r="U309" i="1"/>
  <c r="U346" i="1"/>
  <c r="J104" i="1"/>
  <c r="J109" i="1" s="1"/>
  <c r="J43" i="1"/>
  <c r="N120" i="1"/>
  <c r="C116" i="12" s="1"/>
  <c r="D116" i="12" s="1"/>
  <c r="C74" i="12"/>
  <c r="D74" i="12" s="1"/>
  <c r="I113" i="1"/>
  <c r="I379" i="1"/>
  <c r="K150" i="1"/>
  <c r="R231" i="1"/>
  <c r="K236" i="1"/>
  <c r="K251" i="1"/>
  <c r="N231" i="1"/>
  <c r="C57" i="15"/>
  <c r="R193" i="1"/>
  <c r="R286" i="1" l="1"/>
  <c r="K292" i="1"/>
  <c r="K316" i="1" s="1"/>
  <c r="N286" i="1"/>
  <c r="J343" i="1"/>
  <c r="J344" i="1" s="1"/>
  <c r="J345" i="1" s="1"/>
  <c r="J293" i="1"/>
  <c r="S275" i="1"/>
  <c r="O279" i="1"/>
  <c r="S279" i="1" s="1"/>
  <c r="O281" i="1"/>
  <c r="S281" i="1" s="1"/>
  <c r="L269" i="1"/>
  <c r="L261" i="1"/>
  <c r="L270" i="1" s="1"/>
  <c r="L168" i="1"/>
  <c r="H315" i="1"/>
  <c r="H317" i="1" s="1"/>
  <c r="Q313" i="1"/>
  <c r="Q315" i="1" s="1"/>
  <c r="Q317" i="1" s="1"/>
  <c r="L73" i="1"/>
  <c r="M18" i="13"/>
  <c r="M37" i="13" s="1"/>
  <c r="M55" i="13" s="1"/>
  <c r="Z275" i="4"/>
  <c r="AE275" i="4" s="1"/>
  <c r="N49" i="13"/>
  <c r="Q104" i="1"/>
  <c r="Q109" i="1" s="1"/>
  <c r="L36" i="13"/>
  <c r="L54" i="13" s="1"/>
  <c r="W113" i="7"/>
  <c r="K118" i="7"/>
  <c r="W118" i="7" s="1"/>
  <c r="G24" i="8" s="1"/>
  <c r="W24" i="8" s="1"/>
  <c r="E51" i="8" s="1"/>
  <c r="O51" i="8" s="1"/>
  <c r="E75" i="8" s="1"/>
  <c r="S75" i="8" s="1"/>
  <c r="L14" i="13"/>
  <c r="L33" i="13" s="1"/>
  <c r="L51" i="13" s="1"/>
  <c r="K373" i="1" s="1"/>
  <c r="S40" i="1"/>
  <c r="E133" i="13"/>
  <c r="E137" i="13" s="1"/>
  <c r="E141" i="13" s="1"/>
  <c r="E132" i="13"/>
  <c r="E143" i="13" s="1"/>
  <c r="O317" i="1"/>
  <c r="M41" i="1"/>
  <c r="N13" i="13"/>
  <c r="M36" i="13"/>
  <c r="M54" i="13" s="1"/>
  <c r="K253" i="1"/>
  <c r="K252" i="1"/>
  <c r="L49" i="13"/>
  <c r="F376" i="1"/>
  <c r="G56" i="13"/>
  <c r="C75" i="12"/>
  <c r="D75" i="12" s="1"/>
  <c r="N82" i="1"/>
  <c r="I309" i="1"/>
  <c r="I346" i="1"/>
  <c r="R213" i="1"/>
  <c r="S213" i="1" s="1"/>
  <c r="N213" i="1"/>
  <c r="C209" i="12" s="1"/>
  <c r="D209" i="12" s="1"/>
  <c r="C39" i="15"/>
  <c r="C45" i="15" s="1"/>
  <c r="AC64" i="4"/>
  <c r="AC630" i="4" s="1"/>
  <c r="X74" i="4"/>
  <c r="L196" i="1" s="1"/>
  <c r="F309" i="1"/>
  <c r="F397" i="1" s="1"/>
  <c r="F399" i="1" s="1"/>
  <c r="F346" i="1"/>
  <c r="I133" i="13"/>
  <c r="I137" i="13" s="1"/>
  <c r="I141" i="13" s="1"/>
  <c r="C44" i="15"/>
  <c r="K270" i="1"/>
  <c r="K271" i="1" s="1"/>
  <c r="R323" i="1"/>
  <c r="S321" i="1"/>
  <c r="S323" i="1" s="1"/>
  <c r="H378" i="1"/>
  <c r="H114" i="1" s="1"/>
  <c r="R114" i="1" s="1"/>
  <c r="I66" i="13"/>
  <c r="I135" i="13"/>
  <c r="T346" i="1"/>
  <c r="T309" i="1"/>
  <c r="G309" i="1"/>
  <c r="G397" i="1" s="1"/>
  <c r="G399" i="1" s="1"/>
  <c r="G346" i="1"/>
  <c r="C32" i="12"/>
  <c r="D32" i="12" s="1"/>
  <c r="N40" i="1"/>
  <c r="C36" i="12" s="1"/>
  <c r="D36" i="12" s="1"/>
  <c r="D132" i="13"/>
  <c r="D143" i="13" s="1"/>
  <c r="D133" i="13"/>
  <c r="D137" i="13" s="1"/>
  <c r="D141" i="13" s="1"/>
  <c r="R236" i="1"/>
  <c r="R251" i="1"/>
  <c r="S231" i="1"/>
  <c r="G92" i="13"/>
  <c r="G94" i="13" s="1"/>
  <c r="G60" i="13"/>
  <c r="G61" i="13"/>
  <c r="G69" i="13" s="1"/>
  <c r="K90" i="1"/>
  <c r="L16" i="13"/>
  <c r="L35" i="13" s="1"/>
  <c r="L53" i="13" s="1"/>
  <c r="K375" i="1" s="1"/>
  <c r="L41" i="13"/>
  <c r="E293" i="1"/>
  <c r="E343" i="1"/>
  <c r="E344" i="1" s="1"/>
  <c r="E345" i="1" s="1"/>
  <c r="Q114" i="1"/>
  <c r="P315" i="1"/>
  <c r="C50" i="12"/>
  <c r="D50" i="12" s="1"/>
  <c r="N58" i="1"/>
  <c r="N151" i="1"/>
  <c r="C147" i="12" s="1"/>
  <c r="D147" i="12" s="1"/>
  <c r="M253" i="1"/>
  <c r="Q281" i="1"/>
  <c r="Q279" i="1"/>
  <c r="Q220" i="1"/>
  <c r="C61" i="13"/>
  <c r="C60" i="13"/>
  <c r="C92" i="13"/>
  <c r="N257" i="1"/>
  <c r="I50" i="13"/>
  <c r="I38" i="13"/>
  <c r="I42" i="13" s="1"/>
  <c r="I45" i="13" s="1"/>
  <c r="Z610" i="4"/>
  <c r="K41" i="1"/>
  <c r="C373" i="1"/>
  <c r="D56" i="13"/>
  <c r="Z519" i="4"/>
  <c r="K129" i="13"/>
  <c r="W16" i="8"/>
  <c r="E43" i="8" s="1"/>
  <c r="C242" i="12"/>
  <c r="D242" i="12" s="1"/>
  <c r="N250" i="1"/>
  <c r="C246" i="12" s="1"/>
  <c r="D246" i="12" s="1"/>
  <c r="P114" i="1"/>
  <c r="R73" i="1"/>
  <c r="R110" i="1" s="1"/>
  <c r="C58" i="12"/>
  <c r="D58" i="12" s="1"/>
  <c r="N65" i="1"/>
  <c r="C61" i="12" s="1"/>
  <c r="D61" i="12" s="1"/>
  <c r="N157" i="1"/>
  <c r="C153" i="12" s="1"/>
  <c r="D153" i="12" s="1"/>
  <c r="Z269" i="4"/>
  <c r="C272" i="12"/>
  <c r="D272" i="12" s="1"/>
  <c r="N280" i="1"/>
  <c r="C276" i="12" s="1"/>
  <c r="D276" i="12" s="1"/>
  <c r="G113" i="1"/>
  <c r="G379" i="1"/>
  <c r="N180" i="1"/>
  <c r="C176" i="12" s="1"/>
  <c r="D176" i="12" s="1"/>
  <c r="C122" i="13"/>
  <c r="C56" i="13"/>
  <c r="C123" i="13"/>
  <c r="B374" i="1"/>
  <c r="E68" i="13"/>
  <c r="E67" i="13"/>
  <c r="D291" i="1"/>
  <c r="O285" i="1"/>
  <c r="N258" i="1"/>
  <c r="C254" i="12" s="1"/>
  <c r="D254" i="12" s="1"/>
  <c r="F133" i="13"/>
  <c r="F137" i="13" s="1"/>
  <c r="F141" i="13" s="1"/>
  <c r="L90" i="1"/>
  <c r="M16" i="13"/>
  <c r="M35" i="13" s="1"/>
  <c r="M53" i="13" s="1"/>
  <c r="L375" i="1" s="1"/>
  <c r="M41" i="13"/>
  <c r="Z544" i="4"/>
  <c r="AE544" i="4" s="1"/>
  <c r="K131" i="13"/>
  <c r="K133" i="13" s="1"/>
  <c r="K137" i="13" s="1"/>
  <c r="K141" i="13" s="1"/>
  <c r="N105" i="1"/>
  <c r="M31" i="13"/>
  <c r="M128" i="13"/>
  <c r="M132" i="13" s="1"/>
  <c r="M143" i="13" s="1"/>
  <c r="R250" i="1"/>
  <c r="S246" i="1"/>
  <c r="S250" i="1" s="1"/>
  <c r="H291" i="1"/>
  <c r="Q285" i="1"/>
  <c r="Q291" i="1" s="1"/>
  <c r="Q293" i="1" s="1"/>
  <c r="D61" i="13"/>
  <c r="D69" i="13" s="1"/>
  <c r="D60" i="13"/>
  <c r="D92" i="13"/>
  <c r="D94" i="13" s="1"/>
  <c r="W22" i="8"/>
  <c r="C62" i="15"/>
  <c r="C77" i="15"/>
  <c r="L128" i="13"/>
  <c r="L132" i="13" s="1"/>
  <c r="L143" i="13" s="1"/>
  <c r="K73" i="1"/>
  <c r="L18" i="13"/>
  <c r="L37" i="13" s="1"/>
  <c r="L55" i="13" s="1"/>
  <c r="M90" i="1"/>
  <c r="N16" i="13"/>
  <c r="N35" i="13" s="1"/>
  <c r="N53" i="13" s="1"/>
  <c r="N41" i="13"/>
  <c r="C82" i="12"/>
  <c r="D82" i="12" s="1"/>
  <c r="N175" i="1"/>
  <c r="C171" i="12" s="1"/>
  <c r="D171" i="12" s="1"/>
  <c r="N89" i="1"/>
  <c r="C85" i="12" s="1"/>
  <c r="D85" i="12" s="1"/>
  <c r="C227" i="12"/>
  <c r="D227" i="12" s="1"/>
  <c r="N236" i="1"/>
  <c r="C232" i="12" s="1"/>
  <c r="D232" i="12" s="1"/>
  <c r="N251" i="1"/>
  <c r="D377" i="1"/>
  <c r="F68" i="13"/>
  <c r="F67" i="13"/>
  <c r="F82" i="13" s="1"/>
  <c r="J68" i="13"/>
  <c r="J67" i="13"/>
  <c r="N243" i="1"/>
  <c r="C239" i="12" s="1"/>
  <c r="D239" i="12" s="1"/>
  <c r="Q113" i="10"/>
  <c r="Q118" i="10" s="1"/>
  <c r="W108" i="10"/>
  <c r="E377" i="1"/>
  <c r="B112" i="15"/>
  <c r="B118" i="15" s="1"/>
  <c r="O114" i="1"/>
  <c r="S104" i="1"/>
  <c r="S109" i="1" s="1"/>
  <c r="R261" i="1"/>
  <c r="S257" i="1"/>
  <c r="Z74" i="4"/>
  <c r="C92" i="12"/>
  <c r="D92" i="12" s="1"/>
  <c r="N99" i="1"/>
  <c r="C95" i="12" s="1"/>
  <c r="D95" i="12" s="1"/>
  <c r="N181" i="1"/>
  <c r="C177" i="12" s="1"/>
  <c r="D177" i="12" s="1"/>
  <c r="L41" i="1"/>
  <c r="L376" i="1"/>
  <c r="C106" i="15"/>
  <c r="R104" i="1"/>
  <c r="R109" i="1" s="1"/>
  <c r="K109" i="1"/>
  <c r="C271" i="12"/>
  <c r="D271" i="12" s="1"/>
  <c r="N279" i="1"/>
  <c r="C275" i="12" s="1"/>
  <c r="D275" i="12" s="1"/>
  <c r="N281" i="1"/>
  <c r="C277" i="12" s="1"/>
  <c r="D277" i="12" s="1"/>
  <c r="K53" i="13"/>
  <c r="K38" i="13"/>
  <c r="K42" i="13" s="1"/>
  <c r="K45" i="13" s="1"/>
  <c r="M220" i="1"/>
  <c r="R265" i="1"/>
  <c r="S265" i="1" s="1"/>
  <c r="N265" i="1"/>
  <c r="C261" i="12" s="1"/>
  <c r="D261" i="12" s="1"/>
  <c r="C91" i="15"/>
  <c r="E63" i="13"/>
  <c r="E107" i="13"/>
  <c r="E109" i="13" s="1"/>
  <c r="E123" i="13"/>
  <c r="E124" i="13" s="1"/>
  <c r="H107" i="13"/>
  <c r="H109" i="13" s="1"/>
  <c r="H63" i="13"/>
  <c r="H70" i="13" s="1"/>
  <c r="H81" i="13" s="1"/>
  <c r="H123" i="13"/>
  <c r="H124" i="13" s="1"/>
  <c r="H68" i="13"/>
  <c r="H67" i="13"/>
  <c r="M73" i="1"/>
  <c r="N18" i="13"/>
  <c r="N37" i="13" s="1"/>
  <c r="N55" i="13" s="1"/>
  <c r="N104" i="1"/>
  <c r="S73" i="1"/>
  <c r="M269" i="1"/>
  <c r="M261" i="1"/>
  <c r="M168" i="1"/>
  <c r="N264" i="1"/>
  <c r="K268" i="1"/>
  <c r="R264" i="1"/>
  <c r="R269" i="1" s="1"/>
  <c r="C90" i="15"/>
  <c r="C94" i="15" s="1"/>
  <c r="K174" i="1"/>
  <c r="K217" i="1"/>
  <c r="K219" i="1" s="1"/>
  <c r="R212" i="1"/>
  <c r="N212" i="1"/>
  <c r="C38" i="15"/>
  <c r="K138" i="1"/>
  <c r="K218" i="1"/>
  <c r="R280" i="1"/>
  <c r="S280" i="1" s="1"/>
  <c r="S276" i="1"/>
  <c r="K175" i="1"/>
  <c r="L253" i="1"/>
  <c r="H132" i="13"/>
  <c r="H143" i="13" s="1"/>
  <c r="H133" i="13"/>
  <c r="H137" i="13" s="1"/>
  <c r="H141" i="13" s="1"/>
  <c r="N36" i="13"/>
  <c r="N54" i="13" s="1"/>
  <c r="N127" i="13"/>
  <c r="K376" i="1"/>
  <c r="N162" i="1"/>
  <c r="C158" i="12" s="1"/>
  <c r="D158" i="12" s="1"/>
  <c r="Z362" i="4"/>
  <c r="Z246" i="4"/>
  <c r="AE246" i="4" s="1"/>
  <c r="AE630" i="4" s="1"/>
  <c r="AE632" i="4" s="1"/>
  <c r="C87" i="15"/>
  <c r="W18" i="8"/>
  <c r="E45" i="8" s="1"/>
  <c r="O45" i="8" s="1"/>
  <c r="E69" i="8" s="1"/>
  <c r="S69" i="8" s="1"/>
  <c r="B114" i="1"/>
  <c r="C11" i="12"/>
  <c r="D11" i="12" s="1"/>
  <c r="N18" i="1"/>
  <c r="N121" i="1"/>
  <c r="C117" i="12" s="1"/>
  <c r="D117" i="12" s="1"/>
  <c r="Q219" i="1"/>
  <c r="F63" i="13"/>
  <c r="F107" i="13"/>
  <c r="F109" i="13" s="1"/>
  <c r="F123" i="13"/>
  <c r="F124" i="13" s="1"/>
  <c r="B119" i="15"/>
  <c r="R105" i="1"/>
  <c r="R108" i="1" s="1"/>
  <c r="H83" i="13" l="1"/>
  <c r="H87" i="13" s="1"/>
  <c r="G63" i="13"/>
  <c r="G70" i="13" s="1"/>
  <c r="G81" i="13" s="1"/>
  <c r="G83" i="13" s="1"/>
  <c r="G87" i="13" s="1"/>
  <c r="G107" i="13"/>
  <c r="G109" i="13" s="1"/>
  <c r="H343" i="1"/>
  <c r="H344" i="1" s="1"/>
  <c r="H345" i="1" s="1"/>
  <c r="H293" i="1"/>
  <c r="N32" i="13"/>
  <c r="N19" i="13"/>
  <c r="N128" i="13"/>
  <c r="N132" i="13" s="1"/>
  <c r="N143" i="13" s="1"/>
  <c r="N59" i="13"/>
  <c r="S261" i="1"/>
  <c r="C107" i="13"/>
  <c r="C63" i="13"/>
  <c r="C247" i="12"/>
  <c r="D247" i="12" s="1"/>
  <c r="N253" i="1"/>
  <c r="E49" i="8"/>
  <c r="O43" i="8"/>
  <c r="E67" i="8" s="1"/>
  <c r="H371" i="1"/>
  <c r="I56" i="13"/>
  <c r="N139" i="1"/>
  <c r="C135" i="12" s="1"/>
  <c r="D135" i="12" s="1"/>
  <c r="L38" i="13"/>
  <c r="L42" i="13" s="1"/>
  <c r="L45" i="13" s="1"/>
  <c r="K374" i="1"/>
  <c r="N374" i="1" s="1"/>
  <c r="L122" i="13"/>
  <c r="C282" i="12"/>
  <c r="D282" i="12" s="1"/>
  <c r="N292" i="1"/>
  <c r="M285" i="1"/>
  <c r="M291" i="1" s="1"/>
  <c r="M38" i="13"/>
  <c r="M42" i="13" s="1"/>
  <c r="M45" i="13" s="1"/>
  <c r="M49" i="13"/>
  <c r="L374" i="1"/>
  <c r="M122" i="13"/>
  <c r="J346" i="1"/>
  <c r="B377" i="1"/>
  <c r="K43" i="1"/>
  <c r="K110" i="1"/>
  <c r="K313" i="1" s="1"/>
  <c r="S41" i="1"/>
  <c r="S110" i="1" s="1"/>
  <c r="C54" i="12"/>
  <c r="D54" i="12" s="1"/>
  <c r="N73" i="1"/>
  <c r="C69" i="12" s="1"/>
  <c r="D69" i="12" s="1"/>
  <c r="C46" i="15"/>
  <c r="G123" i="13"/>
  <c r="G124" i="13" s="1"/>
  <c r="Z630" i="4"/>
  <c r="Z631" i="4" s="1"/>
  <c r="N122" i="13"/>
  <c r="M374" i="1"/>
  <c r="I60" i="13"/>
  <c r="I92" i="13"/>
  <c r="I94" i="13" s="1"/>
  <c r="I61" i="13"/>
  <c r="I69" i="13" s="1"/>
  <c r="K372" i="1"/>
  <c r="L56" i="13"/>
  <c r="W26" i="8"/>
  <c r="C43" i="15"/>
  <c r="C260" i="12"/>
  <c r="D260" i="12" s="1"/>
  <c r="N268" i="1"/>
  <c r="C264" i="12" s="1"/>
  <c r="D264" i="12" s="1"/>
  <c r="N174" i="1"/>
  <c r="C170" i="12" s="1"/>
  <c r="D170" i="12" s="1"/>
  <c r="H82" i="13"/>
  <c r="M59" i="13"/>
  <c r="D293" i="1"/>
  <c r="D343" i="1"/>
  <c r="D344" i="1" s="1"/>
  <c r="D345" i="1" s="1"/>
  <c r="C253" i="12"/>
  <c r="D253" i="12" s="1"/>
  <c r="N261" i="1"/>
  <c r="N269" i="1"/>
  <c r="N168" i="1"/>
  <c r="C164" i="12" s="1"/>
  <c r="D164" i="12" s="1"/>
  <c r="P317" i="1"/>
  <c r="G68" i="13"/>
  <c r="G67" i="13"/>
  <c r="G82" i="13" s="1"/>
  <c r="C78" i="12"/>
  <c r="D78" i="12" s="1"/>
  <c r="N90" i="1"/>
  <c r="C86" i="12" s="1"/>
  <c r="D86" i="12" s="1"/>
  <c r="R252" i="1"/>
  <c r="S252" i="1" s="1"/>
  <c r="N252" i="1"/>
  <c r="C248" i="12" s="1"/>
  <c r="D248" i="12" s="1"/>
  <c r="L127" i="13"/>
  <c r="N373" i="1"/>
  <c r="C377" i="1"/>
  <c r="C68" i="13"/>
  <c r="C67" i="13"/>
  <c r="E346" i="1"/>
  <c r="E309" i="1"/>
  <c r="E397" i="1" s="1"/>
  <c r="E399" i="1" s="1"/>
  <c r="C79" i="15"/>
  <c r="C69" i="13"/>
  <c r="C100" i="12"/>
  <c r="D100" i="12" s="1"/>
  <c r="N109" i="1"/>
  <c r="C105" i="12" s="1"/>
  <c r="D105" i="12" s="1"/>
  <c r="E113" i="1"/>
  <c r="E379" i="1"/>
  <c r="C78" i="15"/>
  <c r="N376" i="1"/>
  <c r="F377" i="1"/>
  <c r="M43" i="1"/>
  <c r="M110" i="1"/>
  <c r="M313" i="1" s="1"/>
  <c r="M315" i="1" s="1"/>
  <c r="K220" i="1"/>
  <c r="K285" i="1"/>
  <c r="N218" i="1"/>
  <c r="R268" i="1"/>
  <c r="R270" i="1" s="1"/>
  <c r="R271" i="1" s="1"/>
  <c r="S264" i="1"/>
  <c r="S268" i="1" s="1"/>
  <c r="C112" i="15"/>
  <c r="C118" i="15" s="1"/>
  <c r="G26" i="8"/>
  <c r="E70" i="13"/>
  <c r="E81" i="13" s="1"/>
  <c r="M375" i="1"/>
  <c r="O291" i="1"/>
  <c r="C124" i="13"/>
  <c r="C131" i="13"/>
  <c r="C14" i="12"/>
  <c r="D14" i="12" s="1"/>
  <c r="N41" i="1"/>
  <c r="L59" i="13"/>
  <c r="C208" i="12"/>
  <c r="D208" i="12" s="1"/>
  <c r="N217" i="1"/>
  <c r="C213" i="12" s="1"/>
  <c r="D213" i="12" s="1"/>
  <c r="N138" i="1"/>
  <c r="C134" i="12" s="1"/>
  <c r="D134" i="12" s="1"/>
  <c r="L43" i="1"/>
  <c r="L110" i="1"/>
  <c r="L313" i="1" s="1"/>
  <c r="L315" i="1" s="1"/>
  <c r="J82" i="13"/>
  <c r="D68" i="13"/>
  <c r="D67" i="13"/>
  <c r="D82" i="13" s="1"/>
  <c r="M19" i="13"/>
  <c r="J70" i="13"/>
  <c r="J81" i="13" s="1"/>
  <c r="J83" i="13" s="1"/>
  <c r="J87" i="13" s="1"/>
  <c r="L202" i="1"/>
  <c r="L219" i="1" s="1"/>
  <c r="R219" i="1" s="1"/>
  <c r="S219" i="1" s="1"/>
  <c r="L126" i="1"/>
  <c r="L218" i="1"/>
  <c r="N196" i="1"/>
  <c r="R196" i="1"/>
  <c r="N169" i="1"/>
  <c r="C165" i="12" s="1"/>
  <c r="D165" i="12" s="1"/>
  <c r="R292" i="1"/>
  <c r="S286" i="1"/>
  <c r="C101" i="12"/>
  <c r="D101" i="12" s="1"/>
  <c r="N108" i="1"/>
  <c r="C104" i="12" s="1"/>
  <c r="D104" i="12" s="1"/>
  <c r="L271" i="1"/>
  <c r="F70" i="13"/>
  <c r="F81" i="13" s="1"/>
  <c r="F83" i="13" s="1"/>
  <c r="F87" i="13" s="1"/>
  <c r="N129" i="13"/>
  <c r="C95" i="15"/>
  <c r="K61" i="13"/>
  <c r="K69" i="13" s="1"/>
  <c r="K60" i="13"/>
  <c r="K92" i="13"/>
  <c r="K94" i="13" s="1"/>
  <c r="D113" i="1"/>
  <c r="D379" i="1"/>
  <c r="J375" i="1"/>
  <c r="K56" i="13"/>
  <c r="R217" i="1"/>
  <c r="S212" i="1"/>
  <c r="S217" i="1" s="1"/>
  <c r="M270" i="1"/>
  <c r="M271" i="1" s="1"/>
  <c r="E82" i="13"/>
  <c r="D107" i="13"/>
  <c r="D109" i="13" s="1"/>
  <c r="D63" i="13"/>
  <c r="D70" i="13" s="1"/>
  <c r="D81" i="13" s="1"/>
  <c r="D83" i="13" s="1"/>
  <c r="D87" i="13" s="1"/>
  <c r="D123" i="13"/>
  <c r="D124" i="13" s="1"/>
  <c r="C94" i="13"/>
  <c r="S236" i="1"/>
  <c r="S251" i="1"/>
  <c r="M127" i="13"/>
  <c r="M129" i="13" s="1"/>
  <c r="L19" i="13"/>
  <c r="M372" i="1"/>
  <c r="R374" i="1" l="1"/>
  <c r="Q374" i="1"/>
  <c r="K68" i="13"/>
  <c r="K67" i="13"/>
  <c r="K82" i="13" s="1"/>
  <c r="J299" i="1" s="1"/>
  <c r="C265" i="12"/>
  <c r="D265" i="12" s="1"/>
  <c r="N271" i="1"/>
  <c r="S269" i="1"/>
  <c r="R313" i="1"/>
  <c r="K315" i="1"/>
  <c r="N313" i="1"/>
  <c r="N315" i="1" s="1"/>
  <c r="C37" i="12"/>
  <c r="D37" i="12" s="1"/>
  <c r="N110" i="1"/>
  <c r="C106" i="12" s="1"/>
  <c r="D106" i="12" s="1"/>
  <c r="N43" i="1"/>
  <c r="C192" i="12"/>
  <c r="D192" i="12" s="1"/>
  <c r="N202" i="1"/>
  <c r="C198" i="12" s="1"/>
  <c r="D198" i="12" s="1"/>
  <c r="N126" i="1"/>
  <c r="C122" i="12" s="1"/>
  <c r="D122" i="12" s="1"/>
  <c r="K291" i="1"/>
  <c r="R285" i="1"/>
  <c r="N285" i="1"/>
  <c r="D309" i="1"/>
  <c r="D397" i="1" s="1"/>
  <c r="D346" i="1"/>
  <c r="L63" i="13"/>
  <c r="L123" i="13"/>
  <c r="B113" i="1"/>
  <c r="B379" i="1"/>
  <c r="M60" i="13"/>
  <c r="M92" i="13"/>
  <c r="M94" i="13" s="1"/>
  <c r="M61" i="13"/>
  <c r="M69" i="13" s="1"/>
  <c r="N219" i="1"/>
  <c r="C215" i="12" s="1"/>
  <c r="D215" i="12" s="1"/>
  <c r="I68" i="13"/>
  <c r="I67" i="13"/>
  <c r="I82" i="13" s="1"/>
  <c r="R316" i="1"/>
  <c r="S292" i="1"/>
  <c r="C113" i="1"/>
  <c r="C379" i="1"/>
  <c r="C257" i="12"/>
  <c r="D257" i="12" s="1"/>
  <c r="N270" i="1"/>
  <c r="C266" i="12" s="1"/>
  <c r="D266" i="12" s="1"/>
  <c r="L124" i="13"/>
  <c r="L131" i="13"/>
  <c r="L133" i="13" s="1"/>
  <c r="L137" i="13" s="1"/>
  <c r="L141" i="13" s="1"/>
  <c r="C249" i="12"/>
  <c r="D249" i="12" s="1"/>
  <c r="X18" i="8"/>
  <c r="R253" i="1"/>
  <c r="R202" i="1"/>
  <c r="S196" i="1"/>
  <c r="S202" i="1" s="1"/>
  <c r="C214" i="12"/>
  <c r="D214" i="12" s="1"/>
  <c r="N220" i="1"/>
  <c r="M56" i="13"/>
  <c r="L372" i="1"/>
  <c r="L377" i="1" s="1"/>
  <c r="O128" i="13"/>
  <c r="P128" i="13" s="1"/>
  <c r="S253" i="1"/>
  <c r="L285" i="1"/>
  <c r="L291" i="1" s="1"/>
  <c r="L220" i="1"/>
  <c r="L300" i="1"/>
  <c r="L317" i="1"/>
  <c r="O122" i="13"/>
  <c r="E83" i="13"/>
  <c r="E87" i="13" s="1"/>
  <c r="R220" i="1"/>
  <c r="S220" i="1" s="1"/>
  <c r="L378" i="1"/>
  <c r="L114" i="1" s="1"/>
  <c r="M135" i="13"/>
  <c r="M66" i="13"/>
  <c r="K377" i="1"/>
  <c r="C111" i="15"/>
  <c r="C117" i="15" s="1"/>
  <c r="C119" i="15" s="1"/>
  <c r="M293" i="1"/>
  <c r="M343" i="1"/>
  <c r="M344" i="1" s="1"/>
  <c r="I63" i="13"/>
  <c r="I70" i="13" s="1"/>
  <c r="I81" i="13" s="1"/>
  <c r="I83" i="13" s="1"/>
  <c r="I87" i="13" s="1"/>
  <c r="I107" i="13"/>
  <c r="I109" i="13" s="1"/>
  <c r="I123" i="13"/>
  <c r="I124" i="13" s="1"/>
  <c r="C70" i="13"/>
  <c r="N50" i="13"/>
  <c r="N38" i="13"/>
  <c r="N42" i="13" s="1"/>
  <c r="N45" i="13" s="1"/>
  <c r="O293" i="1"/>
  <c r="K107" i="13"/>
  <c r="K109" i="13" s="1"/>
  <c r="K63" i="13"/>
  <c r="F113" i="1"/>
  <c r="F379" i="1"/>
  <c r="K123" i="13"/>
  <c r="K124" i="13" s="1"/>
  <c r="Q376" i="1"/>
  <c r="R376" i="1"/>
  <c r="L61" i="13"/>
  <c r="L69" i="13" s="1"/>
  <c r="L60" i="13"/>
  <c r="L107" i="13" s="1"/>
  <c r="L92" i="13"/>
  <c r="C96" i="15"/>
  <c r="C97" i="15" s="1"/>
  <c r="O113" i="1"/>
  <c r="C132" i="13"/>
  <c r="C133" i="13" s="1"/>
  <c r="C137" i="13" s="1"/>
  <c r="C141" i="13" s="1"/>
  <c r="R218" i="1"/>
  <c r="S218" i="1" s="1"/>
  <c r="P113" i="1"/>
  <c r="C82" i="13"/>
  <c r="L129" i="13"/>
  <c r="O127" i="13"/>
  <c r="H377" i="1"/>
  <c r="H309" i="1"/>
  <c r="H346" i="1"/>
  <c r="M131" i="13"/>
  <c r="M133" i="13" s="1"/>
  <c r="M137" i="13" s="1"/>
  <c r="M141" i="13" s="1"/>
  <c r="O49" i="8"/>
  <c r="E53" i="8"/>
  <c r="O53" i="8" s="1"/>
  <c r="K378" i="1"/>
  <c r="L135" i="13"/>
  <c r="L66" i="13"/>
  <c r="O59" i="13"/>
  <c r="Q373" i="1"/>
  <c r="R373" i="1"/>
  <c r="N131" i="13"/>
  <c r="N133" i="13" s="1"/>
  <c r="N137" i="13" s="1"/>
  <c r="N141" i="13" s="1"/>
  <c r="N66" i="13"/>
  <c r="M378" i="1"/>
  <c r="M114" i="1" s="1"/>
  <c r="N135" i="13"/>
  <c r="J377" i="1"/>
  <c r="N375" i="1"/>
  <c r="M300" i="1"/>
  <c r="M317" i="1"/>
  <c r="C288" i="12"/>
  <c r="D288" i="12" s="1"/>
  <c r="N316" i="1"/>
  <c r="S67" i="8"/>
  <c r="E73" i="8"/>
  <c r="C109" i="13"/>
  <c r="L109" i="13" l="1"/>
  <c r="O131" i="13"/>
  <c r="O309" i="1"/>
  <c r="H113" i="1"/>
  <c r="R113" i="1" s="1"/>
  <c r="H379" i="1"/>
  <c r="M345" i="1"/>
  <c r="M68" i="13"/>
  <c r="M67" i="13"/>
  <c r="M82" i="13" s="1"/>
  <c r="L299" i="1" s="1"/>
  <c r="D399" i="1"/>
  <c r="N397" i="1"/>
  <c r="N401" i="1" s="1"/>
  <c r="S270" i="1"/>
  <c r="S271" i="1" s="1"/>
  <c r="N61" i="13"/>
  <c r="N92" i="13"/>
  <c r="N94" i="13" s="1"/>
  <c r="N60" i="13"/>
  <c r="P122" i="13"/>
  <c r="R291" i="1"/>
  <c r="S285" i="1"/>
  <c r="J113" i="1"/>
  <c r="J379" i="1"/>
  <c r="C216" i="12"/>
  <c r="D216" i="12" s="1"/>
  <c r="X16" i="8"/>
  <c r="K293" i="1"/>
  <c r="K343" i="1"/>
  <c r="K344" i="1" s="1"/>
  <c r="K345" i="1" s="1"/>
  <c r="K300" i="1"/>
  <c r="K317" i="1"/>
  <c r="O66" i="13"/>
  <c r="O45" i="13"/>
  <c r="Q113" i="1"/>
  <c r="C81" i="13"/>
  <c r="N372" i="1"/>
  <c r="O60" i="13"/>
  <c r="R315" i="1"/>
  <c r="S315" i="1" s="1"/>
  <c r="S313" i="1"/>
  <c r="C143" i="13"/>
  <c r="O132" i="13"/>
  <c r="C267" i="12"/>
  <c r="D267" i="12" s="1"/>
  <c r="X20" i="8"/>
  <c r="Q375" i="1"/>
  <c r="R375" i="1"/>
  <c r="M63" i="13"/>
  <c r="M107" i="13"/>
  <c r="M109" i="13" s="1"/>
  <c r="M123" i="13"/>
  <c r="N317" i="1"/>
  <c r="K113" i="1"/>
  <c r="K379" i="1"/>
  <c r="Q299" i="1"/>
  <c r="J302" i="1"/>
  <c r="J309" i="1" s="1"/>
  <c r="L94" i="13"/>
  <c r="O94" i="13" s="1"/>
  <c r="O92" i="13"/>
  <c r="K70" i="13"/>
  <c r="K81" i="13" s="1"/>
  <c r="K83" i="13" s="1"/>
  <c r="K87" i="13" s="1"/>
  <c r="S73" i="8"/>
  <c r="E77" i="8"/>
  <c r="S77" i="8" s="1"/>
  <c r="P127" i="13"/>
  <c r="P129" i="13" s="1"/>
  <c r="O129" i="13"/>
  <c r="M346" i="1"/>
  <c r="L113" i="1"/>
  <c r="L379" i="1"/>
  <c r="R317" i="1"/>
  <c r="S317" i="1" s="1"/>
  <c r="S316" i="1"/>
  <c r="C281" i="12"/>
  <c r="D281" i="12" s="1"/>
  <c r="N291" i="1"/>
  <c r="M371" i="1"/>
  <c r="N56" i="13"/>
  <c r="K114" i="1"/>
  <c r="C133" i="15"/>
  <c r="N378" i="1"/>
  <c r="O56" i="13"/>
  <c r="L68" i="13"/>
  <c r="L67" i="13"/>
  <c r="L82" i="13" s="1"/>
  <c r="K299" i="1" s="1"/>
  <c r="L293" i="1"/>
  <c r="L343" i="1"/>
  <c r="L344" i="1" s="1"/>
  <c r="L345" i="1" s="1"/>
  <c r="L70" i="13"/>
  <c r="L81" i="13" s="1"/>
  <c r="N63" i="13" l="1"/>
  <c r="N107" i="13"/>
  <c r="N109" i="13" s="1"/>
  <c r="O109" i="13" s="1"/>
  <c r="N123" i="13"/>
  <c r="N124" i="13" s="1"/>
  <c r="P132" i="13"/>
  <c r="O143" i="13"/>
  <c r="C125" i="15"/>
  <c r="K302" i="1"/>
  <c r="K309" i="1" s="1"/>
  <c r="N68" i="13"/>
  <c r="O68" i="13" s="1"/>
  <c r="N67" i="13"/>
  <c r="R372" i="1"/>
  <c r="Q372" i="1"/>
  <c r="K301" i="1"/>
  <c r="L83" i="13"/>
  <c r="L87" i="13" s="1"/>
  <c r="R293" i="1"/>
  <c r="S291" i="1"/>
  <c r="C83" i="13"/>
  <c r="K346" i="1"/>
  <c r="O133" i="13"/>
  <c r="O137" i="13" s="1"/>
  <c r="O141" i="13" s="1"/>
  <c r="P131" i="13"/>
  <c r="L346" i="1"/>
  <c r="M124" i="13"/>
  <c r="O123" i="13"/>
  <c r="X22" i="8"/>
  <c r="M377" i="1"/>
  <c r="N371" i="1"/>
  <c r="C287" i="12"/>
  <c r="D287" i="12" s="1"/>
  <c r="N343" i="1"/>
  <c r="N293" i="1"/>
  <c r="Q302" i="1"/>
  <c r="Q309" i="1" s="1"/>
  <c r="M70" i="13"/>
  <c r="M81" i="13" s="1"/>
  <c r="R300" i="1"/>
  <c r="S300" i="1" s="1"/>
  <c r="C126" i="15"/>
  <c r="N300" i="1"/>
  <c r="N69" i="13"/>
  <c r="O69" i="13" s="1"/>
  <c r="O61" i="13"/>
  <c r="N114" i="1"/>
  <c r="R378" i="1"/>
  <c r="Q378" i="1"/>
  <c r="C289" i="12" l="1"/>
  <c r="D289" i="12" s="1"/>
  <c r="N346" i="1"/>
  <c r="P123" i="13"/>
  <c r="P124" i="13" s="1"/>
  <c r="O124" i="13"/>
  <c r="C87" i="13"/>
  <c r="O107" i="13"/>
  <c r="N82" i="13"/>
  <c r="O67" i="13"/>
  <c r="Q343" i="1"/>
  <c r="R343" i="1"/>
  <c r="N344" i="1"/>
  <c r="S293" i="1"/>
  <c r="P133" i="13"/>
  <c r="P137" i="13" s="1"/>
  <c r="P141" i="13" s="1"/>
  <c r="N70" i="13"/>
  <c r="N81" i="13" s="1"/>
  <c r="O63" i="13"/>
  <c r="Q371" i="1"/>
  <c r="R371" i="1"/>
  <c r="C127" i="15"/>
  <c r="C128" i="15" s="1"/>
  <c r="O70" i="13"/>
  <c r="M113" i="1"/>
  <c r="M379" i="1"/>
  <c r="N379" i="1" s="1"/>
  <c r="N377" i="1"/>
  <c r="M83" i="13"/>
  <c r="M87" i="13" s="1"/>
  <c r="L301" i="1"/>
  <c r="L302" i="1" s="1"/>
  <c r="L309" i="1" s="1"/>
  <c r="R301" i="1" l="1"/>
  <c r="S301" i="1" s="1"/>
  <c r="O83" i="13"/>
  <c r="Q344" i="1"/>
  <c r="R344" i="1"/>
  <c r="N345" i="1"/>
  <c r="M301" i="1"/>
  <c r="N301" i="1" s="1"/>
  <c r="N83" i="13"/>
  <c r="N87" i="13" s="1"/>
  <c r="O87" i="13" s="1"/>
  <c r="N113" i="1"/>
  <c r="Q377" i="1"/>
  <c r="R377" i="1"/>
  <c r="Q379" i="1"/>
  <c r="R379" i="1"/>
  <c r="M299" i="1"/>
  <c r="O82" i="13"/>
  <c r="O81" i="13"/>
  <c r="M302" i="1" l="1"/>
  <c r="M309" i="1" s="1"/>
  <c r="R299" i="1"/>
  <c r="N299" i="1"/>
  <c r="N302" i="1" s="1"/>
  <c r="N309" i="1" s="1"/>
  <c r="R302" i="1" l="1"/>
  <c r="R309" i="1" s="1"/>
  <c r="S299" i="1"/>
  <c r="S302" i="1" s="1"/>
  <c r="S309" i="1" s="1"/>
</calcChain>
</file>

<file path=xl/comments1.xml><?xml version="1.0" encoding="utf-8"?>
<comments xmlns="http://schemas.openxmlformats.org/spreadsheetml/2006/main">
  <authors>
    <author>Jeanette Doll</author>
    <author>A satisfied Microsoft Office user</author>
    <author>ET&amp;S</author>
    <author>pgoradi</author>
  </authors>
  <commentList>
    <comment ref="N73" authorId="0" shapeId="0">
      <text>
        <r>
          <rPr>
            <b/>
            <sz val="8"/>
            <color indexed="81"/>
            <rFont val="Tahoma"/>
          </rPr>
          <t>Jeanette Doll:</t>
        </r>
        <r>
          <rPr>
            <sz val="8"/>
            <color indexed="81"/>
            <rFont val="Tahoma"/>
          </rPr>
          <t xml:space="preserve">
Average volume East for April thru Dec is 408 per day.(1st CE)</t>
        </r>
      </text>
    </comment>
    <comment ref="P185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T188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of GRI Demand Surcharge.
</t>
        </r>
      </text>
    </comment>
    <comment ref="D196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Revenu of $9342 reseved
</t>
        </r>
      </text>
    </comment>
    <comment ref="G196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Expecting reserve of $9342 tto be in revenue.
</t>
        </r>
      </text>
    </comment>
    <comment ref="T196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Incerease by Capital Projects and decrease by GRI Demand Surcharge and by switch between one-part rate demand and Commodity.</t>
        </r>
      </text>
    </comment>
    <comment ref="T198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by raising commodity volumns and increase by one-part rate split between demand and commodity.</t>
        </r>
      </text>
    </comment>
    <comment ref="T231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Discretionary Pool Capital Revenue
</t>
        </r>
      </text>
    </comment>
    <comment ref="U231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Discretionary Pool Capital Revenue.
</t>
        </r>
      </text>
    </comment>
    <comment ref="T246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due to decrease in GRI Demand Surcharge.</t>
        </r>
      </text>
    </comment>
    <comment ref="F301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</t>
        </r>
      </text>
    </comment>
    <comment ref="P34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43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44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2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3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4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5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6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7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8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79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P38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Q381" authorId="1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comments2.xml><?xml version="1.0" encoding="utf-8"?>
<comments xmlns="http://schemas.openxmlformats.org/spreadsheetml/2006/main">
  <authors>
    <author>Jan Moore</author>
  </authors>
  <commentList>
    <comment ref="A67" authorId="0" shapeId="0">
      <text>
        <r>
          <rPr>
            <b/>
            <sz val="8"/>
            <color indexed="81"/>
            <rFont val="Tahoma"/>
          </rPr>
          <t>Jan Moore:</t>
        </r>
        <r>
          <rPr>
            <sz val="8"/>
            <color indexed="81"/>
            <rFont val="Tahoma"/>
          </rPr>
          <t xml:space="preserve">
Needed to adjust for price difference between the Plan Index price per month and the agreed to UAF price of $4.50.</t>
        </r>
      </text>
    </comment>
  </commentList>
</comments>
</file>

<file path=xl/comments3.xml><?xml version="1.0" encoding="utf-8"?>
<comments xmlns="http://schemas.openxmlformats.org/spreadsheetml/2006/main">
  <authors>
    <author>jmoore3</author>
    <author>Enron</author>
  </authors>
  <commentList>
    <comment ref="H10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E12" authorId="1" shapeId="0">
      <text>
        <r>
          <rPr>
            <b/>
            <sz val="8"/>
            <color indexed="81"/>
            <rFont val="Tahoma"/>
          </rPr>
          <t xml:space="preserve">This contract is in conjunction with 26606.
</t>
        </r>
        <r>
          <rPr>
            <sz val="8"/>
            <color indexed="81"/>
            <rFont val="Tahoma"/>
          </rPr>
          <t xml:space="preserve">
</t>
        </r>
      </text>
    </comment>
    <comment ref="H12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15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33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35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38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55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57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K58" authorId="1" shapeId="0">
      <text>
        <r>
          <rPr>
            <b/>
            <sz val="8"/>
            <color indexed="81"/>
            <rFont val="Tahoma"/>
          </rPr>
          <t>Rate changes 11/1/01</t>
        </r>
      </text>
    </comment>
    <comment ref="H60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64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H78" authorId="0" shapeId="0">
      <text>
        <r>
          <rPr>
            <b/>
            <sz val="8"/>
            <color indexed="81"/>
            <rFont val="Tahoma"/>
            <family val="2"/>
          </rPr>
          <t>Originally had incorrect Term Date of 10/31/2002</t>
        </r>
        <r>
          <rPr>
            <sz val="8"/>
            <color indexed="81"/>
            <rFont val="Tahoma"/>
          </rPr>
          <t xml:space="preserve">
</t>
        </r>
      </text>
    </comment>
    <comment ref="H80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</text>
    </comment>
    <comment ref="H83" authorId="0" shapeId="0">
      <text>
        <r>
          <rPr>
            <b/>
            <sz val="8"/>
            <color indexed="81"/>
            <rFont val="Tahoma"/>
          </rPr>
          <t>Resubscription of KN CR #26751</t>
        </r>
        <r>
          <rPr>
            <sz val="8"/>
            <color indexed="81"/>
            <rFont val="Tahoma"/>
          </rPr>
          <t xml:space="preserve">
</t>
        </r>
      </text>
    </comment>
    <comment ref="H87" authorId="1" shapeId="0">
      <text>
        <r>
          <rPr>
            <b/>
            <sz val="8"/>
            <color indexed="81"/>
            <rFont val="Tahoma"/>
          </rPr>
          <t xml:space="preserve">Resubscribed through 10/31/2003; Rates changes 11/01 </t>
        </r>
        <r>
          <rPr>
            <sz val="8"/>
            <color indexed="81"/>
            <rFont val="Tahoma"/>
          </rPr>
          <t xml:space="preserve">
</t>
        </r>
      </text>
    </comment>
    <comment ref="E115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18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E122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E128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32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E136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E142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K142" authorId="1" shapeId="0">
      <text>
        <r>
          <rPr>
            <b/>
            <sz val="8"/>
            <color indexed="81"/>
            <rFont val="Tahoma"/>
          </rPr>
          <t xml:space="preserve">Rate changes effective 11/1/01
</t>
        </r>
        <r>
          <rPr>
            <sz val="8"/>
            <color indexed="81"/>
            <rFont val="Tahoma"/>
          </rPr>
          <t xml:space="preserve">
</t>
        </r>
      </text>
    </comment>
    <comment ref="K143" authorId="1" shapeId="0">
      <text>
        <r>
          <rPr>
            <b/>
            <sz val="8"/>
            <color indexed="81"/>
            <rFont val="Tahoma"/>
          </rPr>
          <t>Rate  change effective 11/1/01</t>
        </r>
      </text>
    </comment>
    <comment ref="K144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45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K145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146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148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49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K14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55" authorId="1" shapeId="0">
      <text>
        <r>
          <rPr>
            <b/>
            <sz val="8"/>
            <color indexed="81"/>
            <rFont val="Tahoma"/>
          </rPr>
          <t>Santa Fe has permanently released this contract.</t>
        </r>
        <r>
          <rPr>
            <sz val="8"/>
            <color indexed="81"/>
            <rFont val="Tahoma"/>
          </rPr>
          <t xml:space="preserve">
CR #20746</t>
        </r>
      </text>
    </comment>
    <comment ref="E159" authorId="1" shapeId="0">
      <text>
        <r>
          <rPr>
            <b/>
            <sz val="8"/>
            <color indexed="81"/>
            <rFont val="Tahoma"/>
          </rPr>
          <t>Citizens has released this capacity.</t>
        </r>
        <r>
          <rPr>
            <sz val="8"/>
            <color indexed="81"/>
            <rFont val="Tahoma"/>
          </rPr>
          <t xml:space="preserve">
CR #26520</t>
        </r>
      </text>
    </comment>
    <comment ref="K15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163" authorId="1" shapeId="0">
      <text>
        <r>
          <rPr>
            <b/>
            <sz val="8"/>
            <color indexed="81"/>
            <rFont val="Tahoma"/>
          </rPr>
          <t xml:space="preserve">PG&amp;E has released this capacity.
</t>
        </r>
      </text>
    </comment>
    <comment ref="K220" authorId="1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K221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34" authorId="1" shapeId="0">
      <text>
        <r>
          <rPr>
            <b/>
            <sz val="8"/>
            <color indexed="81"/>
            <rFont val="Tahoma"/>
          </rPr>
          <t>Rate increases to $0.1514 3/1/01.</t>
        </r>
      </text>
    </comment>
    <comment ref="K236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65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K271" authorId="1" shapeId="0">
      <text>
        <r>
          <rPr>
            <b/>
            <sz val="8"/>
            <color indexed="81"/>
            <rFont val="Tahoma"/>
          </rPr>
          <t xml:space="preserve">Rate increases to $0.1614 12/1/01.
</t>
        </r>
      </text>
    </comment>
    <comment ref="E279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E292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K303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304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K304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5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6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7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8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K309" authorId="1" shapeId="0">
      <text>
        <r>
          <rPr>
            <b/>
            <sz val="8"/>
            <color indexed="81"/>
            <rFont val="Tahoma"/>
          </rPr>
          <t>Rate change effective 11/1/01</t>
        </r>
      </text>
    </comment>
    <comment ref="E317" authorId="0" shapeId="0">
      <text>
        <r>
          <rPr>
            <b/>
            <sz val="8"/>
            <color indexed="81"/>
            <rFont val="Tahoma"/>
          </rPr>
          <t>CR #26519</t>
        </r>
        <r>
          <rPr>
            <sz val="8"/>
            <color indexed="81"/>
            <rFont val="Tahoma"/>
          </rPr>
          <t xml:space="preserve">
</t>
        </r>
      </text>
    </comment>
    <comment ref="F336" authorId="0" shapeId="0">
      <text>
        <r>
          <rPr>
            <b/>
            <sz val="8"/>
            <color indexed="81"/>
            <rFont val="Tahoma"/>
          </rPr>
          <t>Duke did not resubscribe</t>
        </r>
      </text>
    </comment>
    <comment ref="V337" authorId="0" shapeId="0">
      <text>
        <r>
          <rPr>
            <b/>
            <sz val="8"/>
            <color indexed="81"/>
            <rFont val="Tahoma"/>
          </rPr>
          <t>jmoore3:</t>
        </r>
        <r>
          <rPr>
            <sz val="8"/>
            <color indexed="81"/>
            <rFont val="Tahoma"/>
          </rPr>
          <t xml:space="preserve">
Volume reduced to 14,000/d for September</t>
        </r>
      </text>
    </comment>
    <comment ref="K354" authorId="1" shapeId="0">
      <text>
        <r>
          <rPr>
            <b/>
            <sz val="8"/>
            <color indexed="81"/>
            <rFont val="Tahoma"/>
          </rPr>
          <t xml:space="preserve">Rate increases to $0.0589 11/1/01.
</t>
        </r>
      </text>
    </comment>
    <comment ref="K366" authorId="1" shapeId="0">
      <text>
        <r>
          <rPr>
            <b/>
            <sz val="8"/>
            <color indexed="81"/>
            <rFont val="Tahoma"/>
          </rPr>
          <t xml:space="preserve">Rate increases to $0.0589 11/1/01.
</t>
        </r>
      </text>
    </comment>
    <comment ref="E386" authorId="0" shapeId="0">
      <text>
        <r>
          <rPr>
            <b/>
            <sz val="8"/>
            <color indexed="81"/>
            <rFont val="Tahoma"/>
          </rPr>
          <t>Vastar did not resubscribe</t>
        </r>
        <r>
          <rPr>
            <sz val="8"/>
            <color indexed="81"/>
            <rFont val="Tahoma"/>
          </rPr>
          <t xml:space="preserve">
</t>
        </r>
      </text>
    </comment>
    <comment ref="E391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391" authorId="1" shapeId="0">
      <text>
        <r>
          <rPr>
            <b/>
            <sz val="8"/>
            <color indexed="81"/>
            <rFont val="Tahoma"/>
          </rPr>
          <t>Resubscribed 2001-2002.
CR #27344</t>
        </r>
      </text>
    </comment>
    <comment ref="F392" authorId="1" shapeId="0">
      <text>
        <r>
          <rPr>
            <b/>
            <sz val="8"/>
            <color indexed="81"/>
            <rFont val="Tahoma"/>
          </rPr>
          <t xml:space="preserve">Resubscribed 2001-2005. MDQ is 115/day for 2001 and 150/day for 2002-2005.
</t>
        </r>
      </text>
    </comment>
    <comment ref="E404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04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F405" authorId="1" shapeId="0">
      <text>
        <r>
          <rPr>
            <b/>
            <sz val="8"/>
            <color indexed="81"/>
            <rFont val="Tahoma"/>
          </rPr>
          <t xml:space="preserve">Resubscribed 2001-2005. MDQ is 115/day for 2001 and 150/day for 2002-2005.
</t>
        </r>
      </text>
    </comment>
    <comment ref="K411" authorId="1" shapeId="0">
      <text>
        <r>
          <rPr>
            <b/>
            <sz val="8"/>
            <color indexed="81"/>
            <rFont val="Tahoma"/>
          </rPr>
          <t>Rate decreases to $0.0317 for Feb., March, Nov. and Dec. Rate is $0.0367 for April through October.</t>
        </r>
      </text>
    </comment>
    <comment ref="E417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17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K424" authorId="1" shapeId="0">
      <text>
        <r>
          <rPr>
            <b/>
            <sz val="8"/>
            <color indexed="81"/>
            <rFont val="Tahoma"/>
          </rPr>
          <t>Rate decreases to $0.0317 for Feb., March, Nov. and Dec. Rate is $0.0367 for April through October.</t>
        </r>
      </text>
    </comment>
    <comment ref="E430" authorId="0" shapeId="0">
      <text>
        <r>
          <rPr>
            <b/>
            <sz val="8"/>
            <color indexed="81"/>
            <rFont val="Tahoma"/>
          </rPr>
          <t>CR #27344</t>
        </r>
      </text>
    </comment>
    <comment ref="F430" authorId="1" shapeId="0">
      <text>
        <r>
          <rPr>
            <b/>
            <sz val="8"/>
            <color indexed="81"/>
            <rFont val="Tahoma"/>
          </rPr>
          <t>Resubscribed 2001-2002.</t>
        </r>
      </text>
    </comment>
    <comment ref="F445" authorId="1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H445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46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F447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453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54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456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460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61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F471" authorId="1" shapeId="0">
      <text>
        <r>
          <rPr>
            <b/>
            <sz val="8"/>
            <color indexed="81"/>
            <rFont val="Tahoma"/>
          </rPr>
          <t>MDQ is 40/day in Jan.,  Feb, Nov. &amp; Dec; 25/day in March, April &amp; Oct., 10/day in May-Sept. Daily volumes are on line 370.</t>
        </r>
        <r>
          <rPr>
            <sz val="8"/>
            <color indexed="81"/>
            <rFont val="Tahoma"/>
          </rPr>
          <t xml:space="preserve">
</t>
        </r>
      </text>
    </comment>
    <comment ref="H471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72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F473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479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80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482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486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487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496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497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K497" authorId="1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U497" authorId="1" shapeId="0">
      <text>
        <r>
          <rPr>
            <b/>
            <sz val="8"/>
            <color indexed="81"/>
            <rFont val="Tahoma"/>
          </rPr>
          <t>Formula changed here to reflect increase in rate from $0.02 to $0.025/mmbtu.</t>
        </r>
        <r>
          <rPr>
            <sz val="8"/>
            <color indexed="81"/>
            <rFont val="Tahoma"/>
          </rPr>
          <t xml:space="preserve">
</t>
        </r>
      </text>
    </comment>
    <comment ref="F498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504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05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511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12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H521" authorId="1" shapeId="0">
      <text>
        <r>
          <rPr>
            <b/>
            <sz val="8"/>
            <color indexed="81"/>
            <rFont val="Tahoma"/>
          </rPr>
          <t xml:space="preserve">PNM may extend term for 1-15 years. Notice due to TW by 9/30/00.
</t>
        </r>
      </text>
    </comment>
    <comment ref="F522" authorId="1" shapeId="0">
      <text>
        <r>
          <rPr>
            <b/>
            <sz val="8"/>
            <color indexed="81"/>
            <rFont val="Tahoma"/>
          </rPr>
          <t xml:space="preserve">Rate Changes from $0.02 to $0.025 in August.
</t>
        </r>
      </text>
    </comment>
    <comment ref="K522" authorId="1" shapeId="0">
      <text>
        <r>
          <rPr>
            <b/>
            <sz val="8"/>
            <color indexed="81"/>
            <rFont val="Tahoma"/>
          </rPr>
          <t>Rate increases to $0.0157 8/1/01.</t>
        </r>
      </text>
    </comment>
    <comment ref="F523" authorId="1" shapeId="0">
      <text>
        <r>
          <rPr>
            <b/>
            <sz val="8"/>
            <color indexed="81"/>
            <rFont val="Tahoma"/>
          </rPr>
          <t>Assumption being made that Richardson will exercise their option to turn back their capacity for three months.</t>
        </r>
      </text>
    </comment>
    <comment ref="H529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30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  <comment ref="I532" authorId="1" shapeId="0">
      <text>
        <r>
          <rPr>
            <b/>
            <sz val="8"/>
            <color indexed="81"/>
            <rFont val="Tahoma"/>
          </rPr>
          <t xml:space="preserve">25/day in Oct., 40/day in Nov. and Dec.
</t>
        </r>
      </text>
    </comment>
    <comment ref="H536" authorId="0" shapeId="0">
      <text>
        <r>
          <rPr>
            <b/>
            <sz val="8"/>
            <color indexed="81"/>
            <rFont val="Tahoma"/>
          </rPr>
          <t>Resubscribed through 3/31/03</t>
        </r>
      </text>
    </comment>
    <comment ref="H537" authorId="1" shapeId="0">
      <text>
        <r>
          <rPr>
            <b/>
            <sz val="8"/>
            <color indexed="81"/>
            <rFont val="Tahoma"/>
          </rPr>
          <t xml:space="preserve">Resubscribed through 10/31/2003; Rate changes 11/01 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ET&amp;S</author>
  </authors>
  <commentList>
    <comment ref="S16" authorId="0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included gallup of 2.8, rev. mgmt. Of .4 , and .138 of gomez-puckett.</t>
        </r>
      </text>
    </comment>
  </commentList>
</comments>
</file>

<file path=xl/sharedStrings.xml><?xml version="1.0" encoding="utf-8"?>
<sst xmlns="http://schemas.openxmlformats.org/spreadsheetml/2006/main" count="5275" uniqueCount="545">
  <si>
    <t>DAYS OF MONTH</t>
  </si>
  <si>
    <t>TRANSWESTERN PIPELINE COMPANY</t>
  </si>
  <si>
    <t>MARGIN SUMMARY</t>
  </si>
  <si>
    <t>TOTAL</t>
  </si>
  <si>
    <t>MONTH</t>
  </si>
  <si>
    <t>QUARTER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</si>
  <si>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</si>
  <si>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</si>
  <si>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</si>
  <si>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</si>
  <si>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</si>
  <si>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</si>
  <si>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</si>
  <si>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</si>
  <si>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</si>
  <si>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</si>
  <si>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</si>
  <si>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</si>
  <si>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</si>
  <si>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</si>
  <si>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</si>
  <si>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</si>
  <si>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</si>
  <si>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</si>
  <si>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</si>
  <si>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</si>
  <si>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</si>
  <si>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</si>
  <si>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</si>
  <si>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</si>
  <si>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</si>
  <si>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</si>
  <si>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</si>
  <si>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</si>
  <si>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</si>
  <si>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</si>
  <si>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</si>
  <si>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</si>
  <si>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</si>
  <si>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</si>
  <si>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</si>
  <si>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</si>
  <si>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</si>
  <si>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</si>
  <si>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</si>
  <si>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</si>
  <si>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</si>
  <si>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</si>
  <si>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</si>
  <si>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</si>
  <si>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</si>
  <si>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</si>
  <si>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</si>
  <si>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FUEL RETAINAGE (production month)</t>
  </si>
  <si>
    <t>FUEL USE (production month)</t>
  </si>
  <si>
    <t>GAS PRICE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</si>
  <si>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</si>
  <si>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</si>
  <si>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</si>
  <si>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</si>
  <si>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</si>
  <si>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</si>
  <si>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</si>
  <si>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</si>
  <si>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</si>
  <si>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</si>
  <si>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</si>
  <si>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</si>
  <si>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</si>
  <si>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</si>
  <si>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</si>
  <si>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</si>
  <si>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</si>
  <si>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</si>
  <si>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</si>
  <si>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</si>
  <si>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</si>
  <si>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</si>
  <si>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</si>
  <si>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</si>
  <si>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</si>
  <si>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</si>
  <si>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MARGIN CALCULATION</t>
  </si>
  <si>
    <t>COST OF TRANSPORT:</t>
  </si>
  <si>
    <t xml:space="preserve">TCR  AMORTIZATION EXPENSE </t>
  </si>
  <si>
    <t>UAF</t>
  </si>
  <si>
    <t>GRI,ACA EXPENSE</t>
  </si>
  <si>
    <t>NET FUEL EXPENSE (RETAINED)</t>
  </si>
  <si>
    <t>TOTAL COST OF TRANSPORT</t>
  </si>
  <si>
    <t>SANTA FE SETTLEMENT</t>
  </si>
  <si>
    <t>Hedging</t>
  </si>
  <si>
    <t>TOTAL GROSS MARGIN</t>
  </si>
  <si>
    <t>COMMODITY SURCHARGES</t>
  </si>
  <si>
    <t>GRI SURCHARGE - ALL REGIONS</t>
  </si>
  <si>
    <t>ACA SURCHARGE - ALL REGIONS</t>
  </si>
  <si>
    <t>TOTAL COMMODITY SURCHARGES</t>
  </si>
  <si>
    <t>COMMODITY REVENUE</t>
  </si>
  <si>
    <t>COMMODITY MARGIN</t>
  </si>
  <si>
    <t>SHARED COST SETTLEMENT SURCHARGE</t>
  </si>
  <si>
    <t xml:space="preserve">     THOREAU TO WEST OF THOREAU</t>
  </si>
  <si>
    <t xml:space="preserve">     EAST OF THOR. TO WEST OF THOR.</t>
  </si>
  <si>
    <t>TOTAL SETTLEMENT SURCHARGES</t>
  </si>
  <si>
    <t>DEMAND SURCHARGES</t>
  </si>
  <si>
    <t>GRI</t>
  </si>
  <si>
    <t xml:space="preserve">    WEST OF THOREAU TO EAST </t>
  </si>
  <si>
    <t xml:space="preserve">    EAST TO EAST </t>
  </si>
  <si>
    <t xml:space="preserve">    IGNACIO TO EAST </t>
  </si>
  <si>
    <t xml:space="preserve">    SAN JUAN TO EAST</t>
  </si>
  <si>
    <t xml:space="preserve">    IGNACIO TO BLANCO HUB</t>
  </si>
  <si>
    <t xml:space="preserve">    IGNACIO TO EL PASO BLANCO</t>
  </si>
  <si>
    <t xml:space="preserve">    THOREAU TO WEST</t>
  </si>
  <si>
    <t xml:space="preserve">    SAN JUAN TO WEST</t>
  </si>
  <si>
    <t xml:space="preserve">    EAST OF THOREAU TO WEST</t>
  </si>
  <si>
    <t xml:space="preserve">    SUBTOTAL GRI DEMAND</t>
  </si>
  <si>
    <t>TCR II</t>
  </si>
  <si>
    <t xml:space="preserve">   THOREAU TO WEST</t>
  </si>
  <si>
    <t xml:space="preserve">    SUBTOTAL TCR II</t>
  </si>
  <si>
    <t>TOTAL DEMAND SURCHARGES</t>
  </si>
  <si>
    <t>DEMAND REVENUES</t>
  </si>
  <si>
    <t>DEMAND MARGIN</t>
  </si>
  <si>
    <t>COMPANY MARGIN (EXCLUDING FUEL &amp; UAF)</t>
  </si>
  <si>
    <t>CHECK</t>
  </si>
  <si>
    <t>RATES</t>
  </si>
  <si>
    <t>SURCHARGE - SJ.TO WOT</t>
  </si>
  <si>
    <t>DEMAND RATE PGAR</t>
  </si>
  <si>
    <t>DEMAND GRI RATE - high</t>
  </si>
  <si>
    <t>DEMAND GRI RATE - low</t>
  </si>
  <si>
    <t>ACA</t>
  </si>
  <si>
    <t>GRI RATE</t>
  </si>
  <si>
    <t>TCR NEEDLES</t>
  </si>
  <si>
    <t>TAKE OR PAY SURCHARGE W.T.</t>
  </si>
  <si>
    <t>TAKE OR PAY SURCHARGE P.H.</t>
  </si>
  <si>
    <t>SURCHARGE - EOT TO WOT</t>
  </si>
  <si>
    <t>TOTAL GRI, ACA</t>
  </si>
  <si>
    <t>TOTAL TCR, GRI, ACA - NEEDLES</t>
  </si>
  <si>
    <t>TOTAL TCR, GRI, ACA - EAST</t>
  </si>
  <si>
    <t>FUEL CALCULATION</t>
  </si>
  <si>
    <t>FUEL SAN JUAN</t>
  </si>
  <si>
    <t>FUEL WEST OF TH/WEST N.M.</t>
  </si>
  <si>
    <t>FUEL WEST TEXAS</t>
  </si>
  <si>
    <t>FUEL PANHANDLE</t>
  </si>
  <si>
    <t>FUEL CENTRAL</t>
  </si>
  <si>
    <t>FUEL GROSS UP CALCULATION</t>
  </si>
  <si>
    <t>Thoreau to West</t>
  </si>
  <si>
    <t>East of Thoreau to West</t>
  </si>
  <si>
    <t>San Juan (incl.Ignacio) to West</t>
  </si>
  <si>
    <t>All East flow</t>
  </si>
  <si>
    <t>San Juan to Thoreau</t>
  </si>
  <si>
    <t>TOTAL FUEL GROSS UP</t>
  </si>
  <si>
    <t>LESS FUEL USE</t>
  </si>
  <si>
    <t xml:space="preserve">NET FUEL </t>
  </si>
  <si>
    <t>INDEX PRICE</t>
  </si>
  <si>
    <t>1998 - 2000  PLAN</t>
  </si>
  <si>
    <t>AVERAGE RATES</t>
  </si>
  <si>
    <t>PAGE 3</t>
  </si>
  <si>
    <t>Vol</t>
  </si>
  <si>
    <t>Amount</t>
  </si>
  <si>
    <t>Rate</t>
  </si>
  <si>
    <t>San Juan going West:</t>
  </si>
  <si>
    <t xml:space="preserve">    Ignacio (San Juan II and III exp.)  Demand only</t>
  </si>
  <si>
    <t xml:space="preserve">    San Juan  - without expansion II</t>
  </si>
  <si>
    <t xml:space="preserve">                       - expansion only (Demand)</t>
  </si>
  <si>
    <t>San Juan going East (incl.Demand and Comm)</t>
  </si>
  <si>
    <t>East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</si>
  <si>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</si>
  <si>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</si>
  <si>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</si>
  <si>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</si>
  <si>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</si>
  <si>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</si>
  <si>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</si>
  <si>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</si>
  <si>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</si>
  <si>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</si>
  <si>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</si>
  <si>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</si>
  <si>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</si>
  <si>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Thorea West</t>
  </si>
  <si>
    <t>San Juan West</t>
  </si>
  <si>
    <t>IG to WOT</t>
  </si>
  <si>
    <t>EOT To WOT</t>
  </si>
  <si>
    <t>IG to EP Blanco</t>
  </si>
  <si>
    <t>IG to Hub</t>
  </si>
  <si>
    <t>San Juan To Thoreau</t>
  </si>
  <si>
    <t xml:space="preserve">  Total West</t>
  </si>
  <si>
    <t>East Flows</t>
  </si>
  <si>
    <t>East Retention</t>
  </si>
  <si>
    <t>Fuel Used</t>
  </si>
  <si>
    <t>Total Retained $</t>
  </si>
  <si>
    <t>Less: Fuel Used</t>
  </si>
  <si>
    <t>Less: UAF</t>
  </si>
  <si>
    <t xml:space="preserve">  Total Fuel Upside</t>
  </si>
  <si>
    <t>Price</t>
  </si>
  <si>
    <t>UAF %</t>
  </si>
  <si>
    <t>Burned %</t>
  </si>
  <si>
    <t>EAST: WEST OF THOREAU and Thoreau</t>
  </si>
  <si>
    <t xml:space="preserve">  Total Retained - booked</t>
  </si>
  <si>
    <t>Gallup net fuel adjustement</t>
  </si>
  <si>
    <t xml:space="preserve">   FR</t>
  </si>
  <si>
    <t>Forecast Adjustment</t>
  </si>
  <si>
    <t>Alternate Receipt points reserve reversal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</si>
  <si>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</si>
  <si>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</si>
  <si>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</si>
  <si>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</si>
  <si>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</si>
  <si>
    <t>Contract</t>
  </si>
  <si>
    <t>Shipper</t>
  </si>
  <si>
    <t>Start Date</t>
  </si>
  <si>
    <t>Term. Date</t>
  </si>
  <si>
    <t>March</t>
  </si>
  <si>
    <t>April</t>
  </si>
  <si>
    <t>June</t>
  </si>
  <si>
    <t>July</t>
  </si>
  <si>
    <t>Sept</t>
  </si>
  <si>
    <t>Area</t>
  </si>
  <si>
    <t>Path</t>
  </si>
  <si>
    <t>Type</t>
  </si>
  <si>
    <t>West</t>
  </si>
  <si>
    <t>EOT to WOT</t>
  </si>
  <si>
    <t>Demand</t>
  </si>
  <si>
    <t>KN Marketing</t>
  </si>
  <si>
    <t>MDQ</t>
  </si>
  <si>
    <t>Commodity</t>
  </si>
  <si>
    <t>One Part</t>
  </si>
  <si>
    <t>Rate?</t>
  </si>
  <si>
    <t>y</t>
  </si>
  <si>
    <t>Volume/Margin</t>
  </si>
  <si>
    <t>Volume</t>
  </si>
  <si>
    <t>Margin</t>
  </si>
  <si>
    <t>Agave</t>
  </si>
  <si>
    <t>SoCal</t>
  </si>
  <si>
    <t>n</t>
  </si>
  <si>
    <t>PG&amp;E</t>
  </si>
  <si>
    <t>TXU</t>
  </si>
  <si>
    <t>APS</t>
  </si>
  <si>
    <t>Duke</t>
  </si>
  <si>
    <t>North Star</t>
  </si>
  <si>
    <t>?</t>
  </si>
  <si>
    <t>Sempra</t>
  </si>
  <si>
    <t>Reliant</t>
  </si>
  <si>
    <t>El Paso</t>
  </si>
  <si>
    <t>Thoreau to WOT</t>
  </si>
  <si>
    <t>Santa Fe/Texaco</t>
  </si>
  <si>
    <t>Conoco</t>
  </si>
  <si>
    <t>Citizens</t>
  </si>
  <si>
    <t>El Paso (PG&amp;E Release)</t>
  </si>
  <si>
    <t>Duke (PG&amp;E Release)</t>
  </si>
  <si>
    <t>CFS Rate</t>
  </si>
  <si>
    <t>San Juan to WOT</t>
  </si>
  <si>
    <t>SMUD</t>
  </si>
  <si>
    <t>Amoco</t>
  </si>
  <si>
    <t>Engage</t>
  </si>
  <si>
    <t>Special Calc</t>
  </si>
  <si>
    <t>y-Nov. rate change</t>
  </si>
  <si>
    <t xml:space="preserve">y </t>
  </si>
  <si>
    <t xml:space="preserve"> </t>
  </si>
  <si>
    <t>Ignacio to WOT</t>
  </si>
  <si>
    <t>San Juan</t>
  </si>
  <si>
    <t>Santa Fe</t>
  </si>
  <si>
    <t>Special Calc.</t>
  </si>
  <si>
    <t>Ignacio</t>
  </si>
  <si>
    <t xml:space="preserve">Burlington  </t>
  </si>
  <si>
    <t>SoCalGas</t>
  </si>
  <si>
    <t>ECT</t>
  </si>
  <si>
    <t xml:space="preserve">Pan Alberta </t>
  </si>
  <si>
    <t xml:space="preserve">Williams </t>
  </si>
  <si>
    <t xml:space="preserve">PNM </t>
  </si>
  <si>
    <t>Ignacio to Blanco</t>
  </si>
  <si>
    <t>Ignacio to EP Blanco</t>
  </si>
  <si>
    <t>Phillips</t>
  </si>
  <si>
    <t>Vastar</t>
  </si>
  <si>
    <t>Williams</t>
  </si>
  <si>
    <t>PNM (*Season)</t>
  </si>
  <si>
    <t>24198*SC</t>
  </si>
  <si>
    <t>Richardson</t>
  </si>
  <si>
    <t>USGT</t>
  </si>
  <si>
    <t>Continental</t>
  </si>
  <si>
    <t>E.New Mexico</t>
  </si>
  <si>
    <t>Burlington</t>
  </si>
  <si>
    <t>27137/NS</t>
  </si>
  <si>
    <t>26490***</t>
  </si>
  <si>
    <t>East to East</t>
  </si>
  <si>
    <t>Special Calc. 1 part</t>
  </si>
  <si>
    <t>Ignacio to East</t>
  </si>
  <si>
    <t>SJ (1) Exp</t>
  </si>
  <si>
    <t>Emerald Gas</t>
  </si>
  <si>
    <t>Special Calc:1 -part</t>
  </si>
  <si>
    <t>San Juan to East</t>
  </si>
  <si>
    <t>Valero</t>
  </si>
  <si>
    <t xml:space="preserve">SJ(1) Exp </t>
  </si>
  <si>
    <t>SJ(1) Exp</t>
  </si>
  <si>
    <t>Max Rates</t>
  </si>
  <si>
    <t>Shared Cost Surcharge</t>
  </si>
  <si>
    <t>GRI Demand Surcharge</t>
  </si>
  <si>
    <t>GRI volumes</t>
  </si>
  <si>
    <t>Accounting Date</t>
  </si>
  <si>
    <t>Type Code - Inv</t>
  </si>
  <si>
    <t>Delivery Area Code</t>
  </si>
  <si>
    <t>Receipt Area Code</t>
  </si>
  <si>
    <t>Volume (MMBTU - Sum)</t>
  </si>
  <si>
    <t>TRN</t>
  </si>
  <si>
    <t xml:space="preserve">E. THOREAU  </t>
  </si>
  <si>
    <t xml:space="preserve">SAN JUAN    </t>
  </si>
  <si>
    <t xml:space="preserve">THOREAU     </t>
  </si>
  <si>
    <t xml:space="preserve">W. THOREAU  </t>
  </si>
  <si>
    <t xml:space="preserve">GLOBAL      </t>
  </si>
  <si>
    <t>MSC</t>
  </si>
  <si>
    <t>Sum:</t>
  </si>
  <si>
    <t xml:space="preserve">Invoice Amount </t>
  </si>
  <si>
    <t>MMBTU</t>
  </si>
  <si>
    <t>EAST: WEST OF THOREAU</t>
  </si>
  <si>
    <t>FTS</t>
  </si>
  <si>
    <t xml:space="preserve">DEMAND </t>
  </si>
  <si>
    <t>Load Factor</t>
  </si>
  <si>
    <t>YTD Totals</t>
  </si>
  <si>
    <t>Duke Energy(*season)</t>
  </si>
  <si>
    <t>25569/NS</t>
  </si>
  <si>
    <t>Texaco</t>
  </si>
  <si>
    <t>Red Cedar</t>
  </si>
  <si>
    <t>Southern Company</t>
  </si>
  <si>
    <t>MARGIN ANALYSIS</t>
  </si>
  <si>
    <t>Millions of Dollars</t>
  </si>
  <si>
    <t xml:space="preserve">Total </t>
  </si>
  <si>
    <t>1999</t>
  </si>
  <si>
    <t>TERMINATIONS</t>
  </si>
  <si>
    <t>NEW</t>
  </si>
  <si>
    <t>2000</t>
  </si>
  <si>
    <t>ACTUALS</t>
  </si>
  <si>
    <t>3RD CE</t>
  </si>
  <si>
    <t>&amp; OTHER</t>
  </si>
  <si>
    <t>CONTRACTS</t>
  </si>
  <si>
    <t>MARGINS</t>
  </si>
  <si>
    <t>CAPITAL</t>
  </si>
  <si>
    <t>STRETCH</t>
  </si>
  <si>
    <t>MARGIN</t>
  </si>
  <si>
    <t>subtotal</t>
  </si>
  <si>
    <t>FUEL</t>
  </si>
  <si>
    <t>2001-2003 OPERATING &amp; STRATEGIC PLAN</t>
  </si>
  <si>
    <t>INCREMENTAL CHANGES 2000 to 2001</t>
  </si>
  <si>
    <t>2001</t>
  </si>
  <si>
    <t>2000 Plan</t>
  </si>
  <si>
    <t>INCREMENTAL CHANGES 2001 to 2002</t>
  </si>
  <si>
    <t>SURCHARGE</t>
  </si>
  <si>
    <t>Revenue Management</t>
  </si>
  <si>
    <t>TOTAL INCLUDING REVENUE MANAGEMENT</t>
  </si>
  <si>
    <t>INCREMENTAL CHANGES 2002 to 2003</t>
  </si>
  <si>
    <t>IGNACIO</t>
  </si>
  <si>
    <t>Fuel Component of Terminations</t>
  </si>
  <si>
    <t>Terminated Contracts--Margin Impact</t>
  </si>
  <si>
    <t>SHARED COST</t>
  </si>
  <si>
    <t>Resubscribed Contracts--Margin Impact</t>
  </si>
  <si>
    <t>Total West</t>
  </si>
  <si>
    <t>Total East</t>
  </si>
  <si>
    <t>Load Factor by Month</t>
  </si>
  <si>
    <t>Load Factor by month</t>
  </si>
  <si>
    <t>Load factor by month</t>
  </si>
  <si>
    <t>Load Factors by Month</t>
  </si>
  <si>
    <t>Three Yr. Avg.</t>
  </si>
  <si>
    <t>Transwestern Pipeline Company</t>
  </si>
  <si>
    <t>2001 Plan Preparation</t>
  </si>
  <si>
    <t>Load Factor Analysis</t>
  </si>
  <si>
    <t>IT</t>
  </si>
  <si>
    <t>SWG</t>
  </si>
  <si>
    <t>Load Factor by Month for EOT to WOT</t>
  </si>
  <si>
    <t>Load Factor by month for Thoreau to WOT</t>
  </si>
  <si>
    <t>Load Factor by month for San Juan to WOT</t>
  </si>
  <si>
    <t>Volume/</t>
  </si>
  <si>
    <t>Southern</t>
  </si>
  <si>
    <t>2000 2 C.E.</t>
  </si>
  <si>
    <t>2001 Plan</t>
  </si>
  <si>
    <t>Surcharge expires 10/31/00</t>
  </si>
  <si>
    <t>Capital--Margin Impact</t>
  </si>
  <si>
    <t>EOT-WOT</t>
  </si>
  <si>
    <t>Assumed Resubscription</t>
  </si>
  <si>
    <t xml:space="preserve">PNM  </t>
  </si>
  <si>
    <t>25% load factor for this contract</t>
  </si>
  <si>
    <t>(a) Four months of Gallup ($2.8mm)</t>
  </si>
  <si>
    <t xml:space="preserve">       Rate increase of CFS ($1.567mm)</t>
  </si>
  <si>
    <t>Less: Adjustment for Hedging (20/d)</t>
  </si>
  <si>
    <t>New Mexico Natural</t>
  </si>
  <si>
    <t>Resubscribed</t>
  </si>
  <si>
    <t xml:space="preserve">                    </t>
  </si>
  <si>
    <t>New</t>
  </si>
  <si>
    <t>new</t>
  </si>
  <si>
    <t>.</t>
  </si>
  <si>
    <t>Stretch Items--Margin Impact</t>
  </si>
  <si>
    <t>GRI Dem. Adj.</t>
  </si>
  <si>
    <t>Decrease</t>
  </si>
  <si>
    <t>Comm</t>
  </si>
  <si>
    <t>Other IT</t>
  </si>
  <si>
    <t>4,000/day Resub</t>
  </si>
  <si>
    <t>------------------------</t>
  </si>
  <si>
    <t>SETTLEMENT</t>
  </si>
  <si>
    <t>RATE INCREASE</t>
  </si>
  <si>
    <t>OTHER</t>
  </si>
  <si>
    <t>GRI DEMAND</t>
  </si>
  <si>
    <t>RATE DECREASE</t>
  </si>
  <si>
    <t>One-part rate</t>
  </si>
  <si>
    <t>commodity</t>
  </si>
  <si>
    <t>Transwestern Pipeline Company - 2001 Plan</t>
  </si>
  <si>
    <t>Note - IT Total</t>
  </si>
  <si>
    <t>Stretch</t>
  </si>
  <si>
    <t>Resub./stretch</t>
  </si>
  <si>
    <t>USGT Commodity</t>
  </si>
  <si>
    <t>UAF Analysis</t>
  </si>
  <si>
    <t>All Commodity Deliveries per Fin. Planning Model</t>
  </si>
  <si>
    <t>Deliveries by Applicable Fuel Percent:</t>
  </si>
  <si>
    <t xml:space="preserve">   East to West (5%)</t>
  </si>
  <si>
    <t xml:space="preserve">   Thor to West (4.5%)</t>
  </si>
  <si>
    <t xml:space="preserve">   IG/SJ to West (4.75%)</t>
  </si>
  <si>
    <t xml:space="preserve">   IG/SJ to East (1.56%)</t>
  </si>
  <si>
    <t xml:space="preserve">   East to East (1.31%)</t>
  </si>
  <si>
    <t>Fuel Percentages</t>
  </si>
  <si>
    <t>Calculated Receipts (Daily)</t>
  </si>
  <si>
    <t xml:space="preserve">   East to West </t>
  </si>
  <si>
    <t xml:space="preserve">   Thor to West </t>
  </si>
  <si>
    <t xml:space="preserve">   IG/SJ to West </t>
  </si>
  <si>
    <t xml:space="preserve">   IG/SJ to East </t>
  </si>
  <si>
    <t xml:space="preserve">   East to East </t>
  </si>
  <si>
    <t>Total Daily Receipts</t>
  </si>
  <si>
    <t>Back off:</t>
  </si>
  <si>
    <t xml:space="preserve">   San Juan to Thoreau Delivery Volumes</t>
  </si>
  <si>
    <t xml:space="preserve">   Ignacio to Hub Delivery Volumes</t>
  </si>
  <si>
    <t>Adjusted Total Daily Receipts</t>
  </si>
  <si>
    <t>Total Monthly Receipts</t>
  </si>
  <si>
    <t>Factor being used</t>
  </si>
  <si>
    <t>UAF Volume</t>
  </si>
  <si>
    <t>UAF Dollar</t>
  </si>
  <si>
    <t>OneOK</t>
  </si>
  <si>
    <t>2/1/2001</t>
  </si>
  <si>
    <t>11/15/2000</t>
  </si>
  <si>
    <t>BP Energy</t>
  </si>
  <si>
    <t>4/31/2007</t>
  </si>
  <si>
    <t>Rescribed</t>
  </si>
  <si>
    <t>W TX Gas</t>
  </si>
  <si>
    <t>Astra Power</t>
  </si>
  <si>
    <t>Tenaska</t>
  </si>
  <si>
    <t>Dynegy</t>
  </si>
  <si>
    <t>Unsubscribed</t>
  </si>
  <si>
    <t xml:space="preserve">   IG to EP Blanco (.25%)</t>
  </si>
  <si>
    <t xml:space="preserve">   IG to Blanco Hub and SJ to Thor (.25%)</t>
  </si>
  <si>
    <t xml:space="preserve">   IG to EP Blanco </t>
  </si>
  <si>
    <t xml:space="preserve">   IG to Blanco Hub and SJ to Thor </t>
  </si>
  <si>
    <r>
      <t>Calculated</t>
    </r>
    <r>
      <rPr>
        <b/>
        <u/>
        <sz val="10"/>
        <rFont val="Arial"/>
        <family val="2"/>
      </rPr>
      <t xml:space="preserve"> Retainage</t>
    </r>
    <r>
      <rPr>
        <u/>
        <sz val="10"/>
        <rFont val="Arial"/>
        <family val="2"/>
      </rPr>
      <t xml:space="preserve"> (Daily)</t>
    </r>
  </si>
  <si>
    <t xml:space="preserve">   IG to Hub and SJ to Thor (.25%)</t>
  </si>
  <si>
    <t>Total Daily Retainage</t>
  </si>
  <si>
    <t>Fuel Used (Calculated on Deliveries)</t>
  </si>
  <si>
    <t>UAF Operations</t>
  </si>
  <si>
    <t>UAF Accounting</t>
  </si>
  <si>
    <t>UAF Price Differential</t>
  </si>
  <si>
    <t>Less: UAF Operations</t>
  </si>
  <si>
    <t>Less: UAF Accounting</t>
  </si>
  <si>
    <t>Unhedged Price</t>
  </si>
  <si>
    <t>UAF %  Operations</t>
  </si>
  <si>
    <t>UAF %  Accounting</t>
  </si>
  <si>
    <t>UAF Price</t>
  </si>
  <si>
    <t>Burned %  (Calculated on Deliveries)</t>
  </si>
  <si>
    <t>Hedged Volumes</t>
  </si>
  <si>
    <t>Additional Revenue from Selling Hedged Volumes</t>
  </si>
  <si>
    <t>Unhedged Volumes</t>
  </si>
  <si>
    <t>Less: Total UAF</t>
  </si>
  <si>
    <t>Revised Total Fuel Upside</t>
  </si>
  <si>
    <t>2001 Plan Total Fuel Upside</t>
  </si>
  <si>
    <t>Revised Plan Adjustment taken against unhedged</t>
  </si>
  <si>
    <t>2001 Plan UAF Calculation</t>
  </si>
  <si>
    <t>2nd Qtr</t>
  </si>
  <si>
    <t>Forecast</t>
  </si>
  <si>
    <t>OUTAGES</t>
  </si>
  <si>
    <t>Actual</t>
  </si>
  <si>
    <t>2001 FORECAST</t>
  </si>
  <si>
    <t>San Juan to Thoreau/ Ignacio to Blanco</t>
  </si>
  <si>
    <t>Ignacio to El Paso Blanco</t>
  </si>
  <si>
    <t>2001 Forecast</t>
  </si>
  <si>
    <t>1st Qtr</t>
  </si>
  <si>
    <t>3rd Qtr</t>
  </si>
  <si>
    <t>4th Qtr</t>
  </si>
  <si>
    <t>2001 Annual</t>
  </si>
  <si>
    <t>Excess Fuel Volumes</t>
  </si>
  <si>
    <t>Hedged volumes</t>
  </si>
  <si>
    <t>Unhedged Volumes available</t>
  </si>
  <si>
    <t>North Star Steel Co.</t>
  </si>
  <si>
    <t>Mavrix</t>
  </si>
  <si>
    <t>Daily Firm</t>
  </si>
  <si>
    <t>Est by TK Lohman</t>
  </si>
  <si>
    <t>Est by Tk Lohman</t>
  </si>
  <si>
    <t>PGAR Amortization</t>
  </si>
  <si>
    <t>Other Expense</t>
  </si>
  <si>
    <t>Regulatory Commission</t>
  </si>
  <si>
    <t>Accounting Transport Margin+Sales/Cost of Sales</t>
  </si>
  <si>
    <t>Total Other Expenses</t>
  </si>
  <si>
    <t>Difference</t>
  </si>
  <si>
    <t>Sales Margin/Cost of Sales</t>
  </si>
  <si>
    <t>Total Other</t>
  </si>
  <si>
    <t>Other Rev/Exp</t>
  </si>
  <si>
    <t>Total Net Margins(Row 309) +Other</t>
  </si>
  <si>
    <t xml:space="preserve">Bass </t>
  </si>
  <si>
    <t>January</t>
  </si>
  <si>
    <t>February</t>
  </si>
  <si>
    <t>August</t>
  </si>
  <si>
    <t>September</t>
  </si>
  <si>
    <t>October</t>
  </si>
  <si>
    <t>November</t>
  </si>
  <si>
    <t>December</t>
  </si>
  <si>
    <t>Average</t>
  </si>
  <si>
    <t>FUEL BURNED ASSUMING 100% EAST RETAINAGE BURNT</t>
  </si>
  <si>
    <t>Retainage Monthly MMBTU</t>
  </si>
  <si>
    <t>EAST Retainage</t>
  </si>
  <si>
    <t>WEST Retainage</t>
  </si>
  <si>
    <t>Total Retainage</t>
  </si>
  <si>
    <t>Deliveries MMBTU/Day</t>
  </si>
  <si>
    <t>East Deliveries</t>
  </si>
  <si>
    <t>West Deliveries</t>
  </si>
  <si>
    <t>Burned Alternate Method Monthly MMBTU</t>
  </si>
  <si>
    <t>East 100% of Retainage</t>
  </si>
  <si>
    <t>Difference Alt Method and Old Method MMBTU</t>
  </si>
  <si>
    <t>Fuel Index Price</t>
  </si>
  <si>
    <t>Difference Alt Method and Old Method  $</t>
  </si>
  <si>
    <t>Burned .018 Of Deliveries-Old method</t>
  </si>
  <si>
    <t>West(.018 of Deliveries) or Actals per Fac Plng</t>
  </si>
  <si>
    <t>West Percent Of deliveries</t>
  </si>
  <si>
    <t>Fuel Used per accounting</t>
  </si>
  <si>
    <t>SW Gas Paym</t>
  </si>
  <si>
    <t>9/7 Weekly</t>
  </si>
  <si>
    <t>Current Estimate Supply data for Weekly</t>
  </si>
  <si>
    <t>Current Month Forecast =</t>
  </si>
  <si>
    <t>Transport</t>
  </si>
  <si>
    <t>Function formula - no more than seven functions can be nested, therefore I copied the formula into a label format to add in later months.</t>
  </si>
  <si>
    <t>(MMMBTU/DAY)</t>
  </si>
  <si>
    <t>$MM</t>
  </si>
  <si>
    <t>Just MOVE to entire formula!!!!!</t>
  </si>
  <si>
    <t>Volume Formula</t>
  </si>
  <si>
    <t>=IF($B$5=Forecast01!$B$10,Forecast01!B14,IF($B$5=Forecast01!$C$10,Forecast01!C14,IF($B$5=Forecast01!$D$10,Forecast01!D14,IF($B$5=Forecast01!$E$10,Forecast01!E14,IF($B$5=Forecast01!$F$10,Forecast01!F14,IF($B$5=Forecast01!$G$10,Forecast01!G14,IF($B$5=Foreca</t>
  </si>
  <si>
    <t>Need to update formulas to reflect move of this sheet from Model_source_plan_data file to this System_Design file.</t>
  </si>
  <si>
    <t>margin Formula</t>
  </si>
  <si>
    <t>=IF($B$5=Forecast01!$B$10,Forecast01!B188,IF($B$5=Forecast01!$C$10,Forecast01!C188,IF($B$5=Forecast01!$D$10,Forecast01!D188,IF($B$5=Forecast01!$E$10,Forecast01!E188,IF($B$5=Forecast01!$F$10,Forecast01!F188,IF($B$5=Forecast01!$G$10,Forecast01!G188,IF($B$5=</t>
  </si>
  <si>
    <t>Plan Index Price</t>
  </si>
  <si>
    <t>FUEL USED VOLUME</t>
  </si>
  <si>
    <t>PLAN STRETCH PER MONTH</t>
  </si>
  <si>
    <t>MONTHLY UNHEDGED FUEL SALES</t>
  </si>
  <si>
    <t xml:space="preserve">    Unhedged Fuel Sale - Volume 1</t>
  </si>
  <si>
    <t xml:space="preserve">    Unhedged Fuel Sale - Days</t>
  </si>
  <si>
    <t xml:space="preserve">    Unhedged Fuel Sale - Rate</t>
  </si>
  <si>
    <t>CE: Fuel Retained Adjustment for vols. Btw. Topock &amp; Needles</t>
  </si>
  <si>
    <t xml:space="preserve">April fuel volume adjustment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</si>
</sst>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71" formatCode="_(* #,##0_);_(* \(#,##0\);_(* &quot;-&quot;??_);_(@_)"/>
    <numFmt numFmtId="172" formatCode="_(* #,##0.0_);_(* \(#,##0.0\);_(* &quot;-&quot;??_);_(@_)"/>
    <numFmt numFmtId="173" formatCode="_(* #,##0.0000_);_(* \(#,##0.0000\);_(* &quot;-&quot;??_);_(@_)"/>
    <numFmt numFmtId="174" formatCode="0.0000%;[Red]\-0.0000%"/>
    <numFmt numFmtId="175" formatCode="0.0000%"/>
    <numFmt numFmtId="176" formatCode="_(* #,##0.000_);_(* \(#,##0.000\);_(* &quot;-&quot;??_);_(@_)"/>
    <numFmt numFmtId="177" formatCode="0.0"/>
    <numFmt numFmtId="178" formatCode="0.0000"/>
    <numFmt numFmtId="179" formatCode="0.000"/>
    <numFmt numFmtId="180" formatCode="_(* #,##0.0_);_(* \(#,##0.0\);_(* &quot;-&quot;?_);_(@_)"/>
    <numFmt numFmtId="181" formatCode="_(* #,##0.0000_);_(* \(#,##0.0000\);_(* &quot;-&quot;????_);_(@_)"/>
    <numFmt numFmtId="182" formatCode="#,##0.0000"/>
    <numFmt numFmtId="183" formatCode="&quot;$&quot;#,##0"/>
    <numFmt numFmtId="184" formatCode="&quot;$&quot;#,##0.0000"/>
    <numFmt numFmtId="185" formatCode="#,##0.000000"/>
    <numFmt numFmtId="186" formatCode="0.0%"/>
    <numFmt numFmtId="187" formatCode="_(&quot;$&quot;* #,##0.0_);_(&quot;$&quot;* \(#,##0.0\);_(&quot;$&quot;* &quot;-&quot;??_);_(@_)"/>
    <numFmt numFmtId="188" formatCode="_(&quot;$&quot;* #,##0.0000_);_(&quot;$&quot;* \(#,##0.0000\);_(&quot;$&quot;* &quot;-&quot;??_);_(@_)"/>
    <numFmt numFmtId="189" formatCode="_(&quot;$&quot;* #,##0_);_(&quot;$&quot;* \(#,##0\);_(&quot;$&quot;* &quot;-&quot;??_);_(@_)"/>
    <numFmt numFmtId="192" formatCode="&quot;$&quot;#,##0.0_);\(&quot;$&quot;#,##0.0\)"/>
    <numFmt numFmtId="193" formatCode="_(* #,##0.000_);_(* \(#,##0.000\);_(* &quot;-&quot;?_);_(@_)"/>
    <numFmt numFmtId="194" formatCode="_(* #,##0.0000_);_(* \(#,##0.0000\);_(* &quot;-&quot;?_);_(@_)"/>
    <numFmt numFmtId="195" formatCode="_(* #,##0_);_(* \(#,##0\);_(* &quot;-&quot;?_);_(@_)"/>
    <numFmt numFmtId="196" formatCode="_(* #,##0.00_);_(* \(#,##0.00\);_(* &quot;-&quot;?_);_(@_)"/>
  </numFmts>
  <fonts count="63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b/>
      <sz val="10"/>
      <name val="Arial"/>
    </font>
    <font>
      <sz val="10"/>
      <color indexed="12"/>
      <name val="Arial Narrow"/>
      <family val="2"/>
    </font>
    <font>
      <sz val="10"/>
      <color indexed="12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b/>
      <u/>
      <sz val="10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Small Fonts"/>
      <family val="2"/>
    </font>
    <font>
      <b/>
      <sz val="14"/>
      <name val="Arial"/>
      <family val="2"/>
    </font>
    <font>
      <b/>
      <sz val="12"/>
      <name val="Arial"/>
    </font>
    <font>
      <b/>
      <u val="singleAccounting"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</font>
    <font>
      <sz val="10"/>
      <color indexed="5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color indexed="50"/>
      <name val="Arial"/>
      <family val="2"/>
    </font>
    <font>
      <b/>
      <sz val="8"/>
      <color indexed="81"/>
      <name val="Tahoma"/>
      <family val="2"/>
    </font>
    <font>
      <sz val="10"/>
      <color indexed="61"/>
      <name val="Arial"/>
      <family val="2"/>
    </font>
    <font>
      <sz val="10"/>
      <color indexed="17"/>
      <name val="Arial"/>
      <family val="2"/>
    </font>
    <font>
      <sz val="7"/>
      <color indexed="17"/>
      <name val="Arial Narrow"/>
      <family val="2"/>
    </font>
    <font>
      <b/>
      <sz val="9"/>
      <color indexed="8"/>
      <name val="Arial"/>
      <family val="2"/>
    </font>
    <font>
      <b/>
      <sz val="10"/>
      <color indexed="61"/>
      <name val="Arial"/>
      <family val="2"/>
    </font>
    <font>
      <sz val="10"/>
      <color indexed="20"/>
      <name val="Arial"/>
      <family val="2"/>
    </font>
    <font>
      <sz val="8"/>
      <color indexed="50"/>
      <name val="Arial"/>
      <family val="2"/>
    </font>
    <font>
      <b/>
      <sz val="12"/>
      <name val="Arial Narrow"/>
    </font>
    <font>
      <b/>
      <sz val="12"/>
      <name val="Arial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8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0" borderId="0">
      <alignment vertical="center"/>
    </xf>
    <xf numFmtId="0" fontId="39" fillId="0" borderId="0"/>
    <xf numFmtId="9" fontId="1" fillId="0" borderId="0" applyFont="0" applyFill="0" applyBorder="0" applyAlignment="0" applyProtection="0"/>
  </cellStyleXfs>
  <cellXfs count="68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7" fillId="0" borderId="0" xfId="0" applyNumberFormat="1" applyFont="1" applyFill="1" applyAlignment="1" applyProtection="1">
      <alignment vertical="center"/>
    </xf>
    <xf numFmtId="0" fontId="9" fillId="0" borderId="0" xfId="0" applyFont="1" applyFill="1">
      <alignment vertical="center"/>
    </xf>
    <xf numFmtId="0" fontId="7" fillId="0" borderId="0" xfId="0" applyFont="1" applyFill="1" applyAlignment="1">
      <alignment horizontal="centerContinuous" vertical="center"/>
    </xf>
    <xf numFmtId="0" fontId="7" fillId="0" borderId="0" xfId="0" applyFont="1" applyFill="1" applyAlignment="1" applyProtection="1">
      <alignment horizontal="centerContinuous" vertical="center"/>
      <protection locked="0"/>
    </xf>
    <xf numFmtId="0" fontId="9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7" fillId="0" borderId="0" xfId="0" applyNumberFormat="1" applyFont="1" applyFill="1" applyAlignment="1" applyProtection="1">
      <alignment vertical="center"/>
      <protection locked="0"/>
    </xf>
    <xf numFmtId="164" fontId="7" fillId="0" borderId="0" xfId="0" applyNumberFormat="1" applyFont="1" applyFill="1" applyAlignment="1" applyProtection="1">
      <alignment vertical="center"/>
    </xf>
    <xf numFmtId="164" fontId="10" fillId="0" borderId="0" xfId="0" applyNumberFormat="1" applyFont="1" applyFill="1" applyAlignment="1" applyProtection="1">
      <alignment vertical="center"/>
    </xf>
    <xf numFmtId="164" fontId="8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68" fontId="7" fillId="0" borderId="0" xfId="0" applyNumberFormat="1" applyFont="1" applyFill="1" applyAlignment="1" applyProtection="1">
      <alignment vertical="center"/>
    </xf>
    <xf numFmtId="37" fontId="2" fillId="0" borderId="0" xfId="0" applyNumberFormat="1" applyFont="1" applyFill="1" applyBorder="1" applyAlignment="1" applyProtection="1">
      <alignment vertical="center"/>
    </xf>
    <xf numFmtId="172" fontId="10" fillId="0" borderId="0" xfId="1" applyNumberFormat="1" applyFont="1" applyFill="1" applyAlignment="1" applyProtection="1">
      <alignment vertical="center"/>
    </xf>
    <xf numFmtId="164" fontId="12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3" fillId="0" borderId="0" xfId="0" applyFont="1" applyFill="1">
      <alignment vertical="center"/>
    </xf>
    <xf numFmtId="164" fontId="0" fillId="0" borderId="0" xfId="0" applyNumberFormat="1" applyFill="1">
      <alignment vertical="center"/>
    </xf>
    <xf numFmtId="0" fontId="0" fillId="0" borderId="2" xfId="0" applyFill="1" applyBorder="1">
      <alignment vertical="center"/>
    </xf>
    <xf numFmtId="0" fontId="13" fillId="0" borderId="2" xfId="0" applyFont="1" applyFill="1" applyBorder="1">
      <alignment vertical="center"/>
    </xf>
    <xf numFmtId="2" fontId="0" fillId="0" borderId="2" xfId="0" applyNumberFormat="1" applyFill="1" applyBorder="1">
      <alignment vertical="center"/>
    </xf>
    <xf numFmtId="2" fontId="0" fillId="0" borderId="0" xfId="0" applyNumberFormat="1" applyFill="1">
      <alignment vertical="center"/>
    </xf>
    <xf numFmtId="37" fontId="0" fillId="0" borderId="0" xfId="0" applyNumberFormat="1" applyFill="1">
      <alignment vertical="center"/>
    </xf>
    <xf numFmtId="0" fontId="6" fillId="0" borderId="0" xfId="0" applyFont="1">
      <alignment vertical="center"/>
    </xf>
    <xf numFmtId="0" fontId="14" fillId="0" borderId="0" xfId="0" applyFont="1" applyFill="1" applyAlignment="1">
      <alignment horizontal="centerContinuous" vertical="center"/>
    </xf>
    <xf numFmtId="0" fontId="15" fillId="0" borderId="0" xfId="0" applyFont="1" applyAlignment="1">
      <alignment horizontal="centerContinuous" vertical="center"/>
    </xf>
    <xf numFmtId="0" fontId="15" fillId="0" borderId="0" xfId="0" applyFont="1">
      <alignment vertical="center"/>
    </xf>
    <xf numFmtId="0" fontId="15" fillId="0" borderId="2" xfId="0" applyFont="1" applyBorder="1">
      <alignment vertical="center"/>
    </xf>
    <xf numFmtId="0" fontId="15" fillId="0" borderId="0" xfId="0" applyFont="1" applyBorder="1">
      <alignment vertical="center"/>
    </xf>
    <xf numFmtId="0" fontId="15" fillId="0" borderId="2" xfId="0" applyFont="1" applyBorder="1" applyAlignment="1">
      <alignment horizontal="center" vertical="center"/>
    </xf>
    <xf numFmtId="172" fontId="15" fillId="0" borderId="0" xfId="1" applyNumberFormat="1" applyFont="1" applyAlignment="1">
      <alignment vertical="center"/>
    </xf>
    <xf numFmtId="171" fontId="15" fillId="0" borderId="0" xfId="1" applyNumberFormat="1" applyFont="1" applyAlignment="1">
      <alignment vertical="center"/>
    </xf>
    <xf numFmtId="171" fontId="15" fillId="0" borderId="0" xfId="0" applyNumberFormat="1" applyFont="1">
      <alignment vertical="center"/>
    </xf>
    <xf numFmtId="0" fontId="15" fillId="0" borderId="3" xfId="0" applyFont="1" applyBorder="1">
      <alignment vertical="center"/>
    </xf>
    <xf numFmtId="0" fontId="15" fillId="0" borderId="4" xfId="0" applyFont="1" applyBorder="1">
      <alignment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>
      <alignment vertical="center"/>
    </xf>
    <xf numFmtId="0" fontId="15" fillId="0" borderId="10" xfId="0" applyFont="1" applyBorder="1">
      <alignment vertical="center"/>
    </xf>
    <xf numFmtId="171" fontId="15" fillId="0" borderId="9" xfId="1" applyNumberFormat="1" applyFont="1" applyBorder="1" applyAlignment="1">
      <alignment vertical="center"/>
    </xf>
    <xf numFmtId="172" fontId="15" fillId="0" borderId="0" xfId="1" applyNumberFormat="1" applyFont="1" applyBorder="1" applyAlignment="1">
      <alignment vertical="center"/>
    </xf>
    <xf numFmtId="171" fontId="15" fillId="0" borderId="0" xfId="1" applyNumberFormat="1" applyFont="1" applyBorder="1" applyAlignment="1">
      <alignment vertical="center"/>
    </xf>
    <xf numFmtId="173" fontId="15" fillId="0" borderId="10" xfId="1" applyNumberFormat="1" applyFont="1" applyBorder="1" applyAlignment="1">
      <alignment vertical="center"/>
    </xf>
    <xf numFmtId="171" fontId="15" fillId="0" borderId="7" xfId="1" applyNumberFormat="1" applyFont="1" applyBorder="1" applyAlignment="1">
      <alignment vertical="center"/>
    </xf>
    <xf numFmtId="172" fontId="15" fillId="0" borderId="2" xfId="1" applyNumberFormat="1" applyFont="1" applyBorder="1" applyAlignment="1">
      <alignment vertical="center"/>
    </xf>
    <xf numFmtId="171" fontId="15" fillId="0" borderId="2" xfId="1" applyNumberFormat="1" applyFont="1" applyBorder="1" applyAlignment="1">
      <alignment vertical="center"/>
    </xf>
    <xf numFmtId="0" fontId="15" fillId="0" borderId="8" xfId="0" applyFont="1" applyBorder="1">
      <alignment vertical="center"/>
    </xf>
    <xf numFmtId="0" fontId="16" fillId="0" borderId="0" xfId="0" applyFont="1" applyFill="1">
      <alignment vertical="center"/>
    </xf>
    <xf numFmtId="164" fontId="5" fillId="0" borderId="0" xfId="0" applyNumberFormat="1" applyFont="1" applyFill="1" applyAlignment="1" applyProtection="1">
      <alignment vertical="center"/>
    </xf>
    <xf numFmtId="1" fontId="11" fillId="0" borderId="0" xfId="1" applyNumberFormat="1" applyFont="1" applyFill="1" applyAlignment="1" applyProtection="1">
      <alignment horizontal="centerContinuous" vertical="center"/>
    </xf>
    <xf numFmtId="166" fontId="11" fillId="0" borderId="1" xfId="0" applyNumberFormat="1" applyFont="1" applyFill="1" applyBorder="1" applyAlignment="1" applyProtection="1">
      <alignment horizontal="center" vertical="center"/>
    </xf>
    <xf numFmtId="167" fontId="17" fillId="0" borderId="0" xfId="0" applyNumberFormat="1" applyFont="1" applyFill="1" applyAlignment="1" applyProtection="1">
      <alignment vertical="center"/>
      <protection locked="0"/>
    </xf>
    <xf numFmtId="164" fontId="18" fillId="0" borderId="0" xfId="0" applyNumberFormat="1" applyFont="1" applyFill="1" applyAlignment="1" applyProtection="1">
      <alignment vertical="center"/>
      <protection locked="0"/>
    </xf>
    <xf numFmtId="0" fontId="19" fillId="0" borderId="0" xfId="0" applyFont="1" applyFill="1">
      <alignment vertical="center"/>
    </xf>
    <xf numFmtId="0" fontId="17" fillId="0" borderId="0" xfId="0" applyFont="1" applyFill="1" applyAlignment="1">
      <alignment vertical="center"/>
    </xf>
    <xf numFmtId="164" fontId="18" fillId="0" borderId="0" xfId="0" applyNumberFormat="1" applyFont="1" applyFill="1" applyAlignment="1" applyProtection="1">
      <alignment vertical="center"/>
    </xf>
    <xf numFmtId="164" fontId="17" fillId="0" borderId="0" xfId="0" applyNumberFormat="1" applyFont="1" applyFill="1" applyAlignment="1" applyProtection="1">
      <alignment vertical="center"/>
    </xf>
    <xf numFmtId="164" fontId="20" fillId="0" borderId="0" xfId="0" applyNumberFormat="1" applyFont="1" applyFill="1" applyAlignment="1" applyProtection="1">
      <alignment vertical="center"/>
    </xf>
    <xf numFmtId="164" fontId="18" fillId="0" borderId="1" xfId="0" applyNumberFormat="1" applyFont="1" applyFill="1" applyBorder="1" applyAlignment="1" applyProtection="1">
      <alignment vertical="center"/>
    </xf>
    <xf numFmtId="164" fontId="18" fillId="0" borderId="11" xfId="0" applyNumberFormat="1" applyFont="1" applyFill="1" applyBorder="1" applyAlignment="1" applyProtection="1">
      <alignment vertical="center"/>
    </xf>
    <xf numFmtId="164" fontId="21" fillId="0" borderId="0" xfId="0" applyNumberFormat="1" applyFont="1" applyFill="1" applyAlignment="1" applyProtection="1">
      <alignment vertical="center"/>
    </xf>
    <xf numFmtId="7" fontId="17" fillId="0" borderId="0" xfId="0" applyNumberFormat="1" applyFont="1" applyFill="1" applyAlignment="1" applyProtection="1">
      <alignment vertical="center"/>
    </xf>
    <xf numFmtId="39" fontId="17" fillId="0" borderId="0" xfId="0" applyNumberFormat="1" applyFont="1" applyFill="1" applyAlignment="1" applyProtection="1">
      <alignment vertical="center"/>
    </xf>
    <xf numFmtId="0" fontId="20" fillId="0" borderId="0" xfId="0" applyFont="1" applyFill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168" fontId="17" fillId="0" borderId="0" xfId="0" applyNumberFormat="1" applyFont="1" applyFill="1" applyAlignment="1" applyProtection="1">
      <alignment vertical="center"/>
    </xf>
    <xf numFmtId="168" fontId="20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</xf>
    <xf numFmtId="5" fontId="17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  <protection locked="0"/>
    </xf>
    <xf numFmtId="37" fontId="20" fillId="0" borderId="0" xfId="0" applyNumberFormat="1" applyFont="1" applyFill="1" applyAlignment="1" applyProtection="1">
      <alignment vertical="center"/>
    </xf>
    <xf numFmtId="37" fontId="17" fillId="0" borderId="1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Alignment="1" applyProtection="1">
      <alignment vertical="center"/>
      <protection locked="0"/>
    </xf>
    <xf numFmtId="5" fontId="20" fillId="0" borderId="0" xfId="0" applyNumberFormat="1" applyFont="1" applyFill="1" applyAlignment="1" applyProtection="1">
      <alignment vertical="center"/>
    </xf>
    <xf numFmtId="37" fontId="20" fillId="0" borderId="2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Border="1" applyAlignment="1" applyProtection="1">
      <alignment vertical="center"/>
    </xf>
    <xf numFmtId="9" fontId="20" fillId="0" borderId="0" xfId="0" applyNumberFormat="1" applyFont="1" applyFill="1" applyAlignment="1" applyProtection="1">
      <alignment vertical="center"/>
    </xf>
    <xf numFmtId="39" fontId="24" fillId="0" borderId="0" xfId="0" applyNumberFormat="1" applyFont="1" applyFill="1" applyAlignment="1" applyProtection="1">
      <alignment vertical="center"/>
    </xf>
    <xf numFmtId="43" fontId="24" fillId="0" borderId="0" xfId="1" applyFont="1" applyFill="1" applyAlignment="1" applyProtection="1">
      <alignment vertical="center"/>
    </xf>
    <xf numFmtId="7" fontId="24" fillId="0" borderId="0" xfId="0" applyNumberFormat="1" applyFont="1" applyFill="1" applyAlignment="1" applyProtection="1">
      <alignment vertical="center"/>
    </xf>
    <xf numFmtId="0" fontId="22" fillId="0" borderId="0" xfId="0" applyFont="1" applyFill="1">
      <alignment vertical="center"/>
    </xf>
    <xf numFmtId="164" fontId="18" fillId="0" borderId="0" xfId="0" applyNumberFormat="1" applyFont="1" applyFill="1" applyBorder="1" applyAlignment="1" applyProtection="1">
      <alignment vertical="center"/>
    </xf>
    <xf numFmtId="0" fontId="26" fillId="0" borderId="0" xfId="0" applyFont="1" applyFill="1" applyAlignment="1">
      <alignment horizontal="centerContinuous" vertical="center"/>
    </xf>
    <xf numFmtId="164" fontId="27" fillId="0" borderId="0" xfId="0" applyNumberFormat="1" applyFont="1" applyFill="1" applyAlignment="1" applyProtection="1">
      <alignment horizontal="centerContinuous" vertical="center"/>
    </xf>
    <xf numFmtId="0" fontId="15" fillId="0" borderId="0" xfId="0" applyFont="1" applyFill="1">
      <alignment vertical="center"/>
    </xf>
    <xf numFmtId="37" fontId="26" fillId="0" borderId="0" xfId="0" applyNumberFormat="1" applyFont="1" applyFill="1" applyAlignment="1" applyProtection="1">
      <alignment horizontal="centerContinuous" vertical="center"/>
    </xf>
    <xf numFmtId="22" fontId="27" fillId="0" borderId="0" xfId="0" applyNumberFormat="1" applyFont="1" applyFill="1" applyAlignment="1" applyProtection="1">
      <alignment horizontal="centerContinuous" vertical="center"/>
    </xf>
    <xf numFmtId="0" fontId="26" fillId="0" borderId="0" xfId="0" applyFont="1" applyFill="1" applyAlignment="1" applyProtection="1">
      <alignment horizontal="centerContinuous" vertical="center"/>
      <protection locked="0"/>
    </xf>
    <xf numFmtId="0" fontId="26" fillId="0" borderId="0" xfId="0" applyFont="1" applyAlignment="1">
      <alignment horizontal="centerContinuous" vertical="center"/>
    </xf>
    <xf numFmtId="0" fontId="27" fillId="0" borderId="0" xfId="0" applyFont="1" applyAlignment="1">
      <alignment horizontal="centerContinuous" vertical="center"/>
    </xf>
    <xf numFmtId="180" fontId="17" fillId="0" borderId="0" xfId="0" applyNumberFormat="1" applyFont="1" applyFill="1" applyAlignment="1" applyProtection="1">
      <alignment vertical="center"/>
    </xf>
    <xf numFmtId="180" fontId="18" fillId="0" borderId="0" xfId="0" applyNumberFormat="1" applyFont="1" applyFill="1" applyAlignment="1" applyProtection="1">
      <alignment vertical="center"/>
    </xf>
    <xf numFmtId="37" fontId="8" fillId="0" borderId="0" xfId="0" applyNumberFormat="1" applyFont="1" applyFill="1" applyAlignment="1" applyProtection="1">
      <alignment vertical="center"/>
    </xf>
    <xf numFmtId="37" fontId="17" fillId="0" borderId="0" xfId="0" applyNumberFormat="1" applyFont="1" applyFill="1" applyBorder="1" applyAlignment="1" applyProtection="1">
      <alignment vertical="center"/>
    </xf>
    <xf numFmtId="179" fontId="16" fillId="0" borderId="0" xfId="0" applyNumberFormat="1" applyFont="1" applyFill="1">
      <alignment vertical="center"/>
    </xf>
    <xf numFmtId="37" fontId="18" fillId="0" borderId="0" xfId="0" applyNumberFormat="1" applyFont="1" applyFill="1" applyBorder="1" applyAlignment="1" applyProtection="1">
      <alignment vertical="center"/>
    </xf>
    <xf numFmtId="22" fontId="7" fillId="0" borderId="0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 applyProtection="1">
      <alignment vertical="center"/>
    </xf>
    <xf numFmtId="164" fontId="8" fillId="0" borderId="11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Alignment="1" applyProtection="1">
      <alignment vertical="center"/>
      <protection locked="0"/>
    </xf>
    <xf numFmtId="164" fontId="8" fillId="0" borderId="2" xfId="0" applyNumberFormat="1" applyFont="1" applyFill="1" applyBorder="1" applyAlignment="1" applyProtection="1">
      <alignment vertical="center"/>
    </xf>
    <xf numFmtId="164" fontId="8" fillId="0" borderId="0" xfId="0" applyNumberFormat="1" applyFont="1" applyFill="1" applyBorder="1" applyAlignment="1" applyProtection="1">
      <alignment vertical="center"/>
    </xf>
    <xf numFmtId="164" fontId="28" fillId="0" borderId="0" xfId="0" applyNumberFormat="1" applyFont="1" applyFill="1" applyAlignment="1" applyProtection="1">
      <alignment vertical="center"/>
    </xf>
    <xf numFmtId="7" fontId="8" fillId="0" borderId="0" xfId="0" applyNumberFormat="1" applyFont="1" applyFill="1" applyAlignment="1" applyProtection="1">
      <alignment vertical="center"/>
    </xf>
    <xf numFmtId="168" fontId="8" fillId="0" borderId="0" xfId="0" applyNumberFormat="1" applyFont="1" applyFill="1" applyAlignment="1" applyProtection="1">
      <alignment vertical="center"/>
    </xf>
    <xf numFmtId="180" fontId="8" fillId="0" borderId="0" xfId="2" applyNumberFormat="1" applyFont="1" applyFill="1" applyAlignment="1" applyProtection="1">
      <alignment vertical="center"/>
      <protection locked="0"/>
    </xf>
    <xf numFmtId="180" fontId="8" fillId="0" borderId="2" xfId="2" applyNumberFormat="1" applyFont="1" applyFill="1" applyBorder="1" applyAlignment="1" applyProtection="1">
      <alignment vertical="center"/>
      <protection locked="0"/>
    </xf>
    <xf numFmtId="180" fontId="8" fillId="0" borderId="11" xfId="0" applyNumberFormat="1" applyFont="1" applyFill="1" applyBorder="1" applyAlignment="1" applyProtection="1">
      <alignment vertical="center"/>
    </xf>
    <xf numFmtId="180" fontId="8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Alignment="1" applyProtection="1">
      <alignment vertical="center"/>
    </xf>
    <xf numFmtId="180" fontId="8" fillId="0" borderId="0" xfId="0" applyNumberFormat="1" applyFont="1" applyFill="1" applyAlignment="1" applyProtection="1">
      <alignment vertical="center"/>
    </xf>
    <xf numFmtId="180" fontId="8" fillId="0" borderId="0" xfId="2" applyNumberFormat="1" applyFont="1" applyFill="1" applyBorder="1" applyAlignment="1" applyProtection="1">
      <alignment vertical="center"/>
      <protection locked="0"/>
    </xf>
    <xf numFmtId="180" fontId="8" fillId="0" borderId="2" xfId="0" applyNumberFormat="1" applyFont="1" applyFill="1" applyBorder="1" applyAlignment="1" applyProtection="1">
      <alignment vertical="center"/>
    </xf>
    <xf numFmtId="180" fontId="8" fillId="0" borderId="1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Alignment="1" applyProtection="1">
      <alignment vertical="center"/>
    </xf>
    <xf numFmtId="180" fontId="4" fillId="0" borderId="0" xfId="1" applyNumberFormat="1" applyFont="1" applyFill="1" applyAlignment="1" applyProtection="1">
      <alignment vertical="center"/>
    </xf>
    <xf numFmtId="180" fontId="2" fillId="0" borderId="0" xfId="0" applyNumberFormat="1" applyFont="1" applyFill="1" applyAlignment="1">
      <alignment vertical="center"/>
    </xf>
    <xf numFmtId="180" fontId="7" fillId="0" borderId="0" xfId="0" applyNumberFormat="1" applyFont="1" applyFill="1" applyBorder="1" applyAlignment="1">
      <alignment vertical="center"/>
    </xf>
    <xf numFmtId="180" fontId="4" fillId="0" borderId="12" xfId="0" applyNumberFormat="1" applyFont="1" applyFill="1" applyBorder="1" applyAlignment="1" applyProtection="1">
      <alignment vertical="center"/>
    </xf>
    <xf numFmtId="164" fontId="4" fillId="0" borderId="2" xfId="0" applyNumberFormat="1" applyFont="1" applyFill="1" applyBorder="1" applyAlignment="1" applyProtection="1">
      <alignment vertical="center"/>
    </xf>
    <xf numFmtId="177" fontId="2" fillId="0" borderId="0" xfId="0" applyNumberFormat="1" applyFont="1" applyFill="1" applyAlignment="1">
      <alignment vertical="center"/>
    </xf>
    <xf numFmtId="168" fontId="2" fillId="0" borderId="0" xfId="0" applyNumberFormat="1" applyFont="1" applyFill="1" applyAlignment="1" applyProtection="1">
      <alignment vertical="center"/>
    </xf>
    <xf numFmtId="181" fontId="4" fillId="0" borderId="0" xfId="0" applyNumberFormat="1" applyFont="1" applyFill="1" applyAlignment="1" applyProtection="1">
      <alignment vertical="center"/>
    </xf>
    <xf numFmtId="181" fontId="2" fillId="0" borderId="0" xfId="0" applyNumberFormat="1" applyFont="1" applyFill="1" applyAlignment="1" applyProtection="1">
      <alignment vertical="center"/>
    </xf>
    <xf numFmtId="174" fontId="2" fillId="0" borderId="0" xfId="0" applyNumberFormat="1" applyFont="1" applyFill="1" applyAlignment="1" applyProtection="1">
      <alignment vertical="center"/>
      <protection locked="0"/>
    </xf>
    <xf numFmtId="164" fontId="5" fillId="0" borderId="2" xfId="0" applyNumberFormat="1" applyFont="1" applyFill="1" applyBorder="1" applyAlignment="1" applyProtection="1">
      <alignment vertical="center"/>
    </xf>
    <xf numFmtId="180" fontId="5" fillId="0" borderId="2" xfId="0" applyNumberFormat="1" applyFont="1" applyFill="1" applyBorder="1" applyAlignment="1">
      <alignment vertical="center"/>
    </xf>
    <xf numFmtId="180" fontId="5" fillId="0" borderId="2" xfId="0" applyNumberFormat="1" applyFont="1" applyFill="1" applyBorder="1" applyAlignment="1" applyProtection="1">
      <alignment vertical="center"/>
    </xf>
    <xf numFmtId="0" fontId="25" fillId="0" borderId="0" xfId="0" applyFont="1" applyAlignment="1">
      <alignment horizontal="center"/>
    </xf>
    <xf numFmtId="3" fontId="0" fillId="0" borderId="0" xfId="0" applyNumberFormat="1" applyBorder="1">
      <alignment vertical="center"/>
    </xf>
    <xf numFmtId="38" fontId="0" fillId="0" borderId="0" xfId="0" applyNumberFormat="1">
      <alignment vertical="center"/>
    </xf>
    <xf numFmtId="183" fontId="0" fillId="0" borderId="0" xfId="0" applyNumberFormat="1">
      <alignment vertical="center"/>
    </xf>
    <xf numFmtId="183" fontId="0" fillId="0" borderId="4" xfId="0" applyNumberFormat="1" applyBorder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164" fontId="5" fillId="0" borderId="13" xfId="0" applyNumberFormat="1" applyFont="1" applyFill="1" applyBorder="1" applyAlignment="1" applyProtection="1">
      <alignment vertical="center"/>
    </xf>
    <xf numFmtId="170" fontId="30" fillId="0" borderId="0" xfId="0" applyNumberFormat="1" applyFont="1" applyFill="1" applyAlignment="1" applyProtection="1">
      <alignment vertical="center"/>
    </xf>
    <xf numFmtId="170" fontId="31" fillId="0" borderId="0" xfId="0" applyNumberFormat="1" applyFont="1" applyFill="1" applyAlignment="1" applyProtection="1">
      <alignment vertical="center"/>
    </xf>
    <xf numFmtId="180" fontId="4" fillId="0" borderId="2" xfId="1" applyNumberFormat="1" applyFont="1" applyFill="1" applyBorder="1" applyAlignment="1" applyProtection="1">
      <alignment vertical="center"/>
    </xf>
    <xf numFmtId="180" fontId="5" fillId="0" borderId="0" xfId="0" applyNumberFormat="1" applyFont="1" applyFill="1" applyBorder="1" applyAlignment="1">
      <alignment vertical="center"/>
    </xf>
    <xf numFmtId="180" fontId="5" fillId="0" borderId="0" xfId="0" applyNumberFormat="1" applyFont="1" applyFill="1" applyBorder="1" applyAlignment="1" applyProtection="1">
      <alignment vertical="center"/>
    </xf>
    <xf numFmtId="180" fontId="4" fillId="0" borderId="13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 applyProtection="1">
      <alignment vertical="center"/>
    </xf>
    <xf numFmtId="37" fontId="20" fillId="0" borderId="0" xfId="0" applyNumberFormat="1" applyFont="1" applyFill="1" applyBorder="1" applyAlignment="1" applyProtection="1">
      <alignment vertical="center"/>
      <protection locked="0"/>
    </xf>
    <xf numFmtId="180" fontId="23" fillId="0" borderId="0" xfId="0" applyNumberFormat="1" applyFont="1" applyFill="1" applyBorder="1" applyAlignment="1">
      <alignment horizontal="center" vertical="center"/>
    </xf>
    <xf numFmtId="180" fontId="23" fillId="0" borderId="0" xfId="0" applyNumberFormat="1" applyFont="1" applyFill="1" applyBorder="1" applyAlignment="1" applyProtection="1">
      <alignment horizontal="center" vertical="center"/>
    </xf>
    <xf numFmtId="0" fontId="7" fillId="0" borderId="4" xfId="0" applyFont="1" applyFill="1" applyBorder="1" applyAlignment="1">
      <alignment vertical="center"/>
    </xf>
    <xf numFmtId="164" fontId="8" fillId="0" borderId="14" xfId="0" applyNumberFormat="1" applyFont="1" applyFill="1" applyBorder="1" applyAlignment="1" applyProtection="1">
      <alignment vertical="center"/>
    </xf>
    <xf numFmtId="164" fontId="8" fillId="0" borderId="10" xfId="0" applyNumberFormat="1" applyFont="1" applyFill="1" applyBorder="1" applyAlignment="1" applyProtection="1">
      <alignment vertical="center"/>
    </xf>
    <xf numFmtId="164" fontId="8" fillId="0" borderId="15" xfId="0" applyNumberFormat="1" applyFont="1" applyFill="1" applyBorder="1" applyAlignment="1" applyProtection="1">
      <alignment vertical="center"/>
    </xf>
    <xf numFmtId="164" fontId="8" fillId="0" borderId="8" xfId="0" applyNumberFormat="1" applyFont="1" applyFill="1" applyBorder="1" applyAlignment="1" applyProtection="1">
      <alignment vertical="center"/>
    </xf>
    <xf numFmtId="164" fontId="8" fillId="0" borderId="16" xfId="0" applyNumberFormat="1" applyFont="1" applyFill="1" applyBorder="1" applyAlignment="1" applyProtection="1">
      <alignment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2" fillId="0" borderId="0" xfId="0" applyFont="1">
      <alignment vertical="center"/>
    </xf>
    <xf numFmtId="0" fontId="10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0" fontId="33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8" fillId="0" borderId="18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7" fillId="0" borderId="2" xfId="0" quotePrefix="1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33" fillId="0" borderId="3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left" vertical="center"/>
    </xf>
    <xf numFmtId="0" fontId="7" fillId="0" borderId="7" xfId="0" quotePrefix="1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19" xfId="0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37" fontId="4" fillId="0" borderId="0" xfId="0" applyNumberFormat="1" applyFont="1" applyFill="1" applyBorder="1" applyAlignment="1">
      <alignment horizontal="left" vertical="center"/>
    </xf>
    <xf numFmtId="0" fontId="3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32" fillId="0" borderId="0" xfId="0" applyFont="1" applyFill="1">
      <alignment vertical="center"/>
    </xf>
    <xf numFmtId="180" fontId="4" fillId="0" borderId="21" xfId="0" applyNumberFormat="1" applyFont="1" applyFill="1" applyBorder="1" applyAlignment="1" applyProtection="1">
      <alignment vertical="center"/>
    </xf>
    <xf numFmtId="172" fontId="5" fillId="0" borderId="8" xfId="1" applyNumberFormat="1" applyFont="1" applyFill="1" applyBorder="1" applyAlignment="1">
      <alignment vertical="center"/>
    </xf>
    <xf numFmtId="180" fontId="5" fillId="0" borderId="8" xfId="0" applyNumberFormat="1" applyFont="1" applyFill="1" applyBorder="1" applyAlignment="1">
      <alignment vertical="center"/>
    </xf>
    <xf numFmtId="180" fontId="5" fillId="0" borderId="8" xfId="0" applyNumberFormat="1" applyFont="1" applyFill="1" applyBorder="1" applyAlignment="1" applyProtection="1">
      <alignment vertical="center"/>
    </xf>
    <xf numFmtId="180" fontId="4" fillId="0" borderId="22" xfId="0" applyNumberFormat="1" applyFont="1" applyFill="1" applyBorder="1" applyAlignment="1">
      <alignment vertical="center"/>
    </xf>
    <xf numFmtId="180" fontId="4" fillId="0" borderId="0" xfId="0" applyNumberFormat="1" applyFont="1" applyFill="1" applyAlignment="1" applyProtection="1">
      <alignment vertical="center"/>
    </xf>
    <xf numFmtId="180" fontId="4" fillId="0" borderId="2" xfId="0" applyNumberFormat="1" applyFont="1" applyFill="1" applyBorder="1" applyAlignment="1" applyProtection="1">
      <alignment vertical="center"/>
    </xf>
    <xf numFmtId="180" fontId="5" fillId="0" borderId="0" xfId="0" applyNumberFormat="1" applyFont="1" applyFill="1" applyAlignment="1" applyProtection="1">
      <alignment vertical="center"/>
    </xf>
    <xf numFmtId="180" fontId="5" fillId="0" borderId="13" xfId="0" applyNumberFormat="1" applyFont="1" applyFill="1" applyBorder="1" applyAlignment="1" applyProtection="1">
      <alignment vertical="center"/>
    </xf>
    <xf numFmtId="180" fontId="5" fillId="0" borderId="2" xfId="1" applyNumberFormat="1" applyFont="1" applyFill="1" applyBorder="1" applyAlignment="1">
      <alignment vertical="center"/>
    </xf>
    <xf numFmtId="180" fontId="4" fillId="0" borderId="0" xfId="2" applyNumberFormat="1" applyFont="1" applyFill="1" applyAlignment="1" applyProtection="1">
      <alignment vertical="center"/>
      <protection locked="0"/>
    </xf>
    <xf numFmtId="167" fontId="2" fillId="0" borderId="0" xfId="0" applyNumberFormat="1" applyFont="1" applyFill="1" applyAlignment="1" applyProtection="1">
      <alignment vertical="center"/>
      <protection locked="0"/>
    </xf>
    <xf numFmtId="164" fontId="7" fillId="2" borderId="0" xfId="0" applyNumberFormat="1" applyFont="1" applyFill="1" applyAlignment="1" applyProtection="1">
      <alignment vertical="center"/>
    </xf>
    <xf numFmtId="164" fontId="7" fillId="2" borderId="1" xfId="0" applyNumberFormat="1" applyFont="1" applyFill="1" applyBorder="1" applyAlignment="1" applyProtection="1">
      <alignment vertical="center"/>
    </xf>
    <xf numFmtId="164" fontId="7" fillId="2" borderId="0" xfId="0" applyNumberFormat="1" applyFont="1" applyFill="1" applyBorder="1" applyAlignment="1" applyProtection="1">
      <alignment vertical="center"/>
    </xf>
    <xf numFmtId="181" fontId="7" fillId="2" borderId="0" xfId="0" applyNumberFormat="1" applyFont="1" applyFill="1" applyAlignment="1" applyProtection="1">
      <alignment vertical="center"/>
    </xf>
    <xf numFmtId="164" fontId="2" fillId="2" borderId="0" xfId="0" applyNumberFormat="1" applyFont="1" applyFill="1" applyAlignment="1" applyProtection="1">
      <alignment vertical="center"/>
    </xf>
    <xf numFmtId="164" fontId="2" fillId="2" borderId="1" xfId="0" applyNumberFormat="1" applyFont="1" applyFill="1" applyBorder="1" applyAlignment="1" applyProtection="1">
      <alignment vertical="center"/>
    </xf>
    <xf numFmtId="180" fontId="7" fillId="2" borderId="0" xfId="0" applyNumberFormat="1" applyFont="1" applyFill="1" applyAlignment="1" applyProtection="1">
      <alignment vertical="center"/>
    </xf>
    <xf numFmtId="180" fontId="30" fillId="2" borderId="0" xfId="0" applyNumberFormat="1" applyFont="1" applyFill="1" applyAlignment="1" applyProtection="1">
      <alignment vertical="center"/>
    </xf>
    <xf numFmtId="180" fontId="7" fillId="2" borderId="2" xfId="0" applyNumberFormat="1" applyFont="1" applyFill="1" applyBorder="1" applyAlignment="1" applyProtection="1">
      <alignment vertical="center"/>
    </xf>
    <xf numFmtId="180" fontId="8" fillId="2" borderId="0" xfId="0" applyNumberFormat="1" applyFont="1" applyFill="1" applyAlignment="1" applyProtection="1">
      <alignment vertical="center"/>
    </xf>
    <xf numFmtId="164" fontId="7" fillId="2" borderId="2" xfId="0" applyNumberFormat="1" applyFont="1" applyFill="1" applyBorder="1" applyAlignment="1" applyProtection="1">
      <alignment vertical="center"/>
    </xf>
    <xf numFmtId="180" fontId="4" fillId="3" borderId="0" xfId="0" applyNumberFormat="1" applyFont="1" applyFill="1" applyAlignment="1" applyProtection="1">
      <alignment vertical="center"/>
    </xf>
    <xf numFmtId="37" fontId="20" fillId="3" borderId="0" xfId="0" applyNumberFormat="1" applyFont="1" applyFill="1" applyAlignment="1" applyProtection="1">
      <alignment vertical="center"/>
    </xf>
    <xf numFmtId="37" fontId="20" fillId="3" borderId="0" xfId="0" applyNumberFormat="1" applyFont="1" applyFill="1" applyAlignment="1" applyProtection="1">
      <alignment vertical="center"/>
      <protection locked="0"/>
    </xf>
    <xf numFmtId="180" fontId="4" fillId="3" borderId="2" xfId="0" applyNumberFormat="1" applyFont="1" applyFill="1" applyBorder="1" applyAlignment="1" applyProtection="1">
      <alignment vertical="center"/>
    </xf>
    <xf numFmtId="37" fontId="20" fillId="3" borderId="2" xfId="0" applyNumberFormat="1" applyFont="1" applyFill="1" applyBorder="1" applyAlignment="1" applyProtection="1">
      <alignment vertical="center"/>
    </xf>
    <xf numFmtId="37" fontId="2" fillId="2" borderId="0" xfId="0" applyNumberFormat="1" applyFont="1" applyFill="1" applyAlignment="1" applyProtection="1">
      <alignment vertical="center"/>
    </xf>
    <xf numFmtId="0" fontId="2" fillId="2" borderId="0" xfId="0" applyFont="1" applyFill="1" applyAlignment="1">
      <alignment vertical="center"/>
    </xf>
    <xf numFmtId="175" fontId="7" fillId="2" borderId="0" xfId="5" applyNumberFormat="1" applyFont="1" applyFill="1" applyAlignment="1" applyProtection="1">
      <alignment vertical="center"/>
    </xf>
    <xf numFmtId="181" fontId="4" fillId="2" borderId="0" xfId="0" applyNumberFormat="1" applyFont="1" applyFill="1" applyAlignment="1" applyProtection="1">
      <alignment vertical="center"/>
    </xf>
    <xf numFmtId="180" fontId="7" fillId="2" borderId="0" xfId="0" applyNumberFormat="1" applyFont="1" applyFill="1" applyBorder="1" applyAlignment="1" applyProtection="1">
      <alignment vertical="center"/>
    </xf>
    <xf numFmtId="0" fontId="36" fillId="0" borderId="0" xfId="0" applyFont="1" applyFill="1" applyAlignment="1">
      <alignment horizontal="left" vertical="center"/>
    </xf>
    <xf numFmtId="164" fontId="36" fillId="2" borderId="0" xfId="0" applyNumberFormat="1" applyFont="1" applyFill="1" applyAlignment="1" applyProtection="1">
      <alignment vertical="center"/>
    </xf>
    <xf numFmtId="180" fontId="36" fillId="2" borderId="2" xfId="0" applyNumberFormat="1" applyFont="1" applyFill="1" applyBorder="1" applyAlignment="1" applyProtection="1">
      <alignment vertical="center"/>
    </xf>
    <xf numFmtId="180" fontId="37" fillId="0" borderId="2" xfId="1" applyNumberFormat="1" applyFont="1" applyFill="1" applyBorder="1" applyAlignment="1" applyProtection="1">
      <alignment vertical="center"/>
    </xf>
    <xf numFmtId="180" fontId="36" fillId="2" borderId="0" xfId="0" applyNumberFormat="1" applyFont="1" applyFill="1" applyAlignment="1" applyProtection="1">
      <alignment vertical="center"/>
    </xf>
    <xf numFmtId="0" fontId="20" fillId="0" borderId="0" xfId="0" applyFont="1">
      <alignment vertical="center"/>
    </xf>
    <xf numFmtId="14" fontId="20" fillId="0" borderId="0" xfId="0" applyNumberFormat="1" applyFont="1">
      <alignment vertical="center"/>
    </xf>
    <xf numFmtId="0" fontId="20" fillId="0" borderId="0" xfId="0" applyFont="1" applyAlignment="1">
      <alignment horizontal="center" vertical="center"/>
    </xf>
    <xf numFmtId="171" fontId="20" fillId="0" borderId="0" xfId="1" applyNumberFormat="1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Fill="1" applyAlignment="1">
      <alignment horizontal="right" vertical="center" wrapText="1"/>
    </xf>
    <xf numFmtId="171" fontId="20" fillId="0" borderId="2" xfId="1" applyNumberFormat="1" applyFont="1" applyBorder="1" applyAlignment="1">
      <alignment vertical="center"/>
    </xf>
    <xf numFmtId="171" fontId="20" fillId="0" borderId="0" xfId="1" applyNumberFormat="1" applyFont="1" applyBorder="1" applyAlignment="1">
      <alignment vertical="center"/>
    </xf>
    <xf numFmtId="0" fontId="20" fillId="4" borderId="0" xfId="0" applyFont="1" applyFill="1">
      <alignment vertical="center"/>
    </xf>
    <xf numFmtId="0" fontId="20" fillId="4" borderId="0" xfId="0" applyFont="1" applyFill="1" applyAlignment="1">
      <alignment horizontal="right" vertical="center"/>
    </xf>
    <xf numFmtId="171" fontId="20" fillId="4" borderId="0" xfId="1" applyNumberFormat="1" applyFont="1" applyFill="1" applyAlignment="1">
      <alignment vertical="center"/>
    </xf>
    <xf numFmtId="0" fontId="20" fillId="4" borderId="0" xfId="0" applyFont="1" applyFill="1" applyAlignment="1">
      <alignment horizontal="center" vertical="center"/>
    </xf>
    <xf numFmtId="173" fontId="20" fillId="0" borderId="0" xfId="1" applyNumberFormat="1" applyFont="1" applyAlignment="1">
      <alignment vertical="center"/>
    </xf>
    <xf numFmtId="173" fontId="20" fillId="4" borderId="0" xfId="1" applyNumberFormat="1" applyFont="1" applyFill="1" applyAlignment="1">
      <alignment vertical="center"/>
    </xf>
    <xf numFmtId="14" fontId="20" fillId="0" borderId="0" xfId="0" applyNumberFormat="1" applyFont="1" applyAlignment="1">
      <alignment horizontal="right" vertical="center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171" fontId="20" fillId="0" borderId="0" xfId="1" applyNumberFormat="1" applyFont="1" applyFill="1" applyAlignment="1">
      <alignment vertical="center"/>
    </xf>
    <xf numFmtId="173" fontId="20" fillId="0" borderId="0" xfId="1" applyNumberFormat="1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71" fontId="20" fillId="0" borderId="2" xfId="1" applyNumberFormat="1" applyFont="1" applyFill="1" applyBorder="1" applyAlignment="1">
      <alignment vertical="center"/>
    </xf>
    <xf numFmtId="0" fontId="36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left" vertical="center"/>
    </xf>
    <xf numFmtId="14" fontId="20" fillId="0" borderId="0" xfId="0" applyNumberFormat="1" applyFont="1" applyFill="1" applyAlignment="1">
      <alignment horizontal="right" vertical="center" wrapText="1"/>
    </xf>
    <xf numFmtId="14" fontId="20" fillId="0" borderId="0" xfId="0" applyNumberFormat="1" applyFont="1" applyFill="1" applyAlignment="1">
      <alignment horizontal="right" vertical="center"/>
    </xf>
    <xf numFmtId="188" fontId="20" fillId="0" borderId="0" xfId="2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/>
    </xf>
    <xf numFmtId="14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 applyFill="1" applyAlignment="1">
      <alignment horizontal="right"/>
    </xf>
    <xf numFmtId="14" fontId="39" fillId="0" borderId="0" xfId="0" applyNumberFormat="1" applyFont="1" applyFill="1" applyBorder="1" applyAlignment="1">
      <alignment horizontal="right"/>
    </xf>
    <xf numFmtId="14" fontId="39" fillId="0" borderId="0" xfId="0" applyNumberFormat="1" applyFont="1" applyFill="1" applyAlignment="1">
      <alignment horizontal="right"/>
    </xf>
    <xf numFmtId="14" fontId="40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39" fillId="0" borderId="0" xfId="0" applyNumberFormat="1" applyFont="1" applyFill="1" applyBorder="1" applyAlignment="1">
      <alignment horizontal="right"/>
    </xf>
    <xf numFmtId="188" fontId="20" fillId="0" borderId="0" xfId="2" applyNumberFormat="1" applyFont="1" applyFill="1" applyAlignment="1">
      <alignment horizontal="center"/>
    </xf>
    <xf numFmtId="188" fontId="20" fillId="0" borderId="0" xfId="2" applyNumberFormat="1" applyFont="1" applyFill="1"/>
    <xf numFmtId="0" fontId="20" fillId="0" borderId="0" xfId="0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4" fontId="20" fillId="0" borderId="0" xfId="0" applyNumberFormat="1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189" fontId="20" fillId="0" borderId="0" xfId="2" applyNumberFormat="1" applyFont="1" applyFill="1" applyBorder="1" applyAlignment="1">
      <alignment horizontal="center"/>
    </xf>
    <xf numFmtId="43" fontId="20" fillId="0" borderId="0" xfId="1" applyFont="1" applyFill="1" applyAlignment="1">
      <alignment horizontal="center"/>
    </xf>
    <xf numFmtId="43" fontId="20" fillId="0" borderId="0" xfId="1" applyFont="1" applyFill="1" applyBorder="1" applyAlignment="1">
      <alignment horizontal="center"/>
    </xf>
    <xf numFmtId="189" fontId="20" fillId="0" borderId="0" xfId="2" quotePrefix="1" applyNumberFormat="1" applyFont="1" applyFill="1" applyBorder="1" applyAlignment="1">
      <alignment horizontal="center"/>
    </xf>
    <xf numFmtId="4" fontId="20" fillId="0" borderId="0" xfId="0" applyNumberFormat="1" applyFont="1">
      <alignment vertical="center"/>
    </xf>
    <xf numFmtId="0" fontId="20" fillId="0" borderId="0" xfId="0" applyFont="1" applyAlignment="1">
      <alignment vertical="center" wrapText="1"/>
    </xf>
    <xf numFmtId="43" fontId="20" fillId="0" borderId="0" xfId="1" applyFont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9" fontId="20" fillId="0" borderId="0" xfId="5" applyFont="1" applyAlignment="1">
      <alignment vertical="center"/>
    </xf>
    <xf numFmtId="171" fontId="20" fillId="0" borderId="0" xfId="1" applyNumberFormat="1" applyFont="1" applyAlignment="1">
      <alignment horizontal="center" vertical="center"/>
    </xf>
    <xf numFmtId="164" fontId="17" fillId="0" borderId="23" xfId="0" applyNumberFormat="1" applyFont="1" applyFill="1" applyBorder="1" applyAlignment="1" applyProtection="1">
      <alignment vertical="center"/>
    </xf>
    <xf numFmtId="164" fontId="17" fillId="0" borderId="4" xfId="0" applyNumberFormat="1" applyFont="1" applyFill="1" applyBorder="1" applyAlignment="1" applyProtection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9" fontId="20" fillId="0" borderId="7" xfId="5" applyFont="1" applyBorder="1" applyAlignment="1">
      <alignment vertical="center"/>
    </xf>
    <xf numFmtId="9" fontId="20" fillId="0" borderId="2" xfId="5" applyFont="1" applyBorder="1" applyAlignment="1">
      <alignment vertical="center"/>
    </xf>
    <xf numFmtId="0" fontId="20" fillId="0" borderId="23" xfId="0" applyFont="1" applyBorder="1">
      <alignment vertical="center"/>
    </xf>
    <xf numFmtId="0" fontId="20" fillId="0" borderId="4" xfId="0" applyFont="1" applyBorder="1">
      <alignment vertical="center"/>
    </xf>
    <xf numFmtId="43" fontId="20" fillId="0" borderId="23" xfId="1" applyFont="1" applyBorder="1" applyAlignment="1">
      <alignment vertical="center"/>
    </xf>
    <xf numFmtId="43" fontId="20" fillId="0" borderId="4" xfId="1" applyFont="1" applyBorder="1" applyAlignment="1">
      <alignment vertical="center"/>
    </xf>
    <xf numFmtId="43" fontId="20" fillId="0" borderId="9" xfId="1" applyFont="1" applyBorder="1" applyAlignment="1">
      <alignment vertical="center"/>
    </xf>
    <xf numFmtId="43" fontId="20" fillId="0" borderId="0" xfId="1" applyFont="1" applyBorder="1" applyAlignment="1">
      <alignment vertical="center"/>
    </xf>
    <xf numFmtId="171" fontId="20" fillId="0" borderId="23" xfId="1" applyNumberFormat="1" applyFont="1" applyBorder="1" applyAlignment="1">
      <alignment vertical="center"/>
    </xf>
    <xf numFmtId="171" fontId="20" fillId="0" borderId="4" xfId="1" applyNumberFormat="1" applyFont="1" applyBorder="1" applyAlignment="1">
      <alignment vertical="center"/>
    </xf>
    <xf numFmtId="171" fontId="20" fillId="0" borderId="9" xfId="1" applyNumberFormat="1" applyFont="1" applyBorder="1" applyAlignment="1">
      <alignment vertical="center"/>
    </xf>
    <xf numFmtId="164" fontId="17" fillId="0" borderId="9" xfId="0" applyNumberFormat="1" applyFont="1" applyFill="1" applyBorder="1" applyAlignment="1" applyProtection="1">
      <alignment vertical="center"/>
    </xf>
    <xf numFmtId="164" fontId="17" fillId="0" borderId="0" xfId="0" applyNumberFormat="1" applyFont="1" applyFill="1" applyBorder="1" applyAlignment="1" applyProtection="1">
      <alignment vertical="center"/>
    </xf>
    <xf numFmtId="9" fontId="20" fillId="0" borderId="3" xfId="5" applyFont="1" applyBorder="1" applyAlignment="1">
      <alignment vertical="center"/>
    </xf>
    <xf numFmtId="9" fontId="20" fillId="0" borderId="5" xfId="5" applyFont="1" applyBorder="1" applyAlignment="1">
      <alignment vertical="center"/>
    </xf>
    <xf numFmtId="9" fontId="20" fillId="0" borderId="6" xfId="5" applyFont="1" applyBorder="1" applyAlignment="1">
      <alignment vertical="center"/>
    </xf>
    <xf numFmtId="9" fontId="20" fillId="0" borderId="0" xfId="5" applyFont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14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10" xfId="0" applyFont="1" applyFill="1" applyBorder="1" applyAlignment="1">
      <alignment vertical="center"/>
    </xf>
    <xf numFmtId="0" fontId="20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right"/>
    </xf>
    <xf numFmtId="43" fontId="41" fillId="0" borderId="0" xfId="1" applyFont="1" applyAlignment="1">
      <alignment horizontal="centerContinuous"/>
    </xf>
    <xf numFmtId="43" fontId="29" fillId="0" borderId="0" xfId="1" applyFont="1" applyAlignment="1">
      <alignment horizontal="centerContinuous"/>
    </xf>
    <xf numFmtId="0" fontId="0" fillId="0" borderId="0" xfId="0" applyAlignment="1">
      <alignment horizontal="centerContinuous"/>
    </xf>
    <xf numFmtId="43" fontId="29" fillId="0" borderId="0" xfId="1" applyFont="1"/>
    <xf numFmtId="43" fontId="0" fillId="0" borderId="0" xfId="1" applyFont="1"/>
    <xf numFmtId="43" fontId="0" fillId="0" borderId="0" xfId="1" applyFont="1" applyAlignment="1">
      <alignment horizontal="centerContinuous"/>
    </xf>
    <xf numFmtId="0" fontId="42" fillId="0" borderId="0" xfId="0" applyFont="1">
      <alignment vertical="center"/>
    </xf>
    <xf numFmtId="43" fontId="29" fillId="0" borderId="0" xfId="1" applyFont="1" applyAlignment="1"/>
    <xf numFmtId="43" fontId="39" fillId="0" borderId="0" xfId="1" applyFont="1"/>
    <xf numFmtId="43" fontId="29" fillId="0" borderId="23" xfId="1" applyFont="1" applyBorder="1"/>
    <xf numFmtId="43" fontId="29" fillId="0" borderId="4" xfId="1" applyFont="1" applyBorder="1"/>
    <xf numFmtId="43" fontId="29" fillId="0" borderId="14" xfId="1" applyFont="1" applyBorder="1"/>
    <xf numFmtId="43" fontId="29" fillId="0" borderId="0" xfId="1" applyFont="1" applyBorder="1" applyAlignment="1">
      <alignment horizontal="centerContinuous"/>
    </xf>
    <xf numFmtId="43" fontId="29" fillId="0" borderId="9" xfId="1" applyFont="1" applyBorder="1"/>
    <xf numFmtId="43" fontId="29" fillId="0" borderId="0" xfId="1" applyFont="1" applyBorder="1"/>
    <xf numFmtId="43" fontId="29" fillId="0" borderId="10" xfId="1" applyFont="1" applyBorder="1"/>
    <xf numFmtId="43" fontId="43" fillId="0" borderId="0" xfId="1" applyFont="1" applyBorder="1" applyAlignment="1">
      <alignment horizontal="centerContinuous"/>
    </xf>
    <xf numFmtId="43" fontId="29" fillId="0" borderId="0" xfId="1" applyFont="1" applyAlignment="1">
      <alignment horizontal="center"/>
    </xf>
    <xf numFmtId="49" fontId="29" fillId="0" borderId="0" xfId="1" applyNumberFormat="1" applyFont="1" applyAlignment="1">
      <alignment horizontal="centerContinuous"/>
    </xf>
    <xf numFmtId="43" fontId="29" fillId="0" borderId="0" xfId="1" quotePrefix="1" applyFont="1"/>
    <xf numFmtId="43" fontId="29" fillId="0" borderId="9" xfId="1" applyFont="1" applyBorder="1" applyAlignment="1">
      <alignment horizontal="center"/>
    </xf>
    <xf numFmtId="43" fontId="29" fillId="0" borderId="0" xfId="1" applyFont="1" applyBorder="1" applyAlignment="1">
      <alignment horizontal="center"/>
    </xf>
    <xf numFmtId="43" fontId="29" fillId="0" borderId="10" xfId="1" applyFont="1" applyBorder="1" applyAlignment="1">
      <alignment horizontal="center"/>
    </xf>
    <xf numFmtId="43" fontId="29" fillId="0" borderId="2" xfId="1" applyFont="1" applyBorder="1" applyAlignment="1">
      <alignment horizontal="centerContinuous"/>
    </xf>
    <xf numFmtId="43" fontId="23" fillId="0" borderId="2" xfId="1" applyFont="1" applyBorder="1" applyAlignment="1">
      <alignment horizontal="centerContinuous"/>
    </xf>
    <xf numFmtId="49" fontId="23" fillId="0" borderId="7" xfId="1" applyNumberFormat="1" applyFont="1" applyBorder="1" applyAlignment="1">
      <alignment horizontal="center"/>
    </xf>
    <xf numFmtId="49" fontId="23" fillId="0" borderId="0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3" fontId="23" fillId="0" borderId="0" xfId="1" applyFont="1" applyBorder="1" applyAlignment="1">
      <alignment horizontal="center"/>
    </xf>
    <xf numFmtId="49" fontId="23" fillId="0" borderId="8" xfId="1" applyNumberFormat="1" applyFont="1" applyBorder="1" applyAlignment="1">
      <alignment horizontal="center"/>
    </xf>
    <xf numFmtId="43" fontId="29" fillId="0" borderId="0" xfId="1" applyFont="1" applyBorder="1" applyAlignment="1"/>
    <xf numFmtId="172" fontId="29" fillId="0" borderId="0" xfId="1" applyNumberFormat="1" applyFont="1" applyAlignment="1">
      <alignment horizontal="centerContinuous"/>
    </xf>
    <xf numFmtId="172" fontId="29" fillId="0" borderId="0" xfId="1" applyNumberFormat="1" applyFont="1"/>
    <xf numFmtId="172" fontId="29" fillId="0" borderId="9" xfId="1" applyNumberFormat="1" applyFont="1" applyBorder="1"/>
    <xf numFmtId="172" fontId="29" fillId="0" borderId="0" xfId="1" applyNumberFormat="1" applyFont="1" applyBorder="1"/>
    <xf numFmtId="172" fontId="29" fillId="0" borderId="10" xfId="1" applyNumberFormat="1" applyFont="1" applyBorder="1"/>
    <xf numFmtId="187" fontId="29" fillId="0" borderId="0" xfId="2" applyNumberFormat="1" applyFont="1"/>
    <xf numFmtId="187" fontId="29" fillId="0" borderId="9" xfId="2" applyNumberFormat="1" applyFont="1" applyBorder="1"/>
    <xf numFmtId="187" fontId="29" fillId="0" borderId="0" xfId="2" applyNumberFormat="1" applyFont="1" applyBorder="1"/>
    <xf numFmtId="44" fontId="29" fillId="0" borderId="0" xfId="2" applyFont="1" applyBorder="1"/>
    <xf numFmtId="187" fontId="29" fillId="0" borderId="10" xfId="2" applyNumberFormat="1" applyFont="1" applyBorder="1"/>
    <xf numFmtId="44" fontId="29" fillId="0" borderId="0" xfId="2" applyFont="1"/>
    <xf numFmtId="43" fontId="29" fillId="0" borderId="3" xfId="1" applyFont="1" applyBorder="1"/>
    <xf numFmtId="187" fontId="29" fillId="0" borderId="5" xfId="2" applyNumberFormat="1" applyFont="1" applyBorder="1"/>
    <xf numFmtId="187" fontId="29" fillId="0" borderId="3" xfId="2" applyNumberFormat="1" applyFont="1" applyBorder="1"/>
    <xf numFmtId="187" fontId="29" fillId="0" borderId="6" xfId="2" applyNumberFormat="1" applyFont="1" applyBorder="1"/>
    <xf numFmtId="187" fontId="29" fillId="0" borderId="2" xfId="2" applyNumberFormat="1" applyFont="1" applyBorder="1"/>
    <xf numFmtId="187" fontId="29" fillId="0" borderId="7" xfId="2" applyNumberFormat="1" applyFont="1" applyBorder="1"/>
    <xf numFmtId="187" fontId="29" fillId="0" borderId="8" xfId="2" applyNumberFormat="1" applyFont="1" applyBorder="1"/>
    <xf numFmtId="49" fontId="29" fillId="0" borderId="0" xfId="1" applyNumberFormat="1" applyFont="1" applyAlignment="1">
      <alignment horizontal="center"/>
    </xf>
    <xf numFmtId="43" fontId="29" fillId="0" borderId="2" xfId="1" applyFont="1" applyBorder="1" applyAlignment="1">
      <alignment horizontal="center"/>
    </xf>
    <xf numFmtId="171" fontId="20" fillId="0" borderId="0" xfId="0" applyNumberFormat="1" applyFont="1">
      <alignment vertical="center"/>
    </xf>
    <xf numFmtId="3" fontId="20" fillId="0" borderId="2" xfId="0" applyNumberFormat="1" applyFont="1" applyFill="1" applyBorder="1" applyAlignment="1">
      <alignment horizontal="right"/>
    </xf>
    <xf numFmtId="0" fontId="0" fillId="0" borderId="0" xfId="0" applyBorder="1">
      <alignment vertical="center"/>
    </xf>
    <xf numFmtId="0" fontId="29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183" fontId="0" fillId="0" borderId="0" xfId="0" applyNumberFormat="1" applyBorder="1">
      <alignment vertical="center"/>
    </xf>
    <xf numFmtId="184" fontId="0" fillId="0" borderId="0" xfId="0" applyNumberFormat="1" applyBorder="1">
      <alignment vertical="center"/>
    </xf>
    <xf numFmtId="185" fontId="0" fillId="0" borderId="0" xfId="0" applyNumberFormat="1" applyBorder="1">
      <alignment vertical="center"/>
    </xf>
    <xf numFmtId="3" fontId="20" fillId="0" borderId="0" xfId="0" applyNumberFormat="1" applyFont="1" applyBorder="1">
      <alignment vertical="center"/>
    </xf>
    <xf numFmtId="182" fontId="20" fillId="0" borderId="0" xfId="0" applyNumberFormat="1" applyFont="1" applyBorder="1">
      <alignment vertical="center"/>
    </xf>
    <xf numFmtId="38" fontId="20" fillId="0" borderId="0" xfId="0" applyNumberFormat="1" applyFont="1" applyBorder="1">
      <alignment vertical="center"/>
    </xf>
    <xf numFmtId="3" fontId="20" fillId="0" borderId="2" xfId="0" applyNumberFormat="1" applyFont="1" applyBorder="1">
      <alignment vertical="center"/>
    </xf>
    <xf numFmtId="0" fontId="23" fillId="0" borderId="0" xfId="0" applyFont="1" applyAlignment="1">
      <alignment horizontal="center"/>
    </xf>
    <xf numFmtId="3" fontId="20" fillId="0" borderId="0" xfId="0" applyNumberFormat="1" applyFont="1">
      <alignment vertical="center"/>
    </xf>
    <xf numFmtId="3" fontId="20" fillId="0" borderId="4" xfId="0" applyNumberFormat="1" applyFont="1" applyBorder="1">
      <alignment vertical="center"/>
    </xf>
    <xf numFmtId="182" fontId="20" fillId="0" borderId="0" xfId="0" applyNumberFormat="1" applyFont="1">
      <alignment vertical="center"/>
    </xf>
    <xf numFmtId="38" fontId="20" fillId="0" borderId="0" xfId="0" applyNumberFormat="1" applyFont="1">
      <alignment vertical="center"/>
    </xf>
    <xf numFmtId="38" fontId="20" fillId="0" borderId="4" xfId="0" applyNumberFormat="1" applyFont="1" applyBorder="1">
      <alignment vertical="center"/>
    </xf>
    <xf numFmtId="183" fontId="20" fillId="0" borderId="0" xfId="0" applyNumberFormat="1" applyFont="1">
      <alignment vertical="center"/>
    </xf>
    <xf numFmtId="183" fontId="20" fillId="0" borderId="4" xfId="0" applyNumberFormat="1" applyFont="1" applyBorder="1">
      <alignment vertical="center"/>
    </xf>
    <xf numFmtId="184" fontId="20" fillId="0" borderId="0" xfId="0" applyNumberFormat="1" applyFont="1">
      <alignment vertical="center"/>
    </xf>
    <xf numFmtId="185" fontId="20" fillId="0" borderId="0" xfId="0" applyNumberFormat="1" applyFont="1">
      <alignment vertical="center"/>
    </xf>
    <xf numFmtId="187" fontId="29" fillId="0" borderId="0" xfId="2" applyNumberFormat="1" applyFont="1" applyAlignment="1">
      <alignment horizontal="right"/>
    </xf>
    <xf numFmtId="187" fontId="20" fillId="0" borderId="0" xfId="0" applyNumberFormat="1" applyFont="1">
      <alignment vertical="center"/>
    </xf>
    <xf numFmtId="0" fontId="20" fillId="0" borderId="14" xfId="0" applyFont="1" applyBorder="1">
      <alignment vertical="center"/>
    </xf>
    <xf numFmtId="0" fontId="20" fillId="0" borderId="10" xfId="0" applyFont="1" applyBorder="1">
      <alignment vertical="center"/>
    </xf>
    <xf numFmtId="43" fontId="20" fillId="0" borderId="10" xfId="1" applyFont="1" applyBorder="1" applyAlignment="1">
      <alignment vertical="center"/>
    </xf>
    <xf numFmtId="43" fontId="20" fillId="0" borderId="7" xfId="1" applyFont="1" applyBorder="1" applyAlignment="1">
      <alignment vertical="center"/>
    </xf>
    <xf numFmtId="43" fontId="20" fillId="0" borderId="2" xfId="1" applyFont="1" applyBorder="1" applyAlignment="1">
      <alignment vertical="center"/>
    </xf>
    <xf numFmtId="43" fontId="20" fillId="0" borderId="8" xfId="1" applyFont="1" applyBorder="1" applyAlignment="1">
      <alignment vertical="center"/>
    </xf>
    <xf numFmtId="164" fontId="20" fillId="0" borderId="0" xfId="0" applyNumberFormat="1" applyFont="1">
      <alignment vertical="center"/>
    </xf>
    <xf numFmtId="171" fontId="17" fillId="0" borderId="0" xfId="1" applyNumberFormat="1" applyFont="1" applyFill="1" applyAlignment="1">
      <alignment vertical="center"/>
    </xf>
    <xf numFmtId="9" fontId="17" fillId="0" borderId="0" xfId="5" applyFont="1" applyFill="1" applyAlignment="1">
      <alignment vertical="center"/>
    </xf>
    <xf numFmtId="0" fontId="20" fillId="0" borderId="0" xfId="0" applyFont="1" applyFill="1" applyBorder="1">
      <alignment vertical="center"/>
    </xf>
    <xf numFmtId="1" fontId="20" fillId="0" borderId="0" xfId="0" applyNumberFormat="1" applyFont="1" applyFill="1" applyBorder="1">
      <alignment vertical="center"/>
    </xf>
    <xf numFmtId="164" fontId="17" fillId="0" borderId="14" xfId="0" applyNumberFormat="1" applyFont="1" applyFill="1" applyBorder="1" applyAlignment="1" applyProtection="1">
      <alignment vertical="center"/>
    </xf>
    <xf numFmtId="9" fontId="20" fillId="0" borderId="10" xfId="5" applyFont="1" applyBorder="1" applyAlignment="1">
      <alignment vertical="center"/>
    </xf>
    <xf numFmtId="43" fontId="20" fillId="0" borderId="14" xfId="1" applyFont="1" applyBorder="1" applyAlignment="1">
      <alignment vertical="center"/>
    </xf>
    <xf numFmtId="9" fontId="20" fillId="0" borderId="8" xfId="5" applyFont="1" applyBorder="1" applyAlignment="1">
      <alignment vertical="center"/>
    </xf>
    <xf numFmtId="171" fontId="20" fillId="0" borderId="14" xfId="1" applyNumberFormat="1" applyFont="1" applyBorder="1" applyAlignment="1">
      <alignment vertical="center"/>
    </xf>
    <xf numFmtId="171" fontId="20" fillId="0" borderId="10" xfId="1" applyNumberFormat="1" applyFont="1" applyBorder="1" applyAlignment="1">
      <alignment vertical="center"/>
    </xf>
    <xf numFmtId="164" fontId="17" fillId="0" borderId="10" xfId="0" applyNumberFormat="1" applyFont="1" applyFill="1" applyBorder="1" applyAlignment="1" applyProtection="1">
      <alignment vertical="center"/>
    </xf>
    <xf numFmtId="0" fontId="20" fillId="2" borderId="0" xfId="0" applyFont="1" applyFill="1">
      <alignment vertical="center"/>
    </xf>
    <xf numFmtId="0" fontId="18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20" fillId="2" borderId="0" xfId="0" applyFont="1" applyFill="1" applyBorder="1">
      <alignment vertical="center"/>
    </xf>
    <xf numFmtId="0" fontId="17" fillId="2" borderId="10" xfId="0" applyFont="1" applyFill="1" applyBorder="1" applyAlignment="1">
      <alignment vertical="center"/>
    </xf>
    <xf numFmtId="0" fontId="44" fillId="0" borderId="0" xfId="0" applyFont="1">
      <alignment vertical="center"/>
    </xf>
    <xf numFmtId="17" fontId="20" fillId="0" borderId="0" xfId="0" applyNumberFormat="1" applyFont="1">
      <alignment vertical="center"/>
    </xf>
    <xf numFmtId="0" fontId="20" fillId="2" borderId="3" xfId="0" applyFont="1" applyFill="1" applyBorder="1">
      <alignment vertical="center"/>
    </xf>
    <xf numFmtId="0" fontId="20" fillId="2" borderId="5" xfId="0" applyFont="1" applyFill="1" applyBorder="1">
      <alignment vertical="center"/>
    </xf>
    <xf numFmtId="0" fontId="20" fillId="2" borderId="5" xfId="0" applyFont="1" applyFill="1" applyBorder="1" applyAlignment="1">
      <alignment horizontal="right" vertical="center"/>
    </xf>
    <xf numFmtId="171" fontId="20" fillId="2" borderId="5" xfId="1" applyNumberFormat="1" applyFont="1" applyFill="1" applyBorder="1" applyAlignment="1">
      <alignment vertical="center"/>
    </xf>
    <xf numFmtId="173" fontId="20" fillId="2" borderId="5" xfId="1" applyNumberFormat="1" applyFont="1" applyFill="1" applyBorder="1" applyAlignment="1">
      <alignment vertical="center"/>
    </xf>
    <xf numFmtId="0" fontId="20" fillId="2" borderId="5" xfId="0" applyFont="1" applyFill="1" applyBorder="1" applyAlignment="1">
      <alignment horizontal="center" vertical="center"/>
    </xf>
    <xf numFmtId="186" fontId="20" fillId="2" borderId="5" xfId="5" applyNumberFormat="1" applyFont="1" applyFill="1" applyBorder="1" applyAlignment="1">
      <alignment vertical="center"/>
    </xf>
    <xf numFmtId="9" fontId="20" fillId="2" borderId="5" xfId="5" applyFont="1" applyFill="1" applyBorder="1" applyAlignment="1">
      <alignment vertical="center"/>
    </xf>
    <xf numFmtId="186" fontId="20" fillId="2" borderId="6" xfId="5" applyNumberFormat="1" applyFont="1" applyFill="1" applyBorder="1" applyAlignment="1">
      <alignment vertical="center"/>
    </xf>
    <xf numFmtId="171" fontId="20" fillId="2" borderId="6" xfId="1" applyNumberFormat="1" applyFont="1" applyFill="1" applyBorder="1" applyAlignment="1">
      <alignment vertical="center"/>
    </xf>
    <xf numFmtId="0" fontId="23" fillId="0" borderId="0" xfId="0" applyFont="1" applyAlignment="1">
      <alignment horizontal="center" vertical="center"/>
    </xf>
    <xf numFmtId="171" fontId="23" fillId="0" borderId="0" xfId="1" applyNumberFormat="1" applyFont="1" applyAlignment="1">
      <alignment horizontal="center" vertical="center"/>
    </xf>
    <xf numFmtId="173" fontId="23" fillId="0" borderId="0" xfId="1" applyNumberFormat="1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1" fontId="23" fillId="0" borderId="2" xfId="1" applyNumberFormat="1" applyFont="1" applyBorder="1" applyAlignment="1">
      <alignment horizontal="center" vertical="center"/>
    </xf>
    <xf numFmtId="173" fontId="23" fillId="0" borderId="2" xfId="1" applyNumberFormat="1" applyFont="1" applyBorder="1" applyAlignment="1">
      <alignment horizontal="center" vertical="center"/>
    </xf>
    <xf numFmtId="172" fontId="20" fillId="0" borderId="0" xfId="1" applyNumberFormat="1" applyFont="1" applyAlignment="1">
      <alignment vertical="center"/>
    </xf>
    <xf numFmtId="172" fontId="23" fillId="0" borderId="2" xfId="1" applyNumberFormat="1" applyFont="1" applyBorder="1" applyAlignment="1">
      <alignment vertical="center"/>
    </xf>
    <xf numFmtId="172" fontId="20" fillId="0" borderId="2" xfId="1" applyNumberFormat="1" applyFont="1" applyBorder="1" applyAlignment="1">
      <alignment vertical="center"/>
    </xf>
    <xf numFmtId="172" fontId="20" fillId="0" borderId="5" xfId="1" applyNumberFormat="1" applyFont="1" applyBorder="1" applyAlignment="1">
      <alignment vertical="center"/>
    </xf>
    <xf numFmtId="172" fontId="20" fillId="0" borderId="0" xfId="0" applyNumberFormat="1" applyFont="1">
      <alignment vertical="center"/>
    </xf>
    <xf numFmtId="172" fontId="20" fillId="0" borderId="2" xfId="0" applyNumberFormat="1" applyFont="1" applyBorder="1">
      <alignment vertical="center"/>
    </xf>
    <xf numFmtId="172" fontId="20" fillId="0" borderId="5" xfId="0" applyNumberFormat="1" applyFont="1" applyBorder="1">
      <alignment vertical="center"/>
    </xf>
    <xf numFmtId="176" fontId="20" fillId="0" borderId="0" xfId="0" applyNumberFormat="1" applyFont="1">
      <alignment vertical="center"/>
    </xf>
    <xf numFmtId="176" fontId="20" fillId="0" borderId="0" xfId="1" applyNumberFormat="1" applyFont="1" applyAlignment="1">
      <alignment vertical="center"/>
    </xf>
    <xf numFmtId="0" fontId="20" fillId="0" borderId="2" xfId="0" applyFont="1" applyBorder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right" vertical="center"/>
    </xf>
    <xf numFmtId="171" fontId="38" fillId="0" borderId="0" xfId="1" applyNumberFormat="1" applyFont="1" applyAlignment="1">
      <alignment vertical="center"/>
    </xf>
    <xf numFmtId="173" fontId="38" fillId="0" borderId="0" xfId="1" applyNumberFormat="1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8" fillId="0" borderId="0" xfId="0" applyFont="1" applyFill="1" applyBorder="1" applyAlignment="1">
      <alignment horizontal="left"/>
    </xf>
    <xf numFmtId="0" fontId="38" fillId="0" borderId="0" xfId="0" applyFont="1" applyAlignment="1">
      <alignment horizontal="left" vertical="center"/>
    </xf>
    <xf numFmtId="14" fontId="38" fillId="0" borderId="0" xfId="0" applyNumberFormat="1" applyFont="1" applyFill="1" applyBorder="1" applyAlignment="1">
      <alignment horizontal="right"/>
    </xf>
    <xf numFmtId="3" fontId="38" fillId="0" borderId="0" xfId="0" applyNumberFormat="1" applyFont="1" applyFill="1" applyBorder="1" applyAlignment="1">
      <alignment horizontal="right"/>
    </xf>
    <xf numFmtId="14" fontId="38" fillId="0" borderId="0" xfId="0" applyNumberFormat="1" applyFont="1" applyAlignment="1">
      <alignment horizontal="right" vertical="center"/>
    </xf>
    <xf numFmtId="171" fontId="38" fillId="0" borderId="2" xfId="1" applyNumberFormat="1" applyFont="1" applyBorder="1" applyAlignment="1">
      <alignment vertical="center"/>
    </xf>
    <xf numFmtId="188" fontId="38" fillId="0" borderId="0" xfId="2" applyNumberFormat="1" applyFont="1" applyFill="1" applyAlignment="1">
      <alignment horizontal="center"/>
    </xf>
    <xf numFmtId="188" fontId="38" fillId="0" borderId="0" xfId="2" applyNumberFormat="1" applyFont="1" applyFill="1"/>
    <xf numFmtId="188" fontId="38" fillId="0" borderId="0" xfId="2" applyNumberFormat="1" applyFont="1" applyFill="1" applyBorder="1" applyAlignment="1">
      <alignment horizontal="center"/>
    </xf>
    <xf numFmtId="171" fontId="38" fillId="0" borderId="0" xfId="1" applyNumberFormat="1" applyFont="1" applyBorder="1" applyAlignment="1">
      <alignment vertical="center"/>
    </xf>
    <xf numFmtId="0" fontId="38" fillId="0" borderId="0" xfId="0" applyFont="1" applyFill="1" applyAlignment="1">
      <alignment horizontal="left" vertical="center"/>
    </xf>
    <xf numFmtId="0" fontId="38" fillId="0" borderId="0" xfId="0" applyNumberFormat="1" applyFont="1" applyFill="1" applyAlignment="1">
      <alignment horizontal="left" vertical="center" wrapText="1"/>
    </xf>
    <xf numFmtId="188" fontId="38" fillId="0" borderId="0" xfId="2" applyNumberFormat="1" applyFont="1" applyAlignment="1">
      <alignment vertical="center"/>
    </xf>
    <xf numFmtId="188" fontId="20" fillId="0" borderId="0" xfId="2" applyNumberFormat="1" applyFont="1" applyAlignment="1">
      <alignment vertical="center"/>
    </xf>
    <xf numFmtId="0" fontId="46" fillId="0" borderId="0" xfId="0" applyNumberFormat="1" applyFont="1" applyFill="1" applyAlignment="1">
      <alignment horizontal="left" vertical="center" wrapText="1"/>
    </xf>
    <xf numFmtId="0" fontId="46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171" fontId="24" fillId="0" borderId="0" xfId="1" applyNumberFormat="1" applyFont="1" applyAlignment="1">
      <alignment vertical="center"/>
    </xf>
    <xf numFmtId="173" fontId="24" fillId="0" borderId="0" xfId="1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right" vertical="center"/>
    </xf>
    <xf numFmtId="171" fontId="24" fillId="0" borderId="0" xfId="1" applyNumberFormat="1" applyFont="1" applyBorder="1" applyAlignment="1">
      <alignment vertical="center"/>
    </xf>
    <xf numFmtId="0" fontId="24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14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right"/>
    </xf>
    <xf numFmtId="0" fontId="24" fillId="0" borderId="0" xfId="0" applyFont="1" applyFill="1" applyAlignment="1">
      <alignment horizontal="left" vertical="center"/>
    </xf>
    <xf numFmtId="188" fontId="24" fillId="0" borderId="0" xfId="2" applyNumberFormat="1" applyFont="1" applyFill="1" applyBorder="1" applyAlignment="1">
      <alignment horizontal="center"/>
    </xf>
    <xf numFmtId="173" fontId="20" fillId="0" borderId="0" xfId="0" applyNumberFormat="1" applyFont="1">
      <alignment vertical="center"/>
    </xf>
    <xf numFmtId="1" fontId="11" fillId="0" borderId="2" xfId="1" applyNumberFormat="1" applyFont="1" applyFill="1" applyBorder="1" applyAlignment="1" applyProtection="1">
      <alignment horizontal="centerContinuous" vertical="center"/>
    </xf>
    <xf numFmtId="164" fontId="20" fillId="0" borderId="0" xfId="0" applyNumberFormat="1" applyFont="1" applyFill="1">
      <alignment vertical="center"/>
    </xf>
    <xf numFmtId="171" fontId="47" fillId="0" borderId="0" xfId="1" applyNumberFormat="1" applyFont="1" applyAlignment="1">
      <alignment vertical="center"/>
    </xf>
    <xf numFmtId="0" fontId="20" fillId="0" borderId="0" xfId="0" quotePrefix="1" applyFont="1">
      <alignment vertical="center"/>
    </xf>
    <xf numFmtId="168" fontId="48" fillId="0" borderId="0" xfId="0" applyNumberFormat="1" applyFont="1" applyFill="1">
      <alignment vertical="center"/>
    </xf>
    <xf numFmtId="168" fontId="30" fillId="0" borderId="0" xfId="0" applyNumberFormat="1" applyFont="1" applyFill="1" applyAlignment="1" applyProtection="1">
      <alignment vertical="center"/>
    </xf>
    <xf numFmtId="44" fontId="29" fillId="0" borderId="0" xfId="2" applyNumberFormat="1" applyFont="1" applyBorder="1"/>
    <xf numFmtId="44" fontId="29" fillId="0" borderId="5" xfId="2" applyNumberFormat="1" applyFont="1" applyBorder="1"/>
    <xf numFmtId="0" fontId="20" fillId="0" borderId="0" xfId="0" applyFont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72" fontId="20" fillId="0" borderId="9" xfId="1" applyNumberFormat="1" applyFont="1" applyBorder="1" applyAlignment="1">
      <alignment vertical="center"/>
    </xf>
    <xf numFmtId="172" fontId="20" fillId="0" borderId="0" xfId="1" applyNumberFormat="1" applyFont="1" applyBorder="1" applyAlignment="1">
      <alignment vertical="center"/>
    </xf>
    <xf numFmtId="0" fontId="23" fillId="0" borderId="10" xfId="0" applyFont="1" applyBorder="1" applyAlignment="1">
      <alignment horizontal="center" vertical="center"/>
    </xf>
    <xf numFmtId="3" fontId="20" fillId="0" borderId="3" xfId="0" applyNumberFormat="1" applyFont="1" applyBorder="1">
      <alignment vertical="center"/>
    </xf>
    <xf numFmtId="3" fontId="20" fillId="0" borderId="6" xfId="0" applyNumberFormat="1" applyFont="1" applyBorder="1">
      <alignment vertical="center"/>
    </xf>
    <xf numFmtId="171" fontId="20" fillId="0" borderId="2" xfId="0" applyNumberFormat="1" applyFont="1" applyBorder="1">
      <alignment vertical="center"/>
    </xf>
    <xf numFmtId="0" fontId="49" fillId="0" borderId="0" xfId="0" applyFont="1">
      <alignment vertical="center"/>
    </xf>
    <xf numFmtId="0" fontId="23" fillId="0" borderId="0" xfId="0" applyFont="1">
      <alignment vertical="center"/>
    </xf>
    <xf numFmtId="0" fontId="50" fillId="0" borderId="0" xfId="0" applyFont="1" applyAlignment="1">
      <alignment horizontal="center"/>
    </xf>
    <xf numFmtId="0" fontId="23" fillId="0" borderId="24" xfId="0" applyFont="1" applyBorder="1" applyAlignment="1">
      <alignment horizontal="center"/>
    </xf>
    <xf numFmtId="0" fontId="50" fillId="0" borderId="0" xfId="0" applyFont="1">
      <alignment vertical="center"/>
    </xf>
    <xf numFmtId="0" fontId="24" fillId="0" borderId="4" xfId="0" applyFont="1" applyBorder="1">
      <alignment vertical="center"/>
    </xf>
    <xf numFmtId="44" fontId="24" fillId="0" borderId="0" xfId="2" applyFont="1" applyBorder="1"/>
    <xf numFmtId="178" fontId="24" fillId="0" borderId="0" xfId="0" applyNumberFormat="1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/>
    </xf>
    <xf numFmtId="177" fontId="20" fillId="0" borderId="0" xfId="0" applyNumberFormat="1" applyFont="1">
      <alignment vertical="center"/>
    </xf>
    <xf numFmtId="178" fontId="20" fillId="0" borderId="0" xfId="0" applyNumberFormat="1" applyFont="1">
      <alignment vertical="center"/>
    </xf>
    <xf numFmtId="172" fontId="20" fillId="0" borderId="0" xfId="1" applyNumberFormat="1" applyFont="1"/>
    <xf numFmtId="172" fontId="20" fillId="0" borderId="0" xfId="1" applyNumberFormat="1" applyFont="1" applyBorder="1"/>
    <xf numFmtId="172" fontId="20" fillId="0" borderId="10" xfId="0" applyNumberFormat="1" applyFont="1" applyBorder="1">
      <alignment vertical="center"/>
    </xf>
    <xf numFmtId="189" fontId="20" fillId="0" borderId="0" xfId="2" applyNumberFormat="1" applyFont="1" applyBorder="1"/>
    <xf numFmtId="189" fontId="20" fillId="0" borderId="10" xfId="0" applyNumberFormat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43" fontId="20" fillId="0" borderId="0" xfId="0" applyNumberFormat="1" applyFont="1">
      <alignment vertical="center"/>
    </xf>
    <xf numFmtId="0" fontId="51" fillId="0" borderId="0" xfId="0" applyFont="1" applyAlignment="1">
      <alignment horizontal="right" vertical="center"/>
    </xf>
    <xf numFmtId="0" fontId="51" fillId="0" borderId="0" xfId="0" applyFont="1">
      <alignment vertical="center"/>
    </xf>
    <xf numFmtId="171" fontId="51" fillId="0" borderId="0" xfId="1" applyNumberFormat="1" applyFont="1" applyAlignment="1">
      <alignment vertical="center"/>
    </xf>
    <xf numFmtId="14" fontId="51" fillId="0" borderId="0" xfId="0" applyNumberFormat="1" applyFont="1" applyAlignment="1">
      <alignment horizontal="right" vertical="center"/>
    </xf>
    <xf numFmtId="0" fontId="51" fillId="0" borderId="0" xfId="0" quotePrefix="1" applyFont="1" applyAlignment="1">
      <alignment horizontal="right" vertical="center"/>
    </xf>
    <xf numFmtId="17" fontId="20" fillId="0" borderId="0" xfId="0" quotePrefix="1" applyNumberFormat="1" applyFont="1">
      <alignment vertical="center"/>
    </xf>
    <xf numFmtId="0" fontId="38" fillId="0" borderId="0" xfId="0" applyFont="1" applyFill="1" applyAlignment="1">
      <alignment horizontal="right" vertical="center" wrapText="1"/>
    </xf>
    <xf numFmtId="14" fontId="38" fillId="0" borderId="0" xfId="0" applyNumberFormat="1" applyFont="1">
      <alignment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Fill="1" applyAlignment="1">
      <alignment horizontal="left" vertical="center"/>
    </xf>
    <xf numFmtId="173" fontId="51" fillId="0" borderId="0" xfId="1" applyNumberFormat="1" applyFont="1" applyAlignment="1">
      <alignment vertical="center"/>
    </xf>
    <xf numFmtId="14" fontId="51" fillId="0" borderId="0" xfId="0" applyNumberFormat="1" applyFont="1">
      <alignment vertical="center"/>
    </xf>
    <xf numFmtId="188" fontId="51" fillId="0" borderId="0" xfId="2" applyNumberFormat="1" applyFont="1" applyFill="1" applyBorder="1" applyAlignment="1">
      <alignment horizontal="center"/>
    </xf>
    <xf numFmtId="188" fontId="51" fillId="0" borderId="0" xfId="2" applyNumberFormat="1" applyFont="1" applyAlignment="1">
      <alignment vertical="center"/>
    </xf>
    <xf numFmtId="14" fontId="51" fillId="0" borderId="0" xfId="0" applyNumberFormat="1" applyFont="1" applyFill="1" applyBorder="1" applyAlignment="1">
      <alignment horizontal="right"/>
    </xf>
    <xf numFmtId="171" fontId="51" fillId="0" borderId="0" xfId="1" applyNumberFormat="1" applyFont="1" applyBorder="1" applyAlignment="1">
      <alignment vertical="center"/>
    </xf>
    <xf numFmtId="0" fontId="51" fillId="0" borderId="0" xfId="0" applyFont="1" applyAlignment="1">
      <alignment horizontal="center" vertical="center"/>
    </xf>
    <xf numFmtId="171" fontId="51" fillId="0" borderId="2" xfId="1" applyNumberFormat="1" applyFont="1" applyBorder="1" applyAlignment="1">
      <alignment vertical="center"/>
    </xf>
    <xf numFmtId="14" fontId="51" fillId="0" borderId="0" xfId="0" applyNumberFormat="1" applyFont="1" applyFill="1" applyAlignment="1">
      <alignment horizontal="right"/>
    </xf>
    <xf numFmtId="14" fontId="24" fillId="0" borderId="0" xfId="0" applyNumberFormat="1" applyFont="1">
      <alignment vertical="center"/>
    </xf>
    <xf numFmtId="14" fontId="24" fillId="0" borderId="0" xfId="0" applyNumberFormat="1" applyFont="1" applyAlignment="1">
      <alignment horizontal="right" vertical="center"/>
    </xf>
    <xf numFmtId="171" fontId="24" fillId="0" borderId="2" xfId="1" applyNumberFormat="1" applyFont="1" applyBorder="1" applyAlignment="1">
      <alignment vertical="center"/>
    </xf>
    <xf numFmtId="166" fontId="20" fillId="0" borderId="0" xfId="0" applyNumberFormat="1" applyFont="1">
      <alignment vertical="center"/>
    </xf>
    <xf numFmtId="0" fontId="53" fillId="0" borderId="0" xfId="0" applyFont="1">
      <alignment vertical="center"/>
    </xf>
    <xf numFmtId="183" fontId="53" fillId="0" borderId="0" xfId="0" applyNumberFormat="1" applyFont="1">
      <alignment vertical="center"/>
    </xf>
    <xf numFmtId="183" fontId="53" fillId="0" borderId="2" xfId="0" applyNumberFormat="1" applyFont="1" applyBorder="1">
      <alignment vertical="center"/>
    </xf>
    <xf numFmtId="2" fontId="20" fillId="0" borderId="0" xfId="0" applyNumberFormat="1" applyFont="1">
      <alignment vertical="center"/>
    </xf>
    <xf numFmtId="2" fontId="20" fillId="0" borderId="2" xfId="0" applyNumberFormat="1" applyFont="1" applyBorder="1">
      <alignment vertical="center"/>
    </xf>
    <xf numFmtId="177" fontId="20" fillId="0" borderId="2" xfId="0" applyNumberFormat="1" applyFont="1" applyBorder="1">
      <alignment vertical="center"/>
    </xf>
    <xf numFmtId="183" fontId="23" fillId="0" borderId="0" xfId="0" applyNumberFormat="1" applyFont="1">
      <alignment vertical="center"/>
    </xf>
    <xf numFmtId="0" fontId="54" fillId="0" borderId="0" xfId="0" applyFont="1">
      <alignment vertical="center"/>
    </xf>
    <xf numFmtId="183" fontId="54" fillId="0" borderId="0" xfId="0" applyNumberFormat="1" applyFont="1">
      <alignment vertical="center"/>
    </xf>
    <xf numFmtId="0" fontId="55" fillId="0" borderId="0" xfId="0" applyFont="1">
      <alignment vertical="center"/>
    </xf>
    <xf numFmtId="0" fontId="23" fillId="0" borderId="23" xfId="0" applyFont="1" applyBorder="1">
      <alignment vertical="center"/>
    </xf>
    <xf numFmtId="164" fontId="17" fillId="0" borderId="2" xfId="0" applyNumberFormat="1" applyFont="1" applyFill="1" applyBorder="1" applyAlignment="1" applyProtection="1">
      <alignment vertical="center"/>
    </xf>
    <xf numFmtId="164" fontId="18" fillId="0" borderId="3" xfId="0" applyNumberFormat="1" applyFont="1" applyFill="1" applyBorder="1" applyAlignment="1" applyProtection="1">
      <alignment vertical="center"/>
    </xf>
    <xf numFmtId="0" fontId="57" fillId="0" borderId="0" xfId="0" applyFont="1">
      <alignment vertical="center"/>
    </xf>
    <xf numFmtId="0" fontId="57" fillId="0" borderId="0" xfId="0" applyFont="1" applyFill="1" applyAlignment="1">
      <alignment horizontal="right" vertical="center" wrapText="1"/>
    </xf>
    <xf numFmtId="14" fontId="57" fillId="0" borderId="0" xfId="0" applyNumberFormat="1" applyFont="1">
      <alignment vertical="center"/>
    </xf>
    <xf numFmtId="14" fontId="57" fillId="0" borderId="0" xfId="0" applyNumberFormat="1" applyFont="1" applyAlignment="1">
      <alignment horizontal="right" vertical="center"/>
    </xf>
    <xf numFmtId="171" fontId="57" fillId="0" borderId="0" xfId="1" applyNumberFormat="1" applyFont="1" applyAlignment="1">
      <alignment vertical="center"/>
    </xf>
    <xf numFmtId="173" fontId="57" fillId="0" borderId="0" xfId="1" applyNumberFormat="1" applyFont="1" applyAlignment="1">
      <alignment vertical="center"/>
    </xf>
    <xf numFmtId="0" fontId="57" fillId="0" borderId="0" xfId="0" applyFont="1" applyAlignment="1">
      <alignment horizontal="center" vertical="center"/>
    </xf>
    <xf numFmtId="171" fontId="57" fillId="0" borderId="0" xfId="0" applyNumberFormat="1" applyFont="1">
      <alignment vertical="center"/>
    </xf>
    <xf numFmtId="0" fontId="57" fillId="0" borderId="0" xfId="0" applyFont="1" applyAlignment="1">
      <alignment horizontal="right" vertical="center"/>
    </xf>
    <xf numFmtId="193" fontId="8" fillId="0" borderId="0" xfId="0" applyNumberFormat="1" applyFont="1" applyFill="1" applyBorder="1" applyAlignment="1" applyProtection="1">
      <alignment vertical="center"/>
    </xf>
    <xf numFmtId="194" fontId="7" fillId="0" borderId="0" xfId="0" applyNumberFormat="1" applyFont="1" applyFill="1" applyBorder="1" applyAlignment="1" applyProtection="1">
      <alignment vertical="center"/>
    </xf>
    <xf numFmtId="170" fontId="7" fillId="0" borderId="0" xfId="0" applyNumberFormat="1" applyFont="1" applyFill="1" applyAlignment="1" applyProtection="1">
      <alignment vertical="center"/>
    </xf>
    <xf numFmtId="22" fontId="19" fillId="0" borderId="0" xfId="0" applyNumberFormat="1" applyFont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80" fontId="4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192" fontId="56" fillId="0" borderId="5" xfId="0" applyNumberFormat="1" applyFont="1" applyFill="1" applyBorder="1" applyAlignment="1" applyProtection="1">
      <alignment vertical="center"/>
      <protection locked="0"/>
    </xf>
    <xf numFmtId="192" fontId="18" fillId="0" borderId="5" xfId="0" applyNumberFormat="1" applyFont="1" applyFill="1" applyBorder="1" applyAlignment="1" applyProtection="1">
      <alignment vertical="center"/>
      <protection locked="0"/>
    </xf>
    <xf numFmtId="164" fontId="8" fillId="0" borderId="25" xfId="0" applyNumberFormat="1" applyFont="1" applyFill="1" applyBorder="1" applyAlignment="1" applyProtection="1">
      <alignment vertical="center"/>
    </xf>
    <xf numFmtId="37" fontId="18" fillId="0" borderId="5" xfId="0" applyNumberFormat="1" applyFont="1" applyFill="1" applyBorder="1" applyAlignment="1" applyProtection="1">
      <alignment vertical="center"/>
    </xf>
    <xf numFmtId="180" fontId="8" fillId="0" borderId="5" xfId="2" applyNumberFormat="1" applyFont="1" applyFill="1" applyBorder="1" applyAlignment="1" applyProtection="1">
      <alignment vertical="center"/>
      <protection locked="0"/>
    </xf>
    <xf numFmtId="0" fontId="8" fillId="0" borderId="0" xfId="0" applyFont="1" applyFill="1" applyAlignment="1">
      <alignment horizontal="center" vertical="center"/>
    </xf>
    <xf numFmtId="164" fontId="8" fillId="0" borderId="5" xfId="0" applyNumberFormat="1" applyFont="1" applyFill="1" applyBorder="1" applyAlignment="1" applyProtection="1">
      <alignment vertical="center"/>
    </xf>
    <xf numFmtId="164" fontId="18" fillId="0" borderId="5" xfId="0" applyNumberFormat="1" applyFont="1" applyFill="1" applyBorder="1" applyAlignment="1" applyProtection="1">
      <alignment vertical="center"/>
    </xf>
    <xf numFmtId="166" fontId="24" fillId="0" borderId="0" xfId="2" applyNumberFormat="1" applyFont="1" applyBorder="1"/>
    <xf numFmtId="166" fontId="20" fillId="0" borderId="0" xfId="2" applyNumberFormat="1" applyFont="1" applyBorder="1"/>
    <xf numFmtId="0" fontId="58" fillId="0" borderId="0" xfId="0" applyFont="1">
      <alignment vertical="center"/>
    </xf>
    <xf numFmtId="0" fontId="58" fillId="0" borderId="0" xfId="0" applyFont="1" applyAlignment="1">
      <alignment horizontal="left" vertical="center"/>
    </xf>
    <xf numFmtId="14" fontId="58" fillId="0" borderId="0" xfId="0" applyNumberFormat="1" applyFont="1">
      <alignment vertical="center"/>
    </xf>
    <xf numFmtId="14" fontId="58" fillId="0" borderId="0" xfId="0" applyNumberFormat="1" applyFont="1" applyAlignment="1">
      <alignment horizontal="right" vertical="center"/>
    </xf>
    <xf numFmtId="171" fontId="58" fillId="0" borderId="0" xfId="1" applyNumberFormat="1" applyFont="1" applyBorder="1" applyAlignment="1">
      <alignment vertical="center"/>
    </xf>
    <xf numFmtId="173" fontId="58" fillId="0" borderId="0" xfId="1" applyNumberFormat="1" applyFont="1" applyAlignment="1">
      <alignment vertical="center"/>
    </xf>
    <xf numFmtId="0" fontId="58" fillId="0" borderId="0" xfId="0" applyFont="1" applyAlignment="1">
      <alignment horizontal="center" vertical="center"/>
    </xf>
    <xf numFmtId="188" fontId="58" fillId="0" borderId="0" xfId="2" applyNumberFormat="1" applyFont="1" applyFill="1" applyBorder="1" applyAlignment="1">
      <alignment horizontal="center"/>
    </xf>
    <xf numFmtId="171" fontId="58" fillId="0" borderId="0" xfId="0" applyNumberFormat="1" applyFont="1">
      <alignment vertical="center"/>
    </xf>
    <xf numFmtId="0" fontId="58" fillId="0" borderId="0" xfId="0" applyFont="1" applyAlignment="1">
      <alignment horizontal="right" vertical="center"/>
    </xf>
    <xf numFmtId="171" fontId="58" fillId="0" borderId="0" xfId="1" applyNumberFormat="1" applyFont="1" applyAlignment="1">
      <alignment vertical="center"/>
    </xf>
    <xf numFmtId="0" fontId="59" fillId="0" borderId="0" xfId="0" applyFont="1" applyAlignment="1">
      <alignment horizontal="right" vertical="center"/>
    </xf>
    <xf numFmtId="0" fontId="53" fillId="0" borderId="0" xfId="0" applyFont="1" applyAlignment="1">
      <alignment horizontal="right" vertical="center"/>
    </xf>
    <xf numFmtId="14" fontId="53" fillId="0" borderId="0" xfId="0" applyNumberFormat="1" applyFont="1">
      <alignment vertical="center"/>
    </xf>
    <xf numFmtId="14" fontId="53" fillId="0" borderId="0" xfId="0" applyNumberFormat="1" applyFont="1" applyAlignment="1">
      <alignment horizontal="right" vertical="center"/>
    </xf>
    <xf numFmtId="171" fontId="53" fillId="0" borderId="0" xfId="1" applyNumberFormat="1" applyFont="1" applyBorder="1" applyAlignment="1">
      <alignment vertical="center"/>
    </xf>
    <xf numFmtId="173" fontId="53" fillId="0" borderId="0" xfId="1" applyNumberFormat="1" applyFont="1" applyAlignment="1">
      <alignment vertical="center"/>
    </xf>
    <xf numFmtId="0" fontId="53" fillId="0" borderId="0" xfId="0" applyFont="1" applyAlignment="1">
      <alignment horizontal="center" vertical="center"/>
    </xf>
    <xf numFmtId="171" fontId="53" fillId="0" borderId="0" xfId="1" applyNumberFormat="1" applyFont="1" applyAlignment="1">
      <alignment vertical="center"/>
    </xf>
    <xf numFmtId="171" fontId="53" fillId="0" borderId="0" xfId="0" applyNumberFormat="1" applyFont="1">
      <alignment vertical="center"/>
    </xf>
    <xf numFmtId="168" fontId="44" fillId="0" borderId="0" xfId="0" applyNumberFormat="1" applyFont="1" applyFill="1">
      <alignment vertical="center"/>
    </xf>
    <xf numFmtId="0" fontId="60" fillId="0" borderId="0" xfId="0" applyFont="1" applyFill="1">
      <alignment vertical="center"/>
    </xf>
    <xf numFmtId="0" fontId="61" fillId="0" borderId="0" xfId="0" applyFont="1" applyFill="1">
      <alignment vertical="center"/>
    </xf>
    <xf numFmtId="0" fontId="61" fillId="0" borderId="2" xfId="0" applyFont="1" applyFill="1" applyBorder="1">
      <alignment vertical="center"/>
    </xf>
    <xf numFmtId="195" fontId="61" fillId="0" borderId="0" xfId="0" applyNumberFormat="1" applyFont="1" applyFill="1">
      <alignment vertical="center"/>
    </xf>
    <xf numFmtId="171" fontId="58" fillId="0" borderId="2" xfId="1" applyNumberFormat="1" applyFont="1" applyBorder="1" applyAlignment="1">
      <alignment vertical="center"/>
    </xf>
    <xf numFmtId="171" fontId="20" fillId="0" borderId="0" xfId="0" applyNumberFormat="1" applyFont="1" applyBorder="1">
      <alignment vertical="center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47" fillId="0" borderId="0" xfId="0" applyFont="1">
      <alignment vertical="center"/>
    </xf>
    <xf numFmtId="0" fontId="19" fillId="5" borderId="0" xfId="0" applyFont="1" applyFill="1">
      <alignment vertical="center"/>
    </xf>
    <xf numFmtId="2" fontId="20" fillId="5" borderId="0" xfId="0" applyNumberFormat="1" applyFont="1" applyFill="1">
      <alignment vertical="center"/>
    </xf>
    <xf numFmtId="170" fontId="30" fillId="5" borderId="0" xfId="0" applyNumberFormat="1" applyFont="1" applyFill="1" applyAlignment="1" applyProtection="1">
      <alignment vertical="center"/>
    </xf>
    <xf numFmtId="184" fontId="24" fillId="5" borderId="0" xfId="0" applyNumberFormat="1" applyFont="1" applyFill="1">
      <alignment vertical="center"/>
    </xf>
    <xf numFmtId="168" fontId="48" fillId="5" borderId="0" xfId="0" applyNumberFormat="1" applyFont="1" applyFill="1">
      <alignment vertical="center"/>
    </xf>
    <xf numFmtId="0" fontId="23" fillId="0" borderId="0" xfId="3" applyFont="1">
      <alignment vertical="center"/>
    </xf>
    <xf numFmtId="0" fontId="32" fillId="0" borderId="0" xfId="3">
      <alignment vertical="center"/>
    </xf>
    <xf numFmtId="0" fontId="2" fillId="0" borderId="0" xfId="3" applyFont="1">
      <alignment vertical="center"/>
    </xf>
    <xf numFmtId="0" fontId="32" fillId="0" borderId="0" xfId="3" applyFont="1">
      <alignment vertical="center"/>
    </xf>
    <xf numFmtId="0" fontId="8" fillId="0" borderId="0" xfId="3" applyFont="1" applyFill="1" applyAlignment="1">
      <alignment horizontal="center" vertical="center"/>
    </xf>
    <xf numFmtId="0" fontId="10" fillId="0" borderId="2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33" fillId="0" borderId="2" xfId="3" applyFont="1" applyFill="1" applyBorder="1" applyAlignment="1">
      <alignment horizontal="center" vertical="center"/>
    </xf>
    <xf numFmtId="167" fontId="17" fillId="0" borderId="0" xfId="3" applyNumberFormat="1" applyFont="1" applyFill="1" applyAlignment="1" applyProtection="1">
      <alignment vertical="center"/>
      <protection locked="0"/>
    </xf>
    <xf numFmtId="167" fontId="7" fillId="0" borderId="0" xfId="3" applyNumberFormat="1" applyFont="1" applyFill="1" applyAlignment="1" applyProtection="1">
      <alignment vertical="center"/>
      <protection locked="0"/>
    </xf>
    <xf numFmtId="0" fontId="8" fillId="0" borderId="0" xfId="3" applyFont="1" applyFill="1" applyAlignment="1">
      <alignment horizontal="left" vertical="center"/>
    </xf>
    <xf numFmtId="0" fontId="17" fillId="0" borderId="0" xfId="3" applyFont="1" applyFill="1" applyAlignment="1">
      <alignment vertical="center"/>
    </xf>
    <xf numFmtId="0" fontId="7" fillId="0" borderId="0" xfId="3" applyFont="1" applyFill="1" applyAlignment="1">
      <alignment vertical="center"/>
    </xf>
    <xf numFmtId="0" fontId="7" fillId="0" borderId="0" xfId="3" applyFont="1" applyFill="1" applyAlignment="1">
      <alignment horizontal="left" vertical="center"/>
    </xf>
    <xf numFmtId="164" fontId="7" fillId="2" borderId="0" xfId="3" quotePrefix="1" applyNumberFormat="1" applyFont="1" applyFill="1" applyAlignment="1" applyProtection="1">
      <alignment vertical="center"/>
    </xf>
    <xf numFmtId="0" fontId="38" fillId="0" borderId="0" xfId="4" applyFont="1"/>
    <xf numFmtId="0" fontId="36" fillId="0" borderId="0" xfId="3" applyFont="1" applyFill="1" applyAlignment="1">
      <alignment horizontal="left" vertical="center"/>
    </xf>
    <xf numFmtId="0" fontId="7" fillId="0" borderId="0" xfId="3" quotePrefix="1" applyFont="1" applyFill="1" applyAlignment="1">
      <alignment horizontal="left" vertical="center"/>
    </xf>
    <xf numFmtId="164" fontId="7" fillId="2" borderId="2" xfId="3" quotePrefix="1" applyNumberFormat="1" applyFont="1" applyFill="1" applyBorder="1" applyAlignment="1" applyProtection="1">
      <alignment vertical="center"/>
    </xf>
    <xf numFmtId="164" fontId="8" fillId="0" borderId="0" xfId="3" applyNumberFormat="1" applyFont="1" applyFill="1" applyAlignment="1" applyProtection="1">
      <alignment vertical="center"/>
    </xf>
    <xf numFmtId="164" fontId="7" fillId="2" borderId="0" xfId="3" quotePrefix="1" applyNumberFormat="1" applyFont="1" applyFill="1" applyBorder="1" applyAlignment="1" applyProtection="1">
      <alignment vertical="center"/>
    </xf>
    <xf numFmtId="0" fontId="8" fillId="0" borderId="18" xfId="3" applyFont="1" applyFill="1" applyBorder="1" applyAlignment="1">
      <alignment horizontal="left" vertical="center"/>
    </xf>
    <xf numFmtId="164" fontId="8" fillId="0" borderId="11" xfId="3" applyNumberFormat="1" applyFont="1" applyFill="1" applyBorder="1" applyAlignment="1" applyProtection="1">
      <alignment vertical="center"/>
    </xf>
    <xf numFmtId="180" fontId="8" fillId="0" borderId="11" xfId="3" applyNumberFormat="1" applyFont="1" applyFill="1" applyBorder="1" applyAlignment="1" applyProtection="1">
      <alignment vertical="center"/>
    </xf>
    <xf numFmtId="0" fontId="8" fillId="0" borderId="19" xfId="3" applyFont="1" applyFill="1" applyBorder="1" applyAlignment="1">
      <alignment horizontal="left" vertical="center"/>
    </xf>
    <xf numFmtId="164" fontId="7" fillId="0" borderId="26" xfId="3" applyNumberFormat="1" applyFont="1" applyFill="1" applyBorder="1" applyAlignment="1" applyProtection="1">
      <alignment vertical="center"/>
    </xf>
    <xf numFmtId="0" fontId="8" fillId="0" borderId="0" xfId="3" applyFont="1" applyFill="1" applyBorder="1" applyAlignment="1">
      <alignment horizontal="left" vertical="center"/>
    </xf>
    <xf numFmtId="180" fontId="8" fillId="0" borderId="0" xfId="3" applyNumberFormat="1" applyFont="1" applyFill="1" applyBorder="1" applyAlignment="1" applyProtection="1">
      <alignment vertical="center"/>
    </xf>
    <xf numFmtId="180" fontId="7" fillId="0" borderId="0" xfId="3" applyNumberFormat="1" applyFont="1" applyFill="1" applyBorder="1" applyAlignment="1" applyProtection="1">
      <alignment vertical="center"/>
    </xf>
    <xf numFmtId="164" fontId="8" fillId="0" borderId="2" xfId="3" applyNumberFormat="1" applyFont="1" applyFill="1" applyBorder="1" applyAlignment="1" applyProtection="1">
      <alignment vertical="center"/>
    </xf>
    <xf numFmtId="164" fontId="8" fillId="0" borderId="1" xfId="3" applyNumberFormat="1" applyFont="1" applyFill="1" applyBorder="1" applyAlignment="1" applyProtection="1">
      <alignment vertical="center"/>
    </xf>
    <xf numFmtId="164" fontId="8" fillId="0" borderId="26" xfId="3" applyNumberFormat="1" applyFont="1" applyFill="1" applyBorder="1" applyAlignment="1" applyProtection="1">
      <alignment vertical="center"/>
    </xf>
    <xf numFmtId="164" fontId="7" fillId="0" borderId="0" xfId="3" applyNumberFormat="1" applyFont="1" applyFill="1" applyAlignment="1" applyProtection="1">
      <alignment vertical="center"/>
    </xf>
    <xf numFmtId="180" fontId="7" fillId="0" borderId="0" xfId="3" applyNumberFormat="1" applyFont="1" applyFill="1" applyAlignment="1" applyProtection="1">
      <alignment vertical="center"/>
    </xf>
    <xf numFmtId="180" fontId="8" fillId="0" borderId="2" xfId="3" applyNumberFormat="1" applyFont="1" applyFill="1" applyBorder="1" applyAlignment="1" applyProtection="1">
      <alignment vertical="center"/>
    </xf>
    <xf numFmtId="164" fontId="10" fillId="0" borderId="0" xfId="3" applyNumberFormat="1" applyFont="1" applyFill="1" applyAlignment="1" applyProtection="1">
      <alignment vertical="center"/>
    </xf>
    <xf numFmtId="0" fontId="4" fillId="0" borderId="0" xfId="3" applyFont="1" applyFill="1" applyAlignment="1">
      <alignment horizontal="left" vertical="center"/>
    </xf>
    <xf numFmtId="180" fontId="8" fillId="0" borderId="1" xfId="3" applyNumberFormat="1" applyFont="1" applyFill="1" applyBorder="1" applyAlignment="1" applyProtection="1">
      <alignment vertical="center"/>
    </xf>
    <xf numFmtId="164" fontId="8" fillId="0" borderId="0" xfId="3" applyNumberFormat="1" applyFont="1" applyFill="1" applyBorder="1" applyAlignment="1" applyProtection="1">
      <alignment vertical="center"/>
    </xf>
    <xf numFmtId="0" fontId="33" fillId="0" borderId="3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vertical="center"/>
    </xf>
    <xf numFmtId="0" fontId="7" fillId="0" borderId="9" xfId="3" applyFont="1" applyFill="1" applyBorder="1" applyAlignment="1">
      <alignment horizontal="left" vertical="center"/>
    </xf>
    <xf numFmtId="164" fontId="7" fillId="2" borderId="0" xfId="3" applyNumberFormat="1" applyFont="1" applyFill="1" applyBorder="1" applyAlignment="1" applyProtection="1">
      <alignment vertical="center"/>
    </xf>
    <xf numFmtId="0" fontId="7" fillId="0" borderId="9" xfId="3" quotePrefix="1" applyFont="1" applyFill="1" applyBorder="1" applyAlignment="1">
      <alignment horizontal="left" vertical="center"/>
    </xf>
    <xf numFmtId="164" fontId="7" fillId="2" borderId="1" xfId="3" applyNumberFormat="1" applyFont="1" applyFill="1" applyBorder="1" applyAlignment="1" applyProtection="1">
      <alignment vertical="center"/>
    </xf>
    <xf numFmtId="0" fontId="8" fillId="0" borderId="20" xfId="3" applyFont="1" applyFill="1" applyBorder="1" applyAlignment="1">
      <alignment horizontal="left" vertical="center"/>
    </xf>
    <xf numFmtId="196" fontId="8" fillId="0" borderId="0" xfId="3" applyNumberFormat="1" applyFont="1" applyFill="1" applyBorder="1" applyAlignment="1" applyProtection="1">
      <alignment vertical="center"/>
    </xf>
    <xf numFmtId="0" fontId="8" fillId="0" borderId="2" xfId="3" applyFont="1" applyFill="1" applyBorder="1" applyAlignment="1">
      <alignment horizontal="left" vertical="center"/>
    </xf>
    <xf numFmtId="0" fontId="2" fillId="0" borderId="0" xfId="3" quotePrefix="1" applyFont="1" applyFill="1" applyAlignment="1">
      <alignment horizontal="left" vertical="center"/>
    </xf>
    <xf numFmtId="0" fontId="2" fillId="0" borderId="0" xfId="3" applyFont="1" applyFill="1" applyAlignment="1">
      <alignment horizontal="left" vertical="center"/>
    </xf>
    <xf numFmtId="164" fontId="23" fillId="0" borderId="5" xfId="3" applyNumberFormat="1" applyFont="1" applyBorder="1">
      <alignment vertical="center"/>
    </xf>
    <xf numFmtId="0" fontId="2" fillId="0" borderId="0" xfId="3" applyFont="1" applyFill="1" applyAlignment="1">
      <alignment vertical="center"/>
    </xf>
    <xf numFmtId="188" fontId="7" fillId="2" borderId="0" xfId="2" quotePrefix="1" applyNumberFormat="1" applyFont="1" applyFill="1" applyAlignment="1" applyProtection="1">
      <alignment vertical="center"/>
    </xf>
    <xf numFmtId="43" fontId="7" fillId="2" borderId="0" xfId="1" quotePrefix="1" applyNumberFormat="1" applyFont="1" applyFill="1" applyAlignment="1" applyProtection="1">
      <alignment vertical="center"/>
    </xf>
    <xf numFmtId="189" fontId="32" fillId="0" borderId="0" xfId="2" applyNumberFormat="1" applyFont="1"/>
    <xf numFmtId="0" fontId="32" fillId="0" borderId="10" xfId="3" quotePrefix="1" applyBorder="1">
      <alignment vertical="center"/>
    </xf>
    <xf numFmtId="43" fontId="24" fillId="0" borderId="0" xfId="1" applyFont="1"/>
    <xf numFmtId="0" fontId="62" fillId="0" borderId="0" xfId="3" applyFont="1">
      <alignment vertical="center"/>
    </xf>
    <xf numFmtId="0" fontId="46" fillId="0" borderId="0" xfId="3" applyFont="1">
      <alignment vertical="center"/>
    </xf>
    <xf numFmtId="0" fontId="6" fillId="0" borderId="0" xfId="3" applyFont="1">
      <alignment vertical="center"/>
    </xf>
    <xf numFmtId="0" fontId="20" fillId="0" borderId="0" xfId="0" applyFont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_CE 1-2001" xfId="3"/>
    <cellStyle name="Normal_SYSTEM_DESIGN_Rev_060801" xfId="4"/>
    <cellStyle name="Percent" xfId="5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DEPT/Mkt_anly/TW/TWFIN/2000/sanju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Plan/TWTestMfe_sale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Plan"/>
      <sheetName val="99Plan"/>
      <sheetName val="Adjustments"/>
    </sheetNames>
    <sheetDataSet>
      <sheetData sheetId="0">
        <row r="9"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J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01"/>
      <sheetName val="Lay"/>
      <sheetName val="Fuel"/>
      <sheetName val="UAF Calc"/>
      <sheetName val="2000 2ce compare"/>
      <sheetName val="Detail"/>
      <sheetName val="IT Study"/>
      <sheetName val="load factor study"/>
      <sheetName val="Terminations"/>
      <sheetName val="Resubscriptions"/>
      <sheetName val="Stretch"/>
      <sheetName val="Capital"/>
      <sheetName val="Rolling Schedules"/>
    </sheetNames>
    <sheetDataSet>
      <sheetData sheetId="0"/>
      <sheetData sheetId="1"/>
      <sheetData sheetId="2"/>
      <sheetData sheetId="3"/>
      <sheetData sheetId="4"/>
      <sheetData sheetId="5">
        <row r="1">
          <cell r="N1">
            <v>31</v>
          </cell>
        </row>
        <row r="226">
          <cell r="N226">
            <v>1860000</v>
          </cell>
        </row>
        <row r="505">
          <cell r="N505">
            <v>1240000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abSelected="1" workbookViewId="0">
      <selection activeCell="B14" sqref="B14:C143"/>
    </sheetView>
  </sheetViews>
  <sheetFormatPr defaultRowHeight="9" x14ac:dyDescent="0.15"/>
  <cols>
    <col min="1" max="1" width="59.19921875" style="620" customWidth="1"/>
    <col min="2" max="2" width="23.796875" style="620" customWidth="1"/>
    <col min="3" max="3" width="21.19921875" style="620" customWidth="1"/>
    <col min="4" max="4" width="9.59765625" style="620"/>
    <col min="5" max="5" width="18.3984375" style="620" customWidth="1"/>
    <col min="6" max="16384" width="9.59765625" style="620"/>
  </cols>
  <sheetData>
    <row r="1" spans="1:5" ht="12.75" x14ac:dyDescent="0.15">
      <c r="A1" s="619" t="s">
        <v>359</v>
      </c>
    </row>
    <row r="2" spans="1:5" ht="12.75" x14ac:dyDescent="0.15">
      <c r="A2" s="619" t="s">
        <v>524</v>
      </c>
    </row>
    <row r="5" spans="1:5" ht="12.75" x14ac:dyDescent="0.15">
      <c r="A5" s="619" t="s">
        <v>525</v>
      </c>
      <c r="B5" s="621" t="s">
        <v>501</v>
      </c>
    </row>
    <row r="9" spans="1:5" ht="12.75" x14ac:dyDescent="0.15">
      <c r="A9" s="622"/>
      <c r="B9" s="623" t="s">
        <v>526</v>
      </c>
      <c r="C9" s="623" t="s">
        <v>526</v>
      </c>
    </row>
    <row r="10" spans="1:5" ht="12.75" x14ac:dyDescent="0.15">
      <c r="A10" s="624"/>
      <c r="B10" s="625" t="s">
        <v>228</v>
      </c>
      <c r="C10" s="625" t="s">
        <v>229</v>
      </c>
      <c r="E10" s="620" t="s">
        <v>527</v>
      </c>
    </row>
    <row r="11" spans="1:5" ht="12.75" x14ac:dyDescent="0.15">
      <c r="B11" s="626" t="s">
        <v>528</v>
      </c>
      <c r="C11" s="626" t="s">
        <v>529</v>
      </c>
      <c r="E11" s="619" t="s">
        <v>530</v>
      </c>
    </row>
    <row r="12" spans="1:5" ht="15.75" x14ac:dyDescent="0.15">
      <c r="A12" s="627" t="s">
        <v>7</v>
      </c>
      <c r="B12" s="628"/>
      <c r="C12" s="629"/>
    </row>
    <row r="13" spans="1:5" ht="12.75" x14ac:dyDescent="0.15">
      <c r="A13" s="630" t="s">
        <v>65</v>
      </c>
      <c r="B13" s="631"/>
      <c r="C13" s="632"/>
      <c r="E13" s="620" t="s">
        <v>531</v>
      </c>
    </row>
    <row r="14" spans="1:5" ht="12.75" x14ac:dyDescent="0.15">
      <c r="A14" s="633" t="s">
        <v>9</v>
      </c>
      <c r="B14" s="634">
        <f>IF($B$5=Forecast01!$H$10,Forecast01!H14,IF($B$5=Forecast01!$I$10,Forecast01!I14,IF($B$5=Forecast01!$J$10,Forecast01!J14,IF($B$5=Forecast01!$K$10,Forecast01!K14,IF($B$5=Forecast01!$L$10,Forecast01!L14,IF($B$5=Forecast01!$M$10,Forecast01!M14))))))</f>
        <v>266.3</v>
      </c>
      <c r="C14" s="634">
        <f>IF($B$5=Forecast01!$H$10,Forecast01!H188,IF($B$5=Forecast01!$I$10,Forecast01!I188,IF($B$5=Forecast01!$J$10,Forecast01!J188,IF($B$5=Forecast01!$K$10,Forecast01!K188,IF($B$5=Forecast01!$L$10,Forecast01!L188,IF($B$5=Forecast01!$M$10,Forecast01!M188,0))))))</f>
        <v>2144.13267</v>
      </c>
      <c r="E14" s="634" t="s">
        <v>532</v>
      </c>
    </row>
    <row r="15" spans="1:5" ht="12.75" x14ac:dyDescent="0.2">
      <c r="A15" s="633" t="s">
        <v>66</v>
      </c>
      <c r="C15" s="634">
        <f>IF($B$5=Forecast01!$H$10,Forecast01!H189,IF($B$5=Forecast01!$I$10,Forecast01!I189,IF($B$5=Forecast01!$J$10,Forecast01!J189,IF($B$5=Forecast01!$K$10,Forecast01!K189,IF($B$5=Forecast01!$L$10,Forecast01!L189,IF($B$5=Forecast01!$M$10,Forecast01!M189,0))))))</f>
        <v>353.60149999999999</v>
      </c>
      <c r="E15" s="635" t="s">
        <v>533</v>
      </c>
    </row>
    <row r="16" spans="1:5" ht="12.75" x14ac:dyDescent="0.15">
      <c r="A16" s="633" t="s">
        <v>36</v>
      </c>
      <c r="B16" s="634">
        <f>IF($B$5=Forecast01!$H$10,Forecast01!H15,IF($B$5=Forecast01!$I$10,Forecast01!I15,IF($B$5=Forecast01!$J$10,Forecast01!J15,IF($B$5=Forecast01!$K$10,Forecast01!K15,IF($B$5=Forecast01!$L$10,Forecast01!L15,IF($B$5=Forecast01!$M$10,Forecast01!M15))))))</f>
        <v>382.67580645161291</v>
      </c>
      <c r="C16" s="634">
        <f>IF($B$5=Forecast01!$H$10,Forecast01!H190,IF($B$5=Forecast01!$I$10,Forecast01!I190,IF($B$5=Forecast01!$J$10,Forecast01!J190,IF($B$5=Forecast01!$K$10,Forecast01!K190,IF($B$5=Forecast01!$L$10,Forecast01!L190,IF($B$5=Forecast01!$M$10,Forecast01!M190,0))))))</f>
        <v>323.30013500000001</v>
      </c>
      <c r="E16" s="620" t="s">
        <v>534</v>
      </c>
    </row>
    <row r="17" spans="1:5" ht="12.75" x14ac:dyDescent="0.15">
      <c r="A17" s="636" t="s">
        <v>45</v>
      </c>
      <c r="B17" s="634">
        <f>IF($B$5=Forecast01!$H$10,Forecast01!H16,IF($B$5=Forecast01!$I$10,Forecast01!I16,IF($B$5=Forecast01!$J$10,Forecast01!J16,IF($B$5=Forecast01!$K$10,Forecast01!K16,IF($B$5=Forecast01!$L$10,Forecast01!L16,IF($B$5=Forecast01!$M$10,Forecast01!M16))))))</f>
        <v>0</v>
      </c>
      <c r="C17" s="634">
        <f>IF($B$5=Forecast01!$H$10,Forecast01!H191,IF($B$5=Forecast01!$I$10,Forecast01!I191,IF($B$5=Forecast01!$J$10,Forecast01!J191,IF($B$5=Forecast01!$K$10,Forecast01!K191,IF($B$5=Forecast01!$L$10,Forecast01!L191,IF($B$5=Forecast01!$M$10,Forecast01!M191,0))))))</f>
        <v>0</v>
      </c>
      <c r="E17" s="634" t="s">
        <v>535</v>
      </c>
    </row>
    <row r="18" spans="1:5" ht="12.75" x14ac:dyDescent="0.15">
      <c r="A18" s="637" t="s">
        <v>37</v>
      </c>
      <c r="B18" s="634">
        <f>IF($B$5=Forecast01!$H$10,Forecast01!H17,IF($B$5=Forecast01!$I$10,Forecast01!I17,IF($B$5=Forecast01!$J$10,Forecast01!J17,IF($B$5=Forecast01!$K$10,Forecast01!K17,IF($B$5=Forecast01!$L$10,Forecast01!L17,IF($B$5=Forecast01!$M$10,Forecast01!M17))))))</f>
        <v>0</v>
      </c>
      <c r="C18" s="638">
        <f>IF($B$5=Forecast01!$H$10,Forecast01!H192,IF($B$5=Forecast01!$I$10,Forecast01!I192,IF($B$5=Forecast01!$J$10,Forecast01!J192,IF($B$5=Forecast01!$K$10,Forecast01!K192,IF($B$5=Forecast01!$L$10,Forecast01!L192,IF($B$5=Forecast01!$M$10,Forecast01!M192,0))))))</f>
        <v>0</v>
      </c>
    </row>
    <row r="19" spans="1:5" ht="12.75" x14ac:dyDescent="0.15">
      <c r="A19" s="630" t="s">
        <v>13</v>
      </c>
      <c r="B19" s="639">
        <f>SUM(B16:B18)</f>
        <v>382.67580645161291</v>
      </c>
      <c r="C19" s="120">
        <f>SUM(C14:C18)</f>
        <v>2821.0343049999997</v>
      </c>
    </row>
    <row r="20" spans="1:5" ht="12.75" x14ac:dyDescent="0.15">
      <c r="A20" s="633"/>
      <c r="B20" s="639"/>
      <c r="C20" s="629"/>
    </row>
    <row r="21" spans="1:5" ht="12.75" x14ac:dyDescent="0.15">
      <c r="A21" s="630" t="s">
        <v>58</v>
      </c>
      <c r="B21" s="632"/>
      <c r="C21" s="629"/>
    </row>
    <row r="22" spans="1:5" ht="12.75" x14ac:dyDescent="0.15">
      <c r="A22" s="633" t="s">
        <v>9</v>
      </c>
      <c r="B22" s="634">
        <f>IF($B$5=Forecast01!$H$10,Forecast01!H21,IF($B$5=Forecast01!$I$10,Forecast01!I21,IF($B$5=Forecast01!$J$10,Forecast01!J21,IF($B$5=Forecast01!$K$10,Forecast01!K21,IF($B$5=Forecast01!$L$10,Forecast01!L21,IF($B$5=Forecast01!$M$10,Forecast01!M21))))))</f>
        <v>578</v>
      </c>
      <c r="C22" s="634">
        <f>IF($B$5=Forecast01!$H$10,Forecast01!H196,IF($B$5=Forecast01!$I$10,Forecast01!I196,IF($B$5=Forecast01!$J$10,Forecast01!J196,IF($B$5=Forecast01!$K$10,Forecast01!K196,IF($B$5=Forecast01!$L$10,Forecast01!L196,IF($B$5=Forecast01!$M$10,Forecast01!M196,0))))))</f>
        <v>4500.0090543999995</v>
      </c>
    </row>
    <row r="23" spans="1:5" ht="12.75" x14ac:dyDescent="0.15">
      <c r="A23" s="633" t="s">
        <v>66</v>
      </c>
      <c r="C23" s="634">
        <f>IF($B$5=Forecast01!$H$10,Forecast01!H197,IF($B$5=Forecast01!$I$10,Forecast01!I197,IF($B$5=Forecast01!$J$10,Forecast01!J197,IF($B$5=Forecast01!$K$10,Forecast01!K197,IF($B$5=Forecast01!$L$10,Forecast01!L197,IF($B$5=Forecast01!$M$10,Forecast01!M197,0))))))</f>
        <v>650.7396</v>
      </c>
    </row>
    <row r="24" spans="1:5" ht="12.75" x14ac:dyDescent="0.15">
      <c r="A24" s="633" t="s">
        <v>36</v>
      </c>
      <c r="B24" s="634">
        <f>IF($B$5=Forecast01!$H$10,Forecast01!H22,IF($B$5=Forecast01!$I$10,Forecast01!I22,IF($B$5=Forecast01!$J$10,Forecast01!J22,IF($B$5=Forecast01!$K$10,Forecast01!K22,IF($B$5=Forecast01!$L$10,Forecast01!L22,IF($B$5=Forecast01!$M$10,Forecast01!M22))))))</f>
        <v>357.29399999999998</v>
      </c>
      <c r="C24" s="634">
        <f>IF($B$5=Forecast01!$H$10,Forecast01!H198,IF($B$5=Forecast01!$I$10,Forecast01!I198,IF($B$5=Forecast01!$J$10,Forecast01!J198,IF($B$5=Forecast01!$K$10,Forecast01!K198,IF($B$5=Forecast01!$L$10,Forecast01!L198,IF($B$5=Forecast01!$M$10,Forecast01!M198,0))))))</f>
        <v>332.78875099999993</v>
      </c>
    </row>
    <row r="25" spans="1:5" ht="12.75" x14ac:dyDescent="0.15">
      <c r="A25" s="633" t="s">
        <v>45</v>
      </c>
      <c r="B25" s="634">
        <f>IF($B$5=Forecast01!$H$10,Forecast01!H23,IF($B$5=Forecast01!$I$10,Forecast01!I23,IF($B$5=Forecast01!$J$10,Forecast01!J23,IF($B$5=Forecast01!$K$10,Forecast01!K23,IF($B$5=Forecast01!$L$10,Forecast01!L23,IF($B$5=Forecast01!$M$10,Forecast01!M23))))))</f>
        <v>0</v>
      </c>
      <c r="C25" s="634">
        <f>IF($B$5=Forecast01!$H$10,Forecast01!H199,IF($B$5=Forecast01!$I$10,Forecast01!I199,IF($B$5=Forecast01!$J$10,Forecast01!J199,IF($B$5=Forecast01!$K$10,Forecast01!K199,IF($B$5=Forecast01!$L$10,Forecast01!L199,IF($B$5=Forecast01!$M$10,Forecast01!M199,0))))))</f>
        <v>0</v>
      </c>
    </row>
    <row r="26" spans="1:5" ht="12.75" x14ac:dyDescent="0.15">
      <c r="A26" s="633" t="s">
        <v>205</v>
      </c>
      <c r="C26" s="634">
        <f>IF($B$5=Forecast01!$H$10,Forecast01!H200,IF($B$5=Forecast01!$I$10,Forecast01!I200,IF($B$5=Forecast01!$J$10,Forecast01!J200,IF($B$5=Forecast01!$K$10,Forecast01!K200,IF($B$5=Forecast01!$L$10,Forecast01!L200,IF($B$5=Forecast01!$M$10,Forecast01!M200,0))))))</f>
        <v>0</v>
      </c>
    </row>
    <row r="27" spans="1:5" ht="12.75" x14ac:dyDescent="0.15">
      <c r="A27" s="633" t="s">
        <v>37</v>
      </c>
      <c r="B27" s="638">
        <f>IF($B$5=Forecast01!$H$10,Forecast01!H24,IF($B$5=Forecast01!$I$10,Forecast01!I24,IF($B$5=Forecast01!$J$10,Forecast01!J24,IF($B$5=Forecast01!$K$10,Forecast01!K24,IF($B$5=Forecast01!$L$10,Forecast01!L24,IF($B$5=Forecast01!$M$10,Forecast01!M24))))))</f>
        <v>35</v>
      </c>
      <c r="C27" s="638">
        <f>IF($B$5=Forecast01!$H$10,Forecast01!H201,IF($B$5=Forecast01!$I$10,Forecast01!I201,IF($B$5=Forecast01!$J$10,Forecast01!J201,IF($B$5=Forecast01!$K$10,Forecast01!K201,IF($B$5=Forecast01!$L$10,Forecast01!L201,IF($B$5=Forecast01!$M$10,Forecast01!M201,0))))))</f>
        <v>21.7</v>
      </c>
    </row>
    <row r="28" spans="1:5" ht="12.75" x14ac:dyDescent="0.15">
      <c r="A28" s="630" t="s">
        <v>16</v>
      </c>
      <c r="B28" s="639">
        <f>SUM(B24:B27)</f>
        <v>392.29399999999998</v>
      </c>
      <c r="C28" s="120">
        <f>SUM(C22:C27)</f>
        <v>5505.2374053999993</v>
      </c>
    </row>
    <row r="29" spans="1:5" ht="12.75" x14ac:dyDescent="0.15">
      <c r="A29" s="633"/>
      <c r="B29" s="639"/>
      <c r="C29" s="629"/>
    </row>
    <row r="30" spans="1:5" ht="12.75" x14ac:dyDescent="0.15">
      <c r="A30" s="630" t="s">
        <v>17</v>
      </c>
      <c r="B30" s="632"/>
      <c r="C30" s="629"/>
    </row>
    <row r="31" spans="1:5" ht="12.75" x14ac:dyDescent="0.15">
      <c r="A31" s="633" t="s">
        <v>9</v>
      </c>
      <c r="B31" s="640">
        <f>IF($B$5=Forecast01!$H$10,Forecast01!H28,IF($B$5=Forecast01!$I$10,Forecast01!I28,IF($B$5=Forecast01!$J$10,Forecast01!J28,IF($B$5=Forecast01!$K$10,Forecast01!K28,IF($B$5=Forecast01!$L$10,Forecast01!L28,IF($B$5=Forecast01!$M$10,Forecast01!M28))))))</f>
        <v>60</v>
      </c>
      <c r="C31" s="634">
        <f>IF($B$5=Forecast01!$H$10,Forecast01!H205,IF($B$5=Forecast01!$I$10,Forecast01!I205,IF($B$5=Forecast01!$J$10,Forecast01!J205,IF($B$5=Forecast01!$K$10,Forecast01!K205,IF($B$5=Forecast01!$L$10,Forecast01!L205,IF($B$5=Forecast01!$M$10,Forecast01!M205,0))))))</f>
        <v>296.09340000000009</v>
      </c>
    </row>
    <row r="32" spans="1:5" ht="12.75" x14ac:dyDescent="0.15">
      <c r="A32" s="633" t="s">
        <v>36</v>
      </c>
      <c r="B32" s="640">
        <f>IF($B$5=Forecast01!$H$10,Forecast01!H29,IF($B$5=Forecast01!$I$10,Forecast01!I29,IF($B$5=Forecast01!$J$10,Forecast01!J29,IF($B$5=Forecast01!$K$10,Forecast01!K29,IF($B$5=Forecast01!$L$10,Forecast01!L29,IF($B$5=Forecast01!$M$10,Forecast01!M29))))))</f>
        <v>51</v>
      </c>
      <c r="C32" s="634">
        <f>IF($B$5=Forecast01!$H$10,Forecast01!H206,IF($B$5=Forecast01!$I$10,Forecast01!I206,IF($B$5=Forecast01!$J$10,Forecast01!J206,IF($B$5=Forecast01!$K$10,Forecast01!K206,IF($B$5=Forecast01!$L$10,Forecast01!L206,IF($B$5=Forecast01!$M$10,Forecast01!M206,0))))))</f>
        <v>29.406599999999997</v>
      </c>
    </row>
    <row r="33" spans="1:3" ht="12.75" x14ac:dyDescent="0.15">
      <c r="A33" s="633" t="s">
        <v>45</v>
      </c>
      <c r="B33" s="640">
        <f>IF($B$5=Forecast01!$H$10,Forecast01!H30,IF($B$5=Forecast01!$I$10,Forecast01!I30,IF($B$5=Forecast01!$J$10,Forecast01!J30,IF($B$5=Forecast01!$K$10,Forecast01!K30,IF($B$5=Forecast01!$L$10,Forecast01!L30,IF($B$5=Forecast01!$M$10,Forecast01!M30))))))</f>
        <v>0</v>
      </c>
      <c r="C33" s="634">
        <f>IF($B$5=Forecast01!$H$10,Forecast01!H207,IF($B$5=Forecast01!$I$10,Forecast01!I207,IF($B$5=Forecast01!$J$10,Forecast01!J207,IF($B$5=Forecast01!$K$10,Forecast01!K207,IF($B$5=Forecast01!$L$10,Forecast01!L207,IF($B$5=Forecast01!$M$10,Forecast01!M207,0))))))</f>
        <v>0</v>
      </c>
    </row>
    <row r="34" spans="1:3" ht="12.75" x14ac:dyDescent="0.15">
      <c r="A34" s="633" t="s">
        <v>37</v>
      </c>
      <c r="B34" s="640">
        <f>IF($B$5=Forecast01!$H$10,Forecast01!H31,IF($B$5=Forecast01!$I$10,Forecast01!I31,IF($B$5=Forecast01!$J$10,Forecast01!J31,IF($B$5=Forecast01!$K$10,Forecast01!K31,IF($B$5=Forecast01!$L$10,Forecast01!L31,IF($B$5=Forecast01!$M$10,Forecast01!M31))))))</f>
        <v>0</v>
      </c>
      <c r="C34" s="638">
        <f>IF($B$5=Forecast01!$H$10,Forecast01!H208,IF($B$5=Forecast01!$I$10,Forecast01!I208,IF($B$5=Forecast01!$J$10,Forecast01!J208,IF($B$5=Forecast01!$K$10,Forecast01!K208,IF($B$5=Forecast01!$L$10,Forecast01!L208,IF($B$5=Forecast01!$M$10,Forecast01!M208,0))))))</f>
        <v>0</v>
      </c>
    </row>
    <row r="35" spans="1:3" ht="12.75" x14ac:dyDescent="0.15">
      <c r="A35" s="630" t="s">
        <v>18</v>
      </c>
      <c r="B35" s="639">
        <f>SUM(B32:B34)</f>
        <v>51</v>
      </c>
      <c r="C35" s="120">
        <f>SUM(C31:C34)</f>
        <v>325.50000000000011</v>
      </c>
    </row>
    <row r="36" spans="1:3" ht="12.75" x14ac:dyDescent="0.15">
      <c r="A36" s="633"/>
      <c r="B36" s="639"/>
      <c r="C36" s="629"/>
    </row>
    <row r="37" spans="1:3" ht="12.75" x14ac:dyDescent="0.15">
      <c r="A37" s="630" t="s">
        <v>67</v>
      </c>
      <c r="B37" s="632"/>
      <c r="C37" s="629"/>
    </row>
    <row r="38" spans="1:3" ht="12.75" x14ac:dyDescent="0.15">
      <c r="A38" s="633" t="s">
        <v>9</v>
      </c>
      <c r="B38" s="640">
        <f>IF($B$5=Forecast01!$H$10,Forecast01!H35,IF($B$5=Forecast01!$I$10,Forecast01!I35,IF($B$5=Forecast01!$J$10,Forecast01!J35,IF($B$5=Forecast01!$K$10,Forecast01!K35,IF($B$5=Forecast01!$L$10,Forecast01!L35,IF($B$5=Forecast01!$M$10,Forecast01!M35))))))</f>
        <v>183.6</v>
      </c>
      <c r="C38" s="634">
        <f>IF($B$5=Forecast01!$H$10,Forecast01!H212,IF($B$5=Forecast01!$I$10,Forecast01!I212,IF($B$5=Forecast01!$J$10,Forecast01!J212,IF($B$5=Forecast01!$K$10,Forecast01!K212,IF($B$5=Forecast01!$L$10,Forecast01!L212,IF($B$5=Forecast01!$M$10,Forecast01!M212,0))))))</f>
        <v>958.75367800000015</v>
      </c>
    </row>
    <row r="39" spans="1:3" ht="12.75" x14ac:dyDescent="0.15">
      <c r="A39" s="633" t="s">
        <v>36</v>
      </c>
      <c r="B39" s="640">
        <f>IF($B$5=Forecast01!$H$10,Forecast01!H36,IF($B$5=Forecast01!$I$10,Forecast01!I36,IF($B$5=Forecast01!$J$10,Forecast01!J36,IF($B$5=Forecast01!$K$10,Forecast01!K36,IF($B$5=Forecast01!$L$10,Forecast01!L36,IF($B$5=Forecast01!$M$10,Forecast01!M36))))))</f>
        <v>174.42</v>
      </c>
      <c r="C39" s="634">
        <f>IF($B$5=Forecast01!$H$10,Forecast01!H213,IF($B$5=Forecast01!$I$10,Forecast01!I213,IF($B$5=Forecast01!$J$10,Forecast01!J213,IF($B$5=Forecast01!$K$10,Forecast01!K213,IF($B$5=Forecast01!$L$10,Forecast01!L213,IF($B$5=Forecast01!$M$10,Forecast01!M213,0))))))</f>
        <v>100.570572</v>
      </c>
    </row>
    <row r="40" spans="1:3" ht="12.75" x14ac:dyDescent="0.15">
      <c r="A40" s="633" t="s">
        <v>45</v>
      </c>
      <c r="B40" s="640">
        <f>IF($B$5=Forecast01!$H$10,Forecast01!H37,IF($B$5=Forecast01!$I$10,Forecast01!I37,IF($B$5=Forecast01!$J$10,Forecast01!J37,IF($B$5=Forecast01!$K$10,Forecast01!K37,IF($B$5=Forecast01!$L$10,Forecast01!L37,IF($B$5=Forecast01!$M$10,Forecast01!M37))))))</f>
        <v>0</v>
      </c>
      <c r="C40" s="634">
        <f>IF($B$5=Forecast01!$H$10,Forecast01!H214,IF($B$5=Forecast01!$I$10,Forecast01!I214,IF($B$5=Forecast01!$J$10,Forecast01!J214,IF($B$5=Forecast01!$K$10,Forecast01!K214,IF($B$5=Forecast01!$L$10,Forecast01!L214,IF($B$5=Forecast01!$M$10,Forecast01!M214,0))))))</f>
        <v>0</v>
      </c>
    </row>
    <row r="41" spans="1:3" ht="12.75" x14ac:dyDescent="0.15">
      <c r="A41" s="633" t="s">
        <v>201</v>
      </c>
      <c r="B41" s="640">
        <f>IF($B$5=Forecast01!$H$10,Forecast01!H38,IF($B$5=Forecast01!$I$10,Forecast01!I38,IF($B$5=Forecast01!$J$10,Forecast01!J38,IF($B$5=Forecast01!$K$10,Forecast01!K38,IF($B$5=Forecast01!$L$10,Forecast01!L38,IF($B$5=Forecast01!$M$10,Forecast01!M38))))))</f>
        <v>0</v>
      </c>
      <c r="C41" s="634">
        <f>IF($B$5=Forecast01!$H$10,Forecast01!H215,IF($B$5=Forecast01!$I$10,Forecast01!I215,IF($B$5=Forecast01!$J$10,Forecast01!J215,IF($B$5=Forecast01!$K$10,Forecast01!K215,IF($B$5=Forecast01!$L$10,Forecast01!L215,IF($B$5=Forecast01!$M$10,Forecast01!M215,0))))))</f>
        <v>0</v>
      </c>
    </row>
    <row r="42" spans="1:3" ht="12.75" x14ac:dyDescent="0.15">
      <c r="A42" s="637" t="s">
        <v>37</v>
      </c>
      <c r="B42" s="640">
        <f>IF($B$5=Forecast01!$H$10,Forecast01!H39,IF($B$5=Forecast01!$I$10,Forecast01!I39,IF($B$5=Forecast01!$J$10,Forecast01!J39,IF($B$5=Forecast01!$K$10,Forecast01!K39,IF($B$5=Forecast01!$L$10,Forecast01!L39,IF($B$5=Forecast01!$M$10,Forecast01!M39))))))</f>
        <v>0</v>
      </c>
      <c r="C42" s="638">
        <f>IF($B$5=Forecast01!$H$10,Forecast01!H216,IF($B$5=Forecast01!$I$10,Forecast01!I216,IF($B$5=Forecast01!$J$10,Forecast01!J216,IF($B$5=Forecast01!$K$10,Forecast01!K216,IF($B$5=Forecast01!$L$10,Forecast01!L216,IF($B$5=Forecast01!$M$10,Forecast01!M216,0))))))</f>
        <v>0</v>
      </c>
    </row>
    <row r="43" spans="1:3" ht="12.75" x14ac:dyDescent="0.15">
      <c r="A43" s="630" t="s">
        <v>20</v>
      </c>
      <c r="B43" s="639">
        <f>SUM(B39:B42)</f>
        <v>174.42</v>
      </c>
      <c r="C43" s="121">
        <f>SUM(C38:C42)</f>
        <v>1059.3242500000001</v>
      </c>
    </row>
    <row r="44" spans="1:3" ht="12.75" x14ac:dyDescent="0.15">
      <c r="A44" s="641" t="s">
        <v>68</v>
      </c>
      <c r="B44" s="642">
        <f>B14+B22+B31+B38</f>
        <v>1087.8999999999999</v>
      </c>
      <c r="C44" s="120">
        <f>+C15+C22+C31+C38+C23+C14</f>
        <v>8903.3299023999989</v>
      </c>
    </row>
    <row r="45" spans="1:3" ht="12.75" x14ac:dyDescent="0.15">
      <c r="A45" s="641" t="s">
        <v>69</v>
      </c>
      <c r="B45" s="642">
        <f>B19+B28+B35+B43</f>
        <v>1000.3898064516128</v>
      </c>
      <c r="C45" s="643">
        <f>C16+C17+C18+C24+C25+C26+C27+C32+C33+C34+C39+C40+C41+C42</f>
        <v>807.76605800000004</v>
      </c>
    </row>
    <row r="46" spans="1:3" ht="12.75" x14ac:dyDescent="0.15">
      <c r="A46" s="644" t="s">
        <v>70</v>
      </c>
      <c r="B46" s="645"/>
      <c r="C46" s="643">
        <f>SUM(C44:C45)</f>
        <v>9711.0959603999981</v>
      </c>
    </row>
    <row r="47" spans="1:3" ht="12.75" x14ac:dyDescent="0.15">
      <c r="A47" s="646"/>
      <c r="B47" s="629"/>
      <c r="C47" s="647"/>
    </row>
    <row r="48" spans="1:3" ht="15.75" x14ac:dyDescent="0.15">
      <c r="A48" s="627" t="s">
        <v>23</v>
      </c>
      <c r="B48" s="629"/>
      <c r="C48" s="648"/>
    </row>
    <row r="49" spans="1:3" ht="12.75" x14ac:dyDescent="0.15">
      <c r="A49" s="630" t="s">
        <v>195</v>
      </c>
      <c r="B49" s="632"/>
      <c r="C49" s="632"/>
    </row>
    <row r="50" spans="1:3" ht="12.75" x14ac:dyDescent="0.15">
      <c r="A50" s="633" t="s">
        <v>9</v>
      </c>
      <c r="B50" s="634">
        <f>IF($B$5=Forecast01!$H$10,Forecast01!H46,IF($B$5=Forecast01!$I$10,Forecast01!I46,IF($B$5=Forecast01!$J$10,Forecast01!J46,IF($B$5=Forecast01!$K$10,Forecast01!K46,IF($B$5=Forecast01!$L$10,Forecast01!L46,IF($B$5=Forecast01!$M$10,Forecast01!M46))))))</f>
        <v>0</v>
      </c>
      <c r="C50" s="634">
        <f>IF($B$5=Forecast01!$H$10,Forecast01!H224,IF($B$5=Forecast01!$I$10,Forecast01!I224,IF($B$5=Forecast01!$J$10,Forecast01!J224,IF($B$5=Forecast01!$K$10,Forecast01!K224,IF($B$5=Forecast01!$L$10,Forecast01!L224,IF($B$5=Forecast01!$M$10,Forecast01!M224,0))))))</f>
        <v>0</v>
      </c>
    </row>
    <row r="51" spans="1:3" ht="12.75" x14ac:dyDescent="0.15">
      <c r="A51" s="633" t="s">
        <v>36</v>
      </c>
      <c r="B51" s="634">
        <f>IF($B$5=Forecast01!$H$10,Forecast01!H47,IF($B$5=Forecast01!$I$10,Forecast01!I47,IF($B$5=Forecast01!$J$10,Forecast01!J47,IF($B$5=Forecast01!$K$10,Forecast01!K47,IF($B$5=Forecast01!$L$10,Forecast01!L47,IF($B$5=Forecast01!$M$10,Forecast01!M47))))))</f>
        <v>0</v>
      </c>
      <c r="C51" s="634">
        <f>IF($B$5=Forecast01!$H$10,Forecast01!H225,IF($B$5=Forecast01!$I$10,Forecast01!I225,IF($B$5=Forecast01!$J$10,Forecast01!J225,IF($B$5=Forecast01!$K$10,Forecast01!K225,IF($B$5=Forecast01!$L$10,Forecast01!L225,IF($B$5=Forecast01!$M$10,Forecast01!M225,0))))))</f>
        <v>0</v>
      </c>
    </row>
    <row r="52" spans="1:3" ht="12.75" x14ac:dyDescent="0.15">
      <c r="A52" s="633" t="s">
        <v>45</v>
      </c>
      <c r="B52" s="634">
        <f>IF($B$5=Forecast01!$H$10,Forecast01!H48,IF($B$5=Forecast01!$I$10,Forecast01!I48,IF($B$5=Forecast01!$J$10,Forecast01!J48,IF($B$5=Forecast01!$K$10,Forecast01!K48,IF($B$5=Forecast01!$L$10,Forecast01!L48,IF($B$5=Forecast01!$M$10,Forecast01!M48))))))</f>
        <v>0</v>
      </c>
      <c r="C52" s="634">
        <f>IF($B$5=Forecast01!$H$10,Forecast01!H226,IF($B$5=Forecast01!$I$10,Forecast01!I226,IF($B$5=Forecast01!$J$10,Forecast01!J226,IF($B$5=Forecast01!$K$10,Forecast01!K226,IF($B$5=Forecast01!$L$10,Forecast01!L226,IF($B$5=Forecast01!$M$10,Forecast01!M226,0))))))</f>
        <v>0</v>
      </c>
    </row>
    <row r="53" spans="1:3" ht="12.75" x14ac:dyDescent="0.15">
      <c r="A53" s="637" t="s">
        <v>37</v>
      </c>
      <c r="B53" s="634">
        <f>IF($B$5=Forecast01!$H$10,Forecast01!H49,IF($B$5=Forecast01!$I$10,Forecast01!I49,IF($B$5=Forecast01!$J$10,Forecast01!J49,IF($B$5=Forecast01!$K$10,Forecast01!K49,IF($B$5=Forecast01!$L$10,Forecast01!L49,IF($B$5=Forecast01!$M$10,Forecast01!M49))))))</f>
        <v>0</v>
      </c>
      <c r="C53" s="638">
        <f>IF($B$5=Forecast01!$H$10,Forecast01!H227,IF($B$5=Forecast01!$I$10,Forecast01!I227,IF($B$5=Forecast01!$J$10,Forecast01!J227,IF($B$5=Forecast01!$K$10,Forecast01!K227,IF($B$5=Forecast01!$L$10,Forecast01!L227,IF($B$5=Forecast01!$M$10,Forecast01!M227,0))))))</f>
        <v>0</v>
      </c>
    </row>
    <row r="54" spans="1:3" ht="12.75" x14ac:dyDescent="0.15">
      <c r="A54" s="630" t="s">
        <v>24</v>
      </c>
      <c r="B54" s="639">
        <f>SUM(B51:B53)</f>
        <v>0</v>
      </c>
      <c r="C54" s="120">
        <f>SUM(C50:C53)</f>
        <v>0</v>
      </c>
    </row>
    <row r="55" spans="1:3" ht="12.75" x14ac:dyDescent="0.15">
      <c r="A55" s="633"/>
      <c r="B55" s="639"/>
      <c r="C55" s="648"/>
    </row>
    <row r="56" spans="1:3" ht="12.75" x14ac:dyDescent="0.15">
      <c r="A56" s="630" t="s">
        <v>25</v>
      </c>
      <c r="B56" s="632"/>
      <c r="C56" s="632"/>
    </row>
    <row r="57" spans="1:3" ht="12.75" x14ac:dyDescent="0.15">
      <c r="A57" s="633" t="s">
        <v>9</v>
      </c>
      <c r="B57" s="634">
        <f>IF($B$5=Forecast01!$H$10,Forecast01!H53,IF($B$5=Forecast01!$I$10,Forecast01!I53,IF($B$5=Forecast01!$J$10,Forecast01!J53,IF($B$5=Forecast01!$K$10,Forecast01!K53,IF($B$5=Forecast01!$L$10,Forecast01!L53,IF($B$5=Forecast01!$M$10,Forecast01!M53))))))</f>
        <v>609</v>
      </c>
      <c r="C57" s="634">
        <f>IF($B$5=Forecast01!$H$10,Forecast01!H231,IF($B$5=Forecast01!$I$10,Forecast01!I231,IF($B$5=Forecast01!$J$10,Forecast01!J231,IF($B$5=Forecast01!$K$10,Forecast01!K231,IF($B$5=Forecast01!$L$10,Forecast01!L231,IF($B$5=Forecast01!$M$10,Forecast01!M231,0))))))</f>
        <v>394.53213299999999</v>
      </c>
    </row>
    <row r="58" spans="1:3" ht="12.75" x14ac:dyDescent="0.15">
      <c r="A58" s="633" t="s">
        <v>36</v>
      </c>
      <c r="B58" s="634">
        <f>IF($B$5=Forecast01!$H$10,Forecast01!H54,IF($B$5=Forecast01!$I$10,Forecast01!I54,IF($B$5=Forecast01!$J$10,Forecast01!J54,IF($B$5=Forecast01!$K$10,Forecast01!K54,IF($B$5=Forecast01!$L$10,Forecast01!L54,IF($B$5=Forecast01!$M$10,Forecast01!M54))))))</f>
        <v>267.49</v>
      </c>
      <c r="C58" s="634">
        <f>IF($B$5=Forecast01!$H$10,Forecast01!H232,IF($B$5=Forecast01!$I$10,Forecast01!I232,IF($B$5=Forecast01!$J$10,Forecast01!J232,IF($B$5=Forecast01!$K$10,Forecast01!K232,IF($B$5=Forecast01!$L$10,Forecast01!L232,IF($B$5=Forecast01!$M$10,Forecast01!M232,0))))))</f>
        <v>77.117366999999987</v>
      </c>
    </row>
    <row r="59" spans="1:3" ht="12.75" x14ac:dyDescent="0.15">
      <c r="A59" s="633" t="s">
        <v>45</v>
      </c>
      <c r="B59" s="634">
        <f>IF($B$5=Forecast01!$H$10,Forecast01!H55,IF($B$5=Forecast01!$I$10,Forecast01!I55,IF($B$5=Forecast01!$J$10,Forecast01!J55,IF($B$5=Forecast01!$K$10,Forecast01!K55,IF($B$5=Forecast01!$L$10,Forecast01!L55,IF($B$5=Forecast01!$M$10,Forecast01!M55))))))</f>
        <v>0</v>
      </c>
      <c r="C59" s="634">
        <f>IF($B$5=Forecast01!$H$10,Forecast01!H233,IF($B$5=Forecast01!$I$10,Forecast01!I233,IF($B$5=Forecast01!$J$10,Forecast01!J233,IF($B$5=Forecast01!$K$10,Forecast01!K233,IF($B$5=Forecast01!$L$10,Forecast01!L233,IF($B$5=Forecast01!$M$10,Forecast01!M233,0))))))</f>
        <v>0</v>
      </c>
    </row>
    <row r="60" spans="1:3" ht="12.75" x14ac:dyDescent="0.15">
      <c r="A60" s="633" t="s">
        <v>202</v>
      </c>
      <c r="B60" s="634">
        <f>IF($B$5=Forecast01!$H$10,Forecast01!H56,IF($B$5=Forecast01!$I$10,Forecast01!I56,IF($B$5=Forecast01!$J$10,Forecast01!J56,IF($B$5=Forecast01!$K$10,Forecast01!K56,IF($B$5=Forecast01!$L$10,Forecast01!L56,IF($B$5=Forecast01!$M$10,Forecast01!M56))))))</f>
        <v>0</v>
      </c>
      <c r="C60" s="634">
        <f>IF($B$5=Forecast01!$H$10,Forecast01!H234,IF($B$5=Forecast01!$I$10,Forecast01!I234,IF($B$5=Forecast01!$J$10,Forecast01!J234,IF($B$5=Forecast01!$K$10,Forecast01!K234,IF($B$5=Forecast01!$L$10,Forecast01!L234,IF($B$5=Forecast01!$M$10,Forecast01!M234,0))))))</f>
        <v>0</v>
      </c>
    </row>
    <row r="61" spans="1:3" ht="12.75" x14ac:dyDescent="0.15">
      <c r="A61" s="633" t="s">
        <v>37</v>
      </c>
      <c r="B61" s="634">
        <f>IF($B$5=Forecast01!$H$10,Forecast01!H57,IF($B$5=Forecast01!$I$10,Forecast01!I57,IF($B$5=Forecast01!$J$10,Forecast01!J57,IF($B$5=Forecast01!$K$10,Forecast01!K57,IF($B$5=Forecast01!$L$10,Forecast01!L57,IF($B$5=Forecast01!$M$10,Forecast01!M57))))))</f>
        <v>10.6</v>
      </c>
      <c r="C61" s="638">
        <f>IF($B$5=Forecast01!$H$10,Forecast01!H235,IF($B$5=Forecast01!$I$10,Forecast01!I235,IF($B$5=Forecast01!$J$10,Forecast01!J235,IF($B$5=Forecast01!$K$10,Forecast01!K235,IF($B$5=Forecast01!$L$10,Forecast01!L235,IF($B$5=Forecast01!$M$10,Forecast01!M235,0))))))</f>
        <v>10.252319999999999</v>
      </c>
    </row>
    <row r="62" spans="1:3" ht="12.75" x14ac:dyDescent="0.15">
      <c r="A62" s="630" t="s">
        <v>26</v>
      </c>
      <c r="B62" s="639">
        <f>SUM(B58:B61)</f>
        <v>278.09000000000003</v>
      </c>
      <c r="C62" s="120">
        <f>SUM(C57:C61)</f>
        <v>481.90181999999999</v>
      </c>
    </row>
    <row r="63" spans="1:3" ht="12.75" x14ac:dyDescent="0.15">
      <c r="A63" s="630"/>
      <c r="B63" s="639"/>
      <c r="C63" s="648"/>
    </row>
    <row r="64" spans="1:3" ht="12.75" x14ac:dyDescent="0.15">
      <c r="A64" s="630" t="s">
        <v>27</v>
      </c>
      <c r="B64" s="632"/>
      <c r="C64" s="632"/>
    </row>
    <row r="65" spans="1:3" ht="12.75" x14ac:dyDescent="0.15">
      <c r="A65" s="633" t="s">
        <v>9</v>
      </c>
      <c r="B65" s="634">
        <f>IF($B$5=Forecast01!$H$10,Forecast01!H61,IF($B$5=Forecast01!$I$10,Forecast01!I61,IF($B$5=Forecast01!$J$10,Forecast01!J61,IF($B$5=Forecast01!$K$10,Forecast01!K61,IF($B$5=Forecast01!$L$10,Forecast01!L61,IF($B$5=Forecast01!$M$10,Forecast01!M61))))))</f>
        <v>40</v>
      </c>
      <c r="C65" s="634">
        <f>IF($B$5=Forecast01!$H$10,Forecast01!H239,IF($B$5=Forecast01!$I$10,Forecast01!I239,IF($B$5=Forecast01!$J$10,Forecast01!J239,IF($B$5=Forecast01!$K$10,Forecast01!K239,IF($B$5=Forecast01!$L$10,Forecast01!L239,IF($B$5=Forecast01!$M$10,Forecast01!M239,0))))))</f>
        <v>252.96</v>
      </c>
    </row>
    <row r="66" spans="1:3" ht="12.75" x14ac:dyDescent="0.15">
      <c r="A66" s="633" t="s">
        <v>36</v>
      </c>
      <c r="B66" s="634">
        <f>IF($B$5=Forecast01!$H$10,Forecast01!H62,IF($B$5=Forecast01!$I$10,Forecast01!I62,IF($B$5=Forecast01!$J$10,Forecast01!J62,IF($B$5=Forecast01!$K$10,Forecast01!K62,IF($B$5=Forecast01!$L$10,Forecast01!L62,IF($B$5=Forecast01!$M$10,Forecast01!M62))))))</f>
        <v>17.2</v>
      </c>
      <c r="C66" s="634">
        <f>IF($B$5=Forecast01!$H$10,Forecast01!H240,IF($B$5=Forecast01!$I$10,Forecast01!I240,IF($B$5=Forecast01!$J$10,Forecast01!J240,IF($B$5=Forecast01!$K$10,Forecast01!K240,IF($B$5=Forecast01!$L$10,Forecast01!L240,IF($B$5=Forecast01!$M$10,Forecast01!M240,0))))))</f>
        <v>7.5501119999999995</v>
      </c>
    </row>
    <row r="67" spans="1:3" ht="12.75" x14ac:dyDescent="0.15">
      <c r="A67" s="633" t="s">
        <v>45</v>
      </c>
      <c r="B67" s="634">
        <f>IF($B$5=Forecast01!$H$10,Forecast01!H63,IF($B$5=Forecast01!$I$10,Forecast01!I63,IF($B$5=Forecast01!$J$10,Forecast01!J63,IF($B$5=Forecast01!$K$10,Forecast01!K63,IF($B$5=Forecast01!$L$10,Forecast01!L63,IF($B$5=Forecast01!$M$10,Forecast01!M63))))))</f>
        <v>0</v>
      </c>
      <c r="C67" s="634">
        <f>IF($B$5=Forecast01!$H$10,Forecast01!H241,IF($B$5=Forecast01!$I$10,Forecast01!I241,IF($B$5=Forecast01!$J$10,Forecast01!J241,IF($B$5=Forecast01!$K$10,Forecast01!K241,IF($B$5=Forecast01!$L$10,Forecast01!L241,IF($B$5=Forecast01!$M$10,Forecast01!M241,0))))))</f>
        <v>0</v>
      </c>
    </row>
    <row r="68" spans="1:3" ht="12.75" x14ac:dyDescent="0.15">
      <c r="A68" s="633" t="s">
        <v>37</v>
      </c>
      <c r="B68" s="634">
        <f>IF($B$5=Forecast01!$H$10,Forecast01!H64,IF($B$5=Forecast01!$I$10,Forecast01!I64,IF($B$5=Forecast01!$J$10,Forecast01!J64,IF($B$5=Forecast01!$K$10,Forecast01!K64,IF($B$5=Forecast01!$L$10,Forecast01!L64,IF($B$5=Forecast01!$M$10,Forecast01!M64))))))</f>
        <v>0</v>
      </c>
      <c r="C68" s="634">
        <f>IF($B$5=Forecast01!$H$10,Forecast01!H242,IF($B$5=Forecast01!$I$10,Forecast01!I242,IF($B$5=Forecast01!$J$10,Forecast01!J242,IF($B$5=Forecast01!$K$10,Forecast01!K242,IF($B$5=Forecast01!$L$10,Forecast01!L242,IF($B$5=Forecast01!$M$10,Forecast01!M242,0))))))</f>
        <v>0</v>
      </c>
    </row>
    <row r="69" spans="1:3" ht="12.75" x14ac:dyDescent="0.15">
      <c r="A69" s="630" t="s">
        <v>28</v>
      </c>
      <c r="B69" s="639">
        <f>SUM(B66:B68)</f>
        <v>17.2</v>
      </c>
      <c r="C69" s="120">
        <f>SUM(C65:C68)</f>
        <v>260.51011199999999</v>
      </c>
    </row>
    <row r="70" spans="1:3" ht="12.75" x14ac:dyDescent="0.15">
      <c r="A70" s="633"/>
      <c r="B70" s="639"/>
      <c r="C70" s="648"/>
    </row>
    <row r="71" spans="1:3" ht="12.75" x14ac:dyDescent="0.15">
      <c r="A71" s="630" t="s">
        <v>29</v>
      </c>
      <c r="B71" s="632"/>
      <c r="C71" s="632"/>
    </row>
    <row r="72" spans="1:3" ht="12.75" x14ac:dyDescent="0.15">
      <c r="A72" s="633" t="s">
        <v>9</v>
      </c>
      <c r="B72" s="634">
        <f>IF($B$5=Forecast01!$H$10,Forecast01!H68,IF($B$5=Forecast01!$I$10,Forecast01!I68,IF($B$5=Forecast01!$J$10,Forecast01!J68,IF($B$5=Forecast01!$K$10,Forecast01!K68,IF($B$5=Forecast01!$L$10,Forecast01!L68,IF($B$5=Forecast01!$M$10,Forecast01!M68))))))</f>
        <v>100</v>
      </c>
      <c r="C72" s="634">
        <f>IF($B$5=Forecast01!$H$10,Forecast01!H246,IF($B$5=Forecast01!$I$10,Forecast01!I246,IF($B$5=Forecast01!$J$10,Forecast01!J246,IF($B$5=Forecast01!$K$10,Forecast01!K246,IF($B$5=Forecast01!$L$10,Forecast01!L246,IF($B$5=Forecast01!$M$10,Forecast01!M246,0))))))</f>
        <v>463.43759999999997</v>
      </c>
    </row>
    <row r="73" spans="1:3" ht="12.75" x14ac:dyDescent="0.15">
      <c r="A73" s="633" t="s">
        <v>36</v>
      </c>
      <c r="B73" s="634">
        <f>IF($B$5=Forecast01!$H$10,Forecast01!H69,IF($B$5=Forecast01!$I$10,Forecast01!I69,IF($B$5=Forecast01!$J$10,Forecast01!J69,IF($B$5=Forecast01!$K$10,Forecast01!K69,IF($B$5=Forecast01!$L$10,Forecast01!L69,IF($B$5=Forecast01!$M$10,Forecast01!M69))))))</f>
        <v>95</v>
      </c>
      <c r="C73" s="634">
        <f>IF($B$5=Forecast01!$H$10,Forecast01!H247,IF($B$5=Forecast01!$I$10,Forecast01!I247,IF($B$5=Forecast01!$J$10,Forecast01!J247,IF($B$5=Forecast01!$K$10,Forecast01!K247,IF($B$5=Forecast01!$L$10,Forecast01!L247,IF($B$5=Forecast01!$M$10,Forecast01!M247,0))))))</f>
        <v>35.811199999999999</v>
      </c>
    </row>
    <row r="74" spans="1:3" ht="12.75" x14ac:dyDescent="0.15">
      <c r="A74" s="633" t="s">
        <v>45</v>
      </c>
      <c r="B74" s="634">
        <f>IF($B$5=Forecast01!$H$10,Forecast01!H70,IF($B$5=Forecast01!$I$10,Forecast01!I70,IF($B$5=Forecast01!$J$10,Forecast01!J70,IF($B$5=Forecast01!$K$10,Forecast01!K70,IF($B$5=Forecast01!$L$10,Forecast01!L70,IF($B$5=Forecast01!$M$10,Forecast01!M70))))))</f>
        <v>0</v>
      </c>
      <c r="C74" s="634">
        <f>IF($B$5=Forecast01!$H$10,Forecast01!H248,IF($B$5=Forecast01!$I$10,Forecast01!I248,IF($B$5=Forecast01!$J$10,Forecast01!J248,IF($B$5=Forecast01!$K$10,Forecast01!K248,IF($B$5=Forecast01!$L$10,Forecast01!L248,IF($B$5=Forecast01!$M$10,Forecast01!M248,0))))))</f>
        <v>0</v>
      </c>
    </row>
    <row r="75" spans="1:3" ht="12.75" x14ac:dyDescent="0.15">
      <c r="A75" s="637" t="s">
        <v>37</v>
      </c>
      <c r="B75" s="634">
        <f>IF($B$5=Forecast01!$H$10,Forecast01!H71,IF($B$5=Forecast01!$I$10,Forecast01!I71,IF($B$5=Forecast01!$J$10,Forecast01!J71,IF($B$5=Forecast01!$K$10,Forecast01!K71,IF($B$5=Forecast01!$L$10,Forecast01!L71,IF($B$5=Forecast01!$M$10,Forecast01!M71))))))</f>
        <v>8</v>
      </c>
      <c r="C75" s="638">
        <f>IF($B$5=Forecast01!$H$10,Forecast01!H249,IF($B$5=Forecast01!$I$10,Forecast01!I249,IF($B$5=Forecast01!$J$10,Forecast01!J249,IF($B$5=Forecast01!$K$10,Forecast01!K249,IF($B$5=Forecast01!$L$10,Forecast01!L249,IF($B$5=Forecast01!$M$10,Forecast01!M249,0))))))</f>
        <v>12.4</v>
      </c>
    </row>
    <row r="76" spans="1:3" ht="12.75" x14ac:dyDescent="0.15">
      <c r="A76" s="630" t="s">
        <v>30</v>
      </c>
      <c r="B76" s="649">
        <f>SUM(B73:B75)</f>
        <v>103</v>
      </c>
      <c r="C76" s="121">
        <f>SUM(C72:C75)</f>
        <v>511.64879999999994</v>
      </c>
    </row>
    <row r="77" spans="1:3" ht="12.75" x14ac:dyDescent="0.15">
      <c r="A77" s="641" t="s">
        <v>71</v>
      </c>
      <c r="B77" s="650">
        <f>B72+B65+B57+B50</f>
        <v>749</v>
      </c>
      <c r="C77" s="120">
        <f>+C50+C57+C65+C72</f>
        <v>1110.9297329999999</v>
      </c>
    </row>
    <row r="78" spans="1:3" ht="12.75" x14ac:dyDescent="0.15">
      <c r="A78" s="641" t="s">
        <v>72</v>
      </c>
      <c r="B78" s="650">
        <f>B54+B62+B69+B76</f>
        <v>398.29</v>
      </c>
      <c r="C78" s="643">
        <f>+C54+C62+C69+C76-C77</f>
        <v>143.13099899999997</v>
      </c>
    </row>
    <row r="79" spans="1:3" ht="12.75" x14ac:dyDescent="0.15">
      <c r="A79" s="644" t="s">
        <v>73</v>
      </c>
      <c r="B79" s="651"/>
      <c r="C79" s="643">
        <f>SUM(C77:C78)</f>
        <v>1254.0607319999999</v>
      </c>
    </row>
    <row r="80" spans="1:3" ht="12.75" x14ac:dyDescent="0.15">
      <c r="A80" s="646"/>
      <c r="B80" s="652"/>
      <c r="C80" s="647"/>
    </row>
    <row r="81" spans="1:3" ht="15.75" x14ac:dyDescent="0.15">
      <c r="A81" s="627" t="s">
        <v>33</v>
      </c>
      <c r="B81" s="652"/>
      <c r="C81" s="647"/>
    </row>
    <row r="82" spans="1:3" ht="12.75" x14ac:dyDescent="0.15">
      <c r="A82" s="630" t="s">
        <v>34</v>
      </c>
      <c r="B82" s="632"/>
      <c r="C82" s="653"/>
    </row>
    <row r="83" spans="1:3" ht="12.75" x14ac:dyDescent="0.15">
      <c r="A83" s="633" t="s">
        <v>9</v>
      </c>
      <c r="B83" s="634">
        <f>IF($B$5=Forecast01!$H$10,Forecast01!H78,IF($B$5=Forecast01!$I$10,Forecast01!I78,IF($B$5=Forecast01!$J$10,Forecast01!J78,IF($B$5=Forecast01!$K$10,Forecast01!K78,IF($B$5=Forecast01!$L$10,Forecast01!L78,IF($B$5=Forecast01!$M$10,Forecast01!M78))))))</f>
        <v>274</v>
      </c>
      <c r="C83" s="634">
        <f>IF($B$5=Forecast01!$H$10,Forecast01!H257,IF($B$5=Forecast01!$I$10,Forecast01!I257,IF($B$5=Forecast01!$J$10,Forecast01!J257,IF($B$5=Forecast01!$K$10,Forecast01!K257,IF($B$5=Forecast01!$L$10,Forecast01!L257,IF($B$5=Forecast01!$M$10,Forecast01!M257,0))))))</f>
        <v>383.93777759999995</v>
      </c>
    </row>
    <row r="84" spans="1:3" ht="12.75" x14ac:dyDescent="0.15">
      <c r="A84" s="633" t="s">
        <v>36</v>
      </c>
      <c r="B84" s="634">
        <f>IF($B$5=Forecast01!$H$10,Forecast01!H79,IF($B$5=Forecast01!$I$10,Forecast01!I79,IF($B$5=Forecast01!$J$10,Forecast01!J79,IF($B$5=Forecast01!$K$10,Forecast01!K79,IF($B$5=Forecast01!$L$10,Forecast01!L79,IF($B$5=Forecast01!$M$10,Forecast01!M79))))))</f>
        <v>229.06399999999999</v>
      </c>
      <c r="C84" s="634">
        <f>IF($B$5=Forecast01!$H$10,Forecast01!H258,IF($B$5=Forecast01!$I$10,Forecast01!I258,IF($B$5=Forecast01!$J$10,Forecast01!J258,IF($B$5=Forecast01!$K$10,Forecast01!K258,IF($B$5=Forecast01!$L$10,Forecast01!L258,IF($B$5=Forecast01!$M$10,Forecast01!M258,0))))))</f>
        <v>12.087222400000002</v>
      </c>
    </row>
    <row r="85" spans="1:3" ht="12.75" x14ac:dyDescent="0.15">
      <c r="A85" s="633" t="s">
        <v>45</v>
      </c>
      <c r="B85" s="634">
        <f>IF($B$5=Forecast01!$H$10,Forecast01!H80,IF($B$5=Forecast01!$I$10,Forecast01!I80,IF($B$5=Forecast01!$J$10,Forecast01!J80,IF($B$5=Forecast01!$K$10,Forecast01!K80,IF($B$5=Forecast01!$L$10,Forecast01!L80,IF($B$5=Forecast01!$M$10,Forecast01!M80))))))</f>
        <v>0</v>
      </c>
      <c r="C85" s="634">
        <f>IF($B$5=Forecast01!$H$10,Forecast01!H259,IF($B$5=Forecast01!$I$10,Forecast01!I259,IF($B$5=Forecast01!$J$10,Forecast01!J259,IF($B$5=Forecast01!$K$10,Forecast01!K259,IF($B$5=Forecast01!$L$10,Forecast01!L259,IF($B$5=Forecast01!$M$10,Forecast01!M259,0))))))</f>
        <v>0</v>
      </c>
    </row>
    <row r="86" spans="1:3" ht="12.75" x14ac:dyDescent="0.15">
      <c r="A86" s="633" t="s">
        <v>37</v>
      </c>
      <c r="B86" s="634">
        <f>IF($B$5=Forecast01!$H$10,Forecast01!H81,IF($B$5=Forecast01!$I$10,Forecast01!I81,IF($B$5=Forecast01!$J$10,Forecast01!J81,IF($B$5=Forecast01!$K$10,Forecast01!K81,IF($B$5=Forecast01!$L$10,Forecast01!L81,IF($B$5=Forecast01!$M$10,Forecast01!M81))))))</f>
        <v>43</v>
      </c>
      <c r="C86" s="638">
        <f>IF($B$5=Forecast01!$H$10,Forecast01!H260,IF($B$5=Forecast01!$I$10,Forecast01!I260,IF($B$5=Forecast01!$J$10,Forecast01!J260,IF($B$5=Forecast01!$K$10,Forecast01!K260,IF($B$5=Forecast01!$L$10,Forecast01!L260,IF($B$5=Forecast01!$M$10,Forecast01!M260,0))))))</f>
        <v>39.99</v>
      </c>
    </row>
    <row r="87" spans="1:3" ht="12.75" x14ac:dyDescent="0.15">
      <c r="A87" s="630" t="s">
        <v>38</v>
      </c>
      <c r="B87" s="639">
        <f>SUM(B84:B86)</f>
        <v>272.06399999999996</v>
      </c>
      <c r="C87" s="127">
        <f>SUM(C83:C86)</f>
        <v>436.01499999999999</v>
      </c>
    </row>
    <row r="88" spans="1:3" ht="12.75" x14ac:dyDescent="0.15">
      <c r="A88" s="633"/>
      <c r="B88" s="639"/>
      <c r="C88" s="647"/>
    </row>
    <row r="89" spans="1:3" ht="12.75" x14ac:dyDescent="0.15">
      <c r="A89" s="630" t="s">
        <v>39</v>
      </c>
      <c r="B89" s="632"/>
      <c r="C89" s="653"/>
    </row>
    <row r="90" spans="1:3" ht="12.75" x14ac:dyDescent="0.15">
      <c r="A90" s="633" t="s">
        <v>9</v>
      </c>
      <c r="B90" s="634">
        <f>IF($B$5=Forecast01!$H$10,Forecast01!H85,IF($B$5=Forecast01!$I$10,Forecast01!I85,IF($B$5=Forecast01!$J$10,Forecast01!J85,IF($B$5=Forecast01!$K$10,Forecast01!K85,IF($B$5=Forecast01!$L$10,Forecast01!L85,IF($B$5=Forecast01!$M$10,Forecast01!M85))))))</f>
        <v>261.7</v>
      </c>
      <c r="C90" s="634">
        <f>IF($B$5=Forecast01!$H$10,Forecast01!H264,IF($B$5=Forecast01!$I$10,Forecast01!I264,IF($B$5=Forecast01!$J$10,Forecast01!J264,IF($B$5=Forecast01!$K$10,Forecast01!K264,IF($B$5=Forecast01!$L$10,Forecast01!L264,IF($B$5=Forecast01!$M$10,Forecast01!M264,0))))))</f>
        <v>287.77642705</v>
      </c>
    </row>
    <row r="91" spans="1:3" ht="12.75" x14ac:dyDescent="0.15">
      <c r="A91" s="633" t="s">
        <v>36</v>
      </c>
      <c r="B91" s="634">
        <f>IF($B$5=Forecast01!$H$10,Forecast01!H86,IF($B$5=Forecast01!$I$10,Forecast01!I86,IF($B$5=Forecast01!$J$10,Forecast01!J86,IF($B$5=Forecast01!$K$10,Forecast01!K86,IF($B$5=Forecast01!$L$10,Forecast01!L86,IF($B$5=Forecast01!$M$10,Forecast01!M86))))))</f>
        <v>194.9665</v>
      </c>
      <c r="C91" s="634">
        <f>IF($B$5=Forecast01!$H$10,Forecast01!H265,IF($B$5=Forecast01!$I$10,Forecast01!I265,IF($B$5=Forecast01!$J$10,Forecast01!J265,IF($B$5=Forecast01!$K$10,Forecast01!K265,IF($B$5=Forecast01!$L$10,Forecast01!L265,IF($B$5=Forecast01!$M$10,Forecast01!M265,0))))))</f>
        <v>19.94507295</v>
      </c>
    </row>
    <row r="92" spans="1:3" ht="12.75" x14ac:dyDescent="0.15">
      <c r="A92" s="633" t="s">
        <v>45</v>
      </c>
      <c r="B92" s="634">
        <f>IF($B$5=Forecast01!$H$10,Forecast01!H87,IF($B$5=Forecast01!$I$10,Forecast01!I87,IF($B$5=Forecast01!$J$10,Forecast01!J87,IF($B$5=Forecast01!$K$10,Forecast01!K87,IF($B$5=Forecast01!$L$10,Forecast01!L87,IF($B$5=Forecast01!$M$10,Forecast01!M87))))))</f>
        <v>0</v>
      </c>
      <c r="C92" s="634">
        <f>IF($B$5=Forecast01!$H$10,Forecast01!H266,IF($B$5=Forecast01!$I$10,Forecast01!I266,IF($B$5=Forecast01!$J$10,Forecast01!J266,IF($B$5=Forecast01!$K$10,Forecast01!K266,IF($B$5=Forecast01!$L$10,Forecast01!L266,IF($B$5=Forecast01!$M$10,Forecast01!M266,0))))))</f>
        <v>0</v>
      </c>
    </row>
    <row r="93" spans="1:3" ht="12.75" x14ac:dyDescent="0.15">
      <c r="A93" s="637" t="s">
        <v>37</v>
      </c>
      <c r="B93" s="634">
        <f>IF($B$5=Forecast01!$H$10,Forecast01!H88,IF($B$5=Forecast01!$I$10,Forecast01!I88,IF($B$5=Forecast01!$J$10,Forecast01!J88,IF($B$5=Forecast01!$K$10,Forecast01!K88,IF($B$5=Forecast01!$L$10,Forecast01!L88,IF($B$5=Forecast01!$M$10,Forecast01!M88))))))</f>
        <v>26</v>
      </c>
      <c r="C93" s="638">
        <f>IF($B$5=Forecast01!$H$10,Forecast01!H267,IF($B$5=Forecast01!$I$10,Forecast01!I267,IF($B$5=Forecast01!$J$10,Forecast01!J267,IF($B$5=Forecast01!$K$10,Forecast01!K267,IF($B$5=Forecast01!$L$10,Forecast01!L267,IF($B$5=Forecast01!$M$10,Forecast01!M267,0))))))</f>
        <v>12.1706</v>
      </c>
    </row>
    <row r="94" spans="1:3" ht="12.75" x14ac:dyDescent="0.15">
      <c r="A94" s="630" t="s">
        <v>74</v>
      </c>
      <c r="B94" s="649">
        <f>SUM(B91:B93)</f>
        <v>220.9665</v>
      </c>
      <c r="C94" s="654">
        <f>SUM(C90:C93)</f>
        <v>319.89209999999997</v>
      </c>
    </row>
    <row r="95" spans="1:3" ht="12.75" x14ac:dyDescent="0.15">
      <c r="A95" s="641" t="s">
        <v>75</v>
      </c>
      <c r="B95" s="650">
        <f>B90+B83</f>
        <v>535.70000000000005</v>
      </c>
      <c r="C95" s="654">
        <f>+C83+C90</f>
        <v>671.71420464999994</v>
      </c>
    </row>
    <row r="96" spans="1:3" ht="12.75" x14ac:dyDescent="0.15">
      <c r="A96" s="641" t="s">
        <v>76</v>
      </c>
      <c r="B96" s="650">
        <f>B94+B87</f>
        <v>493.03049999999996</v>
      </c>
      <c r="C96" s="647">
        <f>+C87+C94-C95</f>
        <v>84.192895349999958</v>
      </c>
    </row>
    <row r="97" spans="1:3" ht="12.75" x14ac:dyDescent="0.15">
      <c r="A97" s="644" t="s">
        <v>77</v>
      </c>
      <c r="B97" s="651"/>
      <c r="C97" s="643">
        <f>SUM(C95:C96)</f>
        <v>755.9070999999999</v>
      </c>
    </row>
    <row r="98" spans="1:3" ht="12.75" x14ac:dyDescent="0.15">
      <c r="A98" s="646"/>
      <c r="B98" s="655"/>
      <c r="C98" s="647"/>
    </row>
    <row r="99" spans="1:3" ht="15.75" x14ac:dyDescent="0.15">
      <c r="A99" s="627" t="s">
        <v>43</v>
      </c>
      <c r="B99" s="655"/>
      <c r="C99" s="647"/>
    </row>
    <row r="100" spans="1:3" ht="12.75" x14ac:dyDescent="0.15">
      <c r="A100" s="630" t="s">
        <v>63</v>
      </c>
      <c r="B100" s="632"/>
      <c r="C100" s="653"/>
    </row>
    <row r="101" spans="1:3" ht="12.75" x14ac:dyDescent="0.15">
      <c r="A101" s="633" t="s">
        <v>9</v>
      </c>
      <c r="B101" s="634">
        <f>IF($B$5=Forecast01!$H$10,Forecast01!H95,IF($B$5=Forecast01!$I$10,Forecast01!I95,IF($B$5=Forecast01!$J$10,Forecast01!J95,IF($B$5=Forecast01!$K$10,Forecast01!K95,IF($B$5=Forecast01!$L$10,Forecast01!L95,IF($B$5=Forecast01!$M$10,Forecast01!M95))))))</f>
        <v>465</v>
      </c>
      <c r="C101" s="634">
        <f>IF($B$5=Forecast01!$H$10,Forecast01!H275,IF($B$5=Forecast01!$I$10,Forecast01!I275,IF($B$5=Forecast01!$J$10,Forecast01!J275,IF($B$5=Forecast01!$K$10,Forecast01!K275,IF($B$5=Forecast01!$L$10,Forecast01!L275,IF($B$5=Forecast01!$M$10,Forecast01!M275,0))))))</f>
        <v>1516.4580000000001</v>
      </c>
    </row>
    <row r="102" spans="1:3" ht="12.75" x14ac:dyDescent="0.15">
      <c r="A102" s="633" t="s">
        <v>36</v>
      </c>
      <c r="B102" s="634">
        <f>IF($B$5=Forecast01!$H$10,Forecast01!H96,IF($B$5=Forecast01!$I$10,Forecast01!I96,IF($B$5=Forecast01!$J$10,Forecast01!J96,IF($B$5=Forecast01!$K$10,Forecast01!K96,IF($B$5=Forecast01!$L$10,Forecast01!L96,IF($B$5=Forecast01!$M$10,Forecast01!M96))))))</f>
        <v>425.47500000000002</v>
      </c>
      <c r="C102" s="634">
        <f>IF($B$5=Forecast01!$H$10,Forecast01!H276,IF($B$5=Forecast01!$I$10,Forecast01!I276,IF($B$5=Forecast01!$J$10,Forecast01!J276,IF($B$5=Forecast01!$K$10,Forecast01!K276,IF($B$5=Forecast01!$L$10,Forecast01!L276,IF($B$5=Forecast01!$M$10,Forecast01!M276,0))))))</f>
        <v>14.508697500000002</v>
      </c>
    </row>
    <row r="103" spans="1:3" ht="12.75" x14ac:dyDescent="0.15">
      <c r="A103" s="656" t="s">
        <v>198</v>
      </c>
      <c r="B103" s="634">
        <f>IF($B$5=Forecast01!$H$10,Forecast01!H97,IF($B$5=Forecast01!$I$10,Forecast01!I97,IF($B$5=Forecast01!$J$10,Forecast01!J97,IF($B$5=Forecast01!$K$10,Forecast01!K97,IF($B$5=Forecast01!$L$10,Forecast01!L97,IF($B$5=Forecast01!$M$10,Forecast01!M97))))))</f>
        <v>0</v>
      </c>
      <c r="C103" s="634">
        <f>IF($B$5=Forecast01!$H$10,Forecast01!H277,IF($B$5=Forecast01!$I$10,Forecast01!I277,IF($B$5=Forecast01!$J$10,Forecast01!J277,IF($B$5=Forecast01!$K$10,Forecast01!K277,IF($B$5=Forecast01!$L$10,Forecast01!L277,IF($B$5=Forecast01!$M$10,Forecast01!M277,0))))))</f>
        <v>0</v>
      </c>
    </row>
    <row r="104" spans="1:3" ht="12.75" x14ac:dyDescent="0.15">
      <c r="A104" s="637" t="s">
        <v>37</v>
      </c>
      <c r="B104" s="634">
        <f>IF($B$5=Forecast01!$H$10,Forecast01!H98,IF($B$5=Forecast01!$I$10,Forecast01!I98,IF($B$5=Forecast01!$J$10,Forecast01!J98,IF($B$5=Forecast01!$K$10,Forecast01!K98,IF($B$5=Forecast01!$L$10,Forecast01!L98,IF($B$5=Forecast01!$M$10,Forecast01!M98))))))</f>
        <v>0</v>
      </c>
      <c r="C104" s="638">
        <f>IF($B$5=Forecast01!$H$10,Forecast01!H278,IF($B$5=Forecast01!$I$10,Forecast01!I278,IF($B$5=Forecast01!$J$10,Forecast01!J278,IF($B$5=Forecast01!$K$10,Forecast01!K278,IF($B$5=Forecast01!$L$10,Forecast01!L278,IF($B$5=Forecast01!$M$10,Forecast01!M278,0))))))</f>
        <v>0</v>
      </c>
    </row>
    <row r="105" spans="1:3" ht="12.75" x14ac:dyDescent="0.15">
      <c r="A105" s="641" t="s">
        <v>78</v>
      </c>
      <c r="B105" s="649">
        <f>B101</f>
        <v>465</v>
      </c>
      <c r="C105" s="654">
        <f>+C101</f>
        <v>1516.4580000000001</v>
      </c>
    </row>
    <row r="106" spans="1:3" ht="12.75" x14ac:dyDescent="0.15">
      <c r="A106" s="641" t="s">
        <v>79</v>
      </c>
      <c r="B106" s="650">
        <f>B102</f>
        <v>425.47500000000002</v>
      </c>
      <c r="C106" s="654">
        <f>SUM(C102:C104)</f>
        <v>14.508697500000002</v>
      </c>
    </row>
    <row r="107" spans="1:3" ht="12.75" x14ac:dyDescent="0.15">
      <c r="A107" s="644" t="s">
        <v>80</v>
      </c>
      <c r="B107" s="650">
        <f>+B101+B72+B38+B65+B31</f>
        <v>848.6</v>
      </c>
      <c r="C107" s="657">
        <f>SUM(C101:C104)</f>
        <v>1530.9666975</v>
      </c>
    </row>
    <row r="108" spans="1:3" ht="12.75" x14ac:dyDescent="0.15">
      <c r="A108" s="646"/>
      <c r="B108" s="658"/>
      <c r="C108" s="647"/>
    </row>
    <row r="109" spans="1:3" ht="12.75" x14ac:dyDescent="0.15">
      <c r="A109" s="632"/>
      <c r="B109" s="652"/>
      <c r="C109" s="653"/>
    </row>
    <row r="110" spans="1:3" ht="15.75" x14ac:dyDescent="0.15">
      <c r="A110" s="659" t="s">
        <v>49</v>
      </c>
      <c r="B110" s="660"/>
      <c r="C110" s="660"/>
    </row>
    <row r="111" spans="1:3" ht="12.75" x14ac:dyDescent="0.15">
      <c r="A111" s="661" t="s">
        <v>9</v>
      </c>
      <c r="B111" s="662">
        <f>B105+B95+B77+B44</f>
        <v>2837.6</v>
      </c>
      <c r="C111" s="662">
        <f>+C44+C77+C95+C105</f>
        <v>12202.431840049998</v>
      </c>
    </row>
    <row r="112" spans="1:3" ht="12.75" x14ac:dyDescent="0.15">
      <c r="A112" s="661" t="s">
        <v>36</v>
      </c>
      <c r="B112" s="662">
        <f>B16+B24+B32+B39+B51+B58+B66+B73+B84+B91+B102</f>
        <v>2194.5853064516127</v>
      </c>
      <c r="C112" s="662">
        <f>C102+C91+C84+C73+C66+C58+C51+C39+C32+C24+C16</f>
        <v>953.08572985000001</v>
      </c>
    </row>
    <row r="113" spans="1:3" ht="12.75" x14ac:dyDescent="0.15">
      <c r="A113" s="661" t="s">
        <v>45</v>
      </c>
      <c r="B113" s="662">
        <f>B103+B92+B85+B74+B67+B59+B52+B40+B25+B17+B33</f>
        <v>0</v>
      </c>
      <c r="C113" s="662">
        <f>C103+C92+C85+C74+C67+C59+C52+C40+C25+C17+C33</f>
        <v>0</v>
      </c>
    </row>
    <row r="114" spans="1:3" ht="12.75" x14ac:dyDescent="0.15">
      <c r="A114" s="661" t="s">
        <v>203</v>
      </c>
      <c r="B114" s="662">
        <f>B60</f>
        <v>0</v>
      </c>
      <c r="C114" s="662">
        <f>C60</f>
        <v>0</v>
      </c>
    </row>
    <row r="115" spans="1:3" ht="12.75" x14ac:dyDescent="0.15">
      <c r="A115" s="661" t="s">
        <v>204</v>
      </c>
      <c r="B115" s="662">
        <f>B41+B26</f>
        <v>0</v>
      </c>
      <c r="C115" s="662">
        <f>C41+C26</f>
        <v>0</v>
      </c>
    </row>
    <row r="116" spans="1:3" ht="12.75" x14ac:dyDescent="0.15">
      <c r="A116" s="663" t="s">
        <v>37</v>
      </c>
      <c r="B116" s="664">
        <f>+B18+B27+B34+B42+B53+B61+B68+B75+B86+B93+B104</f>
        <v>122.6</v>
      </c>
      <c r="C116" s="664">
        <f>+C18+C27+C34+C42+C53+C61+C68+C75+C86+C93+C104</f>
        <v>96.512920000000008</v>
      </c>
    </row>
    <row r="117" spans="1:3" ht="12.75" x14ac:dyDescent="0.15">
      <c r="A117" s="641" t="s">
        <v>51</v>
      </c>
      <c r="B117" s="649">
        <f>B111</f>
        <v>2837.6</v>
      </c>
      <c r="C117" s="650">
        <f>+C111</f>
        <v>12202.431840049998</v>
      </c>
    </row>
    <row r="118" spans="1:3" ht="12.75" x14ac:dyDescent="0.15">
      <c r="A118" s="641" t="s">
        <v>50</v>
      </c>
      <c r="B118" s="650">
        <f>+B112+B113+B114+B115+B116</f>
        <v>2317.1853064516126</v>
      </c>
      <c r="C118" s="650">
        <f>SUM(C112:C116)</f>
        <v>1049.5986498500001</v>
      </c>
    </row>
    <row r="119" spans="1:3" ht="12.75" x14ac:dyDescent="0.15">
      <c r="A119" s="665" t="s">
        <v>81</v>
      </c>
      <c r="B119" s="649">
        <f>B45+B78+B94</f>
        <v>1619.6463064516129</v>
      </c>
      <c r="C119" s="649">
        <f>SUM(C117:C118)</f>
        <v>13252.030489899998</v>
      </c>
    </row>
    <row r="120" spans="1:3" ht="12.75" x14ac:dyDescent="0.15">
      <c r="A120" s="646"/>
      <c r="B120" s="658"/>
      <c r="C120" s="653"/>
    </row>
    <row r="121" spans="1:3" ht="12.75" x14ac:dyDescent="0.15">
      <c r="B121" s="666"/>
    </row>
    <row r="122" spans="1:3" ht="15.75" x14ac:dyDescent="0.15">
      <c r="A122" s="627" t="s">
        <v>82</v>
      </c>
      <c r="B122" s="666"/>
    </row>
    <row r="123" spans="1:3" ht="12.75" x14ac:dyDescent="0.15">
      <c r="A123" s="667" t="s">
        <v>83</v>
      </c>
      <c r="B123" s="666"/>
    </row>
    <row r="124" spans="1:3" ht="12.75" x14ac:dyDescent="0.15">
      <c r="A124" s="668" t="s">
        <v>84</v>
      </c>
      <c r="B124" s="666"/>
      <c r="C124" s="634">
        <f>IF($B$5=Forecast01!$H$10,Forecast01!H298,IF($B$5=Forecast01!$I$10,Forecast01!I298,IF($B$5=Forecast01!$J$10,Forecast01!J298,IF($B$5=Forecast01!$K$10,Forecast01!K298,IF($B$5=Forecast01!$L$10,Forecast01!L298,IF($B$5=Forecast01!$M$10,Forecast01!M298))))))</f>
        <v>99.909900000000007</v>
      </c>
    </row>
    <row r="125" spans="1:3" ht="12.75" x14ac:dyDescent="0.15">
      <c r="A125" s="653" t="s">
        <v>85</v>
      </c>
      <c r="B125" s="666"/>
      <c r="C125" s="634">
        <f>IF($B$5=Forecast01!$H$10,Forecast01!H299,IF($B$5=Forecast01!$I$10,Forecast01!I299,IF($B$5=Forecast01!$J$10,Forecast01!J299,IF($B$5=Forecast01!$K$10,Forecast01!K299,IF($B$5=Forecast01!$L$10,Forecast01!L299,IF($B$5=Forecast01!$M$10,Forecast01!M299))))))</f>
        <v>71.137766088000006</v>
      </c>
    </row>
    <row r="126" spans="1:3" ht="12.75" x14ac:dyDescent="0.15">
      <c r="A126" s="669" t="s">
        <v>86</v>
      </c>
      <c r="B126" s="666"/>
      <c r="C126" s="634">
        <f>IF($B$5=Forecast01!$H$10,Forecast01!H300,IF($B$5=Forecast01!$I$10,Forecast01!I300,IF($B$5=Forecast01!$J$10,Forecast01!J300,IF($B$5=Forecast01!$K$10,Forecast01!K300,IF($B$5=Forecast01!$L$10,Forecast01!L300,IF($B$5=Forecast01!$M$10,Forecast01!M300))))))</f>
        <v>337.1105278</v>
      </c>
    </row>
    <row r="127" spans="1:3" ht="12.75" x14ac:dyDescent="0.15">
      <c r="A127" s="669" t="s">
        <v>87</v>
      </c>
      <c r="B127" s="666"/>
      <c r="C127" s="638">
        <f>IF($B$5=Forecast01!$H$10,Forecast01!H301,IF($B$5=Forecast01!$I$10,Forecast01!I301,IF($B$5=Forecast01!$J$10,Forecast01!J301,IF($B$5=Forecast01!$K$10,Forecast01!K301,IF($B$5=Forecast01!$L$10,Forecast01!L301,IF($B$5=Forecast01!$M$10,Forecast01!M301))))))</f>
        <v>-2818</v>
      </c>
    </row>
    <row r="128" spans="1:3" ht="12.75" x14ac:dyDescent="0.15">
      <c r="A128" s="656" t="s">
        <v>88</v>
      </c>
      <c r="B128" s="666"/>
      <c r="C128" s="670">
        <f>SUM(C124:C127)</f>
        <v>-2309.8418061120001</v>
      </c>
    </row>
    <row r="129" spans="1:7" ht="12.75" x14ac:dyDescent="0.15">
      <c r="A129" s="671"/>
      <c r="B129" s="666"/>
    </row>
    <row r="131" spans="1:7" ht="12.75" x14ac:dyDescent="0.15">
      <c r="A131" s="619" t="s">
        <v>536</v>
      </c>
      <c r="C131" s="672">
        <f>IF($B$5=Forecast01!$H$10,Forecast01!H381,IF($B$5=Forecast01!$I$10,Forecast01!I381,IF($B$5=Forecast01!$J$10,Forecast01!J381,IF($B$5=Forecast01!$K$10,Forecast01!K381,IF($B$5=Forecast01!$L$10,Forecast01!L381,IF($B$5=Forecast01!$M$10,Forecast01!M381))))))</f>
        <v>2.2799999999999998</v>
      </c>
    </row>
    <row r="133" spans="1:7" ht="12.75" x14ac:dyDescent="0.15">
      <c r="A133" s="619" t="s">
        <v>537</v>
      </c>
      <c r="C133" s="673">
        <f>IF($B$5=Forecast01!$H$10,Forecast01!H378,IF($B$5=Forecast01!$I$10,Forecast01!I378,IF($B$5=Forecast01!$J$10,Forecast01!J378,IF($B$5=Forecast01!$K$10,Forecast01!K378,IF($B$5=Forecast01!$L$10,Forecast01!L378,IF($B$5=Forecast01!$M$10,Forecast01!M378))))))</f>
        <v>-904</v>
      </c>
    </row>
    <row r="135" spans="1:7" ht="12.75" x14ac:dyDescent="0.15">
      <c r="A135" s="619" t="s">
        <v>538</v>
      </c>
      <c r="C135" s="674">
        <f>10100/12</f>
        <v>841.66666666666663</v>
      </c>
    </row>
    <row r="138" spans="1:7" ht="12.75" x14ac:dyDescent="0.2">
      <c r="A138" s="619" t="s">
        <v>539</v>
      </c>
      <c r="C138" s="675"/>
      <c r="D138" s="676"/>
      <c r="E138" s="676"/>
      <c r="F138" s="676"/>
      <c r="G138" s="676"/>
    </row>
    <row r="139" spans="1:7" ht="13.5" x14ac:dyDescent="0.2">
      <c r="A139" s="677" t="s">
        <v>540</v>
      </c>
      <c r="C139" s="678">
        <f>IF($B$5="April",20,0)</f>
        <v>0</v>
      </c>
      <c r="D139" s="676"/>
      <c r="E139" s="676"/>
      <c r="F139" s="676"/>
    </row>
    <row r="140" spans="1:7" ht="13.5" x14ac:dyDescent="0.2">
      <c r="A140" s="677" t="s">
        <v>541</v>
      </c>
      <c r="C140" s="678">
        <f>IF($B$5="April",1,0)</f>
        <v>0</v>
      </c>
      <c r="D140" s="676"/>
      <c r="E140" s="676"/>
      <c r="F140" s="676"/>
    </row>
    <row r="141" spans="1:7" ht="13.5" x14ac:dyDescent="0.2">
      <c r="A141" s="677" t="s">
        <v>542</v>
      </c>
      <c r="C141" s="678">
        <f>IF($B$5="April",13.85,0)</f>
        <v>0</v>
      </c>
      <c r="D141" s="676"/>
      <c r="E141" s="676"/>
      <c r="F141" s="676"/>
    </row>
    <row r="142" spans="1:7" ht="11.25" customHeight="1" x14ac:dyDescent="0.15">
      <c r="A142" s="620" t="s">
        <v>543</v>
      </c>
      <c r="C142" s="678">
        <v>0</v>
      </c>
    </row>
    <row r="143" spans="1:7" ht="12.75" x14ac:dyDescent="0.15">
      <c r="A143" s="679" t="s">
        <v>544</v>
      </c>
      <c r="C143" s="678">
        <f>IF($B$5="April",23.2,0)</f>
        <v>0</v>
      </c>
    </row>
  </sheetData>
  <phoneticPr fontId="6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AA122"/>
  <sheetViews>
    <sheetView topLeftCell="O1" zoomScale="75" workbookViewId="0">
      <pane ySplit="5" topLeftCell="A6" activePane="bottomLeft" state="frozen"/>
      <selection activeCell="G1" sqref="G1"/>
      <selection pane="bottomLeft" activeCell="T43" sqref="T43"/>
    </sheetView>
  </sheetViews>
  <sheetFormatPr defaultColWidth="21" defaultRowHeight="12.75" x14ac:dyDescent="0.15"/>
  <cols>
    <col min="1" max="5" width="21" style="239" customWidth="1"/>
    <col min="6" max="6" width="40.3984375" style="239" customWidth="1"/>
    <col min="7" max="24" width="21" style="239" customWidth="1"/>
    <col min="25" max="25" width="9" style="239" customWidth="1"/>
    <col min="26" max="16384" width="21" style="239"/>
  </cols>
  <sheetData>
    <row r="2" spans="1:27" ht="12.75" customHeight="1" x14ac:dyDescent="0.1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7" ht="12.75" customHeight="1" x14ac:dyDescent="0.1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7" ht="12.75" customHeight="1" x14ac:dyDescent="0.1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7" ht="12.75" customHeight="1" x14ac:dyDescent="0.1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  <c r="Z5" s="239" t="s">
        <v>402</v>
      </c>
      <c r="AA5" s="239" t="s">
        <v>176</v>
      </c>
    </row>
    <row r="6" spans="1:27" ht="12.75" customHeight="1" x14ac:dyDescent="0.15">
      <c r="A6" s="239" t="s">
        <v>351</v>
      </c>
    </row>
    <row r="7" spans="1:27" ht="12.75" customHeight="1" x14ac:dyDescent="0.15"/>
    <row r="8" spans="1:27" ht="12.75" customHeight="1" x14ac:dyDescent="0.15"/>
    <row r="9" spans="1:27" ht="12.75" customHeight="1" x14ac:dyDescent="0.1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0" spans="1:27" ht="12.75" customHeight="1" x14ac:dyDescent="0.15">
      <c r="E10" s="243"/>
      <c r="H10" s="243"/>
      <c r="I10" s="242"/>
    </row>
    <row r="11" spans="1:27" ht="12.75" customHeight="1" x14ac:dyDescent="0.1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26751</v>
      </c>
      <c r="F11" s="239" t="s">
        <v>221</v>
      </c>
      <c r="H11" s="253">
        <v>36922</v>
      </c>
      <c r="I11" s="242">
        <v>20000</v>
      </c>
      <c r="J11" s="239">
        <v>0.12</v>
      </c>
      <c r="L11" s="242">
        <f t="shared" ref="L11:V11" si="0">$I11*$J11*L$2</f>
        <v>67200</v>
      </c>
      <c r="M11" s="242">
        <f t="shared" si="0"/>
        <v>74400</v>
      </c>
      <c r="N11" s="242">
        <f t="shared" si="0"/>
        <v>72000</v>
      </c>
      <c r="O11" s="242">
        <f t="shared" si="0"/>
        <v>74400</v>
      </c>
      <c r="P11" s="242">
        <f t="shared" si="0"/>
        <v>72000</v>
      </c>
      <c r="Q11" s="242">
        <f t="shared" si="0"/>
        <v>74400</v>
      </c>
      <c r="R11" s="242">
        <f t="shared" si="0"/>
        <v>74400</v>
      </c>
      <c r="S11" s="242">
        <f t="shared" si="0"/>
        <v>72000</v>
      </c>
      <c r="T11" s="242">
        <f t="shared" si="0"/>
        <v>74400</v>
      </c>
      <c r="U11" s="242">
        <f t="shared" si="0"/>
        <v>72000</v>
      </c>
      <c r="V11" s="242">
        <f t="shared" si="0"/>
        <v>74400</v>
      </c>
      <c r="W11" s="242">
        <f>SUM(K11:V11)</f>
        <v>801600</v>
      </c>
      <c r="Z11" s="242">
        <f>Stretch!W11</f>
        <v>200400</v>
      </c>
      <c r="AA11" s="375">
        <f>W11+Z11</f>
        <v>1002000</v>
      </c>
    </row>
    <row r="12" spans="1:27" ht="12.75" customHeight="1" x14ac:dyDescent="0.1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253">
        <v>37195</v>
      </c>
      <c r="I12" s="242">
        <v>70000</v>
      </c>
      <c r="J12" s="239">
        <v>0.15</v>
      </c>
      <c r="L12" s="242"/>
      <c r="M12" s="242"/>
      <c r="N12" s="242"/>
      <c r="O12" s="242"/>
      <c r="P12" s="242"/>
      <c r="Q12" s="242"/>
      <c r="R12" s="242"/>
      <c r="S12" s="242"/>
      <c r="T12" s="242"/>
      <c r="U12" s="242">
        <f>$I12*$J12*U$2</f>
        <v>315000</v>
      </c>
      <c r="V12" s="242">
        <f>$I12*$J12*V$2</f>
        <v>325500</v>
      </c>
      <c r="W12" s="242">
        <f>SUM(K12:V12)</f>
        <v>640500</v>
      </c>
      <c r="Z12" s="242">
        <f>Stretch!W12</f>
        <v>0</v>
      </c>
      <c r="AA12" s="375">
        <f t="shared" ref="AA12:AA36" si="1">W12+Z12</f>
        <v>640500</v>
      </c>
    </row>
    <row r="13" spans="1:27" ht="12.75" customHeight="1" x14ac:dyDescent="0.1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26683</v>
      </c>
      <c r="F13" s="239" t="s">
        <v>235</v>
      </c>
      <c r="G13" s="240">
        <v>36220</v>
      </c>
      <c r="H13" s="253">
        <v>36981</v>
      </c>
      <c r="I13" s="246">
        <v>8000</v>
      </c>
      <c r="J13" s="239">
        <v>0.12</v>
      </c>
      <c r="L13" s="242"/>
      <c r="M13" s="242"/>
      <c r="N13" s="242">
        <f t="shared" ref="N13:T13" si="2">$I13*$J13*N$2</f>
        <v>28800</v>
      </c>
      <c r="O13" s="242">
        <f t="shared" si="2"/>
        <v>29760</v>
      </c>
      <c r="P13" s="242">
        <f t="shared" si="2"/>
        <v>28800</v>
      </c>
      <c r="Q13" s="242">
        <f t="shared" si="2"/>
        <v>29760</v>
      </c>
      <c r="R13" s="242">
        <f t="shared" si="2"/>
        <v>29760</v>
      </c>
      <c r="S13" s="242">
        <f t="shared" si="2"/>
        <v>28800</v>
      </c>
      <c r="T13" s="242">
        <f t="shared" si="2"/>
        <v>29760</v>
      </c>
      <c r="U13" s="242">
        <f>$I13*$J13*U$2</f>
        <v>28800</v>
      </c>
      <c r="V13" s="242">
        <f>$I13*$J13*V$2</f>
        <v>29760</v>
      </c>
      <c r="W13" s="242">
        <f>SUM(K13:V13)</f>
        <v>264000</v>
      </c>
      <c r="Z13" s="242">
        <f>Stretch!W13</f>
        <v>66000</v>
      </c>
      <c r="AA13" s="375">
        <f t="shared" si="1"/>
        <v>330000</v>
      </c>
    </row>
    <row r="14" spans="1:27" ht="12.75" customHeight="1" x14ac:dyDescent="0.15">
      <c r="E14" s="243"/>
      <c r="H14" s="253"/>
      <c r="I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  <c r="AA14" s="375">
        <f t="shared" si="1"/>
        <v>0</v>
      </c>
    </row>
    <row r="15" spans="1:27" ht="12.75" customHeight="1" x14ac:dyDescent="0.15">
      <c r="E15" s="243"/>
      <c r="H15" s="253"/>
      <c r="I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AA15" s="375">
        <f t="shared" si="1"/>
        <v>0</v>
      </c>
    </row>
    <row r="16" spans="1:27" ht="12.75" customHeight="1" x14ac:dyDescent="0.15">
      <c r="E16" s="243"/>
      <c r="H16" s="253"/>
      <c r="I16" s="242">
        <f>SUM(I11:I15)</f>
        <v>98000</v>
      </c>
      <c r="L16" s="242">
        <f>SUM(L11:L15)</f>
        <v>67200</v>
      </c>
      <c r="M16" s="242">
        <f t="shared" ref="M16:V16" si="3">SUM(M11:M15)</f>
        <v>74400</v>
      </c>
      <c r="N16" s="242">
        <f t="shared" si="3"/>
        <v>100800</v>
      </c>
      <c r="O16" s="242">
        <f t="shared" si="3"/>
        <v>104160</v>
      </c>
      <c r="P16" s="242">
        <f t="shared" si="3"/>
        <v>100800</v>
      </c>
      <c r="Q16" s="242">
        <f t="shared" si="3"/>
        <v>104160</v>
      </c>
      <c r="R16" s="242">
        <f t="shared" si="3"/>
        <v>104160</v>
      </c>
      <c r="S16" s="242">
        <f t="shared" si="3"/>
        <v>100800</v>
      </c>
      <c r="T16" s="242">
        <f t="shared" si="3"/>
        <v>104160</v>
      </c>
      <c r="U16" s="242">
        <f t="shared" si="3"/>
        <v>415800</v>
      </c>
      <c r="V16" s="242">
        <f t="shared" si="3"/>
        <v>429660</v>
      </c>
      <c r="W16" s="242">
        <f>SUM(W11:W15)</f>
        <v>1706100</v>
      </c>
      <c r="X16" s="375">
        <f>W16</f>
        <v>1706100</v>
      </c>
      <c r="Y16" s="375"/>
      <c r="AA16" s="375"/>
    </row>
    <row r="17" spans="1:27" ht="12.75" customHeight="1" x14ac:dyDescent="0.15">
      <c r="E17" s="243"/>
      <c r="H17" s="253"/>
      <c r="I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AA17" s="375">
        <f t="shared" si="1"/>
        <v>0</v>
      </c>
    </row>
    <row r="18" spans="1:27" ht="12.75" customHeight="1" x14ac:dyDescent="0.2">
      <c r="A18" s="239" t="s">
        <v>163</v>
      </c>
      <c r="B18" s="239" t="s">
        <v>282</v>
      </c>
      <c r="C18" s="239" t="s">
        <v>228</v>
      </c>
      <c r="D18" s="239" t="s">
        <v>220</v>
      </c>
      <c r="E18" s="322">
        <v>24194</v>
      </c>
      <c r="F18" s="266" t="s">
        <v>273</v>
      </c>
      <c r="H18" s="269">
        <v>37164</v>
      </c>
      <c r="I18" s="273">
        <v>25000</v>
      </c>
      <c r="J18" s="239">
        <v>0.02</v>
      </c>
      <c r="L18" s="242"/>
      <c r="M18" s="242"/>
      <c r="N18" s="242"/>
      <c r="O18" s="242"/>
      <c r="P18" s="242"/>
      <c r="Q18" s="242"/>
      <c r="R18" s="242"/>
      <c r="S18" s="242"/>
      <c r="T18" s="242">
        <f>10000*$J18*T$2</f>
        <v>6200</v>
      </c>
      <c r="U18" s="242">
        <f>40000*$J18*U$2</f>
        <v>24000</v>
      </c>
      <c r="V18" s="242">
        <f>40000*$J18*V$2</f>
        <v>24800</v>
      </c>
      <c r="W18" s="242">
        <f>SUM(K18:V18)</f>
        <v>55000</v>
      </c>
      <c r="Z18" s="242">
        <f>Stretch!W18</f>
        <v>247500</v>
      </c>
      <c r="AA18" s="375">
        <f t="shared" si="1"/>
        <v>302500</v>
      </c>
    </row>
    <row r="19" spans="1:27" ht="12.75" customHeight="1" x14ac:dyDescent="0.2">
      <c r="E19" s="322"/>
      <c r="F19" s="266"/>
      <c r="H19" s="269"/>
      <c r="I19" s="273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Z19" s="242">
        <f>Stretch!W19</f>
        <v>0</v>
      </c>
      <c r="AA19" s="375">
        <f t="shared" si="1"/>
        <v>0</v>
      </c>
    </row>
    <row r="20" spans="1:27" ht="12.75" customHeight="1" x14ac:dyDescent="0.2">
      <c r="A20" s="239" t="s">
        <v>163</v>
      </c>
      <c r="B20" s="239" t="s">
        <v>282</v>
      </c>
      <c r="C20" s="239" t="s">
        <v>228</v>
      </c>
      <c r="D20" s="239" t="s">
        <v>220</v>
      </c>
      <c r="E20" s="323">
        <v>24690</v>
      </c>
      <c r="F20" s="267" t="s">
        <v>277</v>
      </c>
      <c r="H20" s="268">
        <v>36981</v>
      </c>
      <c r="I20" s="275">
        <v>0</v>
      </c>
      <c r="J20" s="239">
        <v>0.02</v>
      </c>
      <c r="L20" s="242"/>
      <c r="M20" s="242"/>
      <c r="N20" s="242">
        <f t="shared" ref="N20:S20" si="4">$I20*$J20*N$2</f>
        <v>0</v>
      </c>
      <c r="O20" s="242">
        <f t="shared" si="4"/>
        <v>0</v>
      </c>
      <c r="P20" s="242">
        <f t="shared" si="4"/>
        <v>0</v>
      </c>
      <c r="Q20" s="242">
        <f t="shared" si="4"/>
        <v>0</v>
      </c>
      <c r="R20" s="242">
        <f t="shared" si="4"/>
        <v>0</v>
      </c>
      <c r="S20" s="242">
        <f t="shared" si="4"/>
        <v>0</v>
      </c>
      <c r="T20" s="242">
        <f t="shared" ref="T20:V22" si="5">$I20*$J20*T$2</f>
        <v>0</v>
      </c>
      <c r="U20" s="242">
        <f t="shared" si="5"/>
        <v>0</v>
      </c>
      <c r="V20" s="242">
        <f t="shared" si="5"/>
        <v>0</v>
      </c>
      <c r="W20" s="242">
        <f>SUM(K20:V20)</f>
        <v>0</v>
      </c>
      <c r="Z20" s="242">
        <f>Stretch!W20</f>
        <v>0</v>
      </c>
      <c r="AA20" s="375">
        <f t="shared" si="1"/>
        <v>0</v>
      </c>
    </row>
    <row r="21" spans="1:27" ht="12.75" customHeight="1" x14ac:dyDescent="0.2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24754</v>
      </c>
      <c r="F21" s="267" t="s">
        <v>278</v>
      </c>
      <c r="H21" s="271">
        <v>37011</v>
      </c>
      <c r="I21" s="275">
        <v>1000</v>
      </c>
      <c r="J21" s="239">
        <f>0.0907+0.0093</f>
        <v>0.1</v>
      </c>
      <c r="L21" s="242"/>
      <c r="M21" s="242"/>
      <c r="N21" s="242"/>
      <c r="O21" s="242">
        <f t="shared" ref="O21:R22" si="6">$I21*$J21*O$2</f>
        <v>3100</v>
      </c>
      <c r="P21" s="242">
        <f t="shared" si="6"/>
        <v>3000</v>
      </c>
      <c r="Q21" s="242">
        <f t="shared" si="6"/>
        <v>3100</v>
      </c>
      <c r="R21" s="242">
        <f t="shared" si="6"/>
        <v>3100</v>
      </c>
      <c r="S21" s="242">
        <f>$I21*$J21*S$2</f>
        <v>3000</v>
      </c>
      <c r="T21" s="242">
        <f t="shared" si="5"/>
        <v>3100</v>
      </c>
      <c r="U21" s="242">
        <f t="shared" si="5"/>
        <v>3000</v>
      </c>
      <c r="V21" s="242">
        <f t="shared" si="5"/>
        <v>3100</v>
      </c>
      <c r="W21" s="242">
        <f>SUM(K21:V21)</f>
        <v>24500</v>
      </c>
      <c r="Z21" s="242">
        <f>Stretch!W21</f>
        <v>0</v>
      </c>
      <c r="AA21" s="375">
        <f t="shared" si="1"/>
        <v>24500</v>
      </c>
    </row>
    <row r="22" spans="1:27" ht="12.75" customHeight="1" x14ac:dyDescent="0.2">
      <c r="A22" s="239" t="s">
        <v>163</v>
      </c>
      <c r="B22" s="239" t="s">
        <v>282</v>
      </c>
      <c r="C22" s="239" t="s">
        <v>228</v>
      </c>
      <c r="D22" s="239" t="s">
        <v>220</v>
      </c>
      <c r="E22" s="323" t="s">
        <v>280</v>
      </c>
      <c r="F22" s="267" t="s">
        <v>236</v>
      </c>
      <c r="H22" s="268">
        <v>36950</v>
      </c>
      <c r="I22" s="275">
        <v>10000</v>
      </c>
      <c r="J22" s="239">
        <v>0.02</v>
      </c>
      <c r="L22" s="242"/>
      <c r="M22" s="242">
        <f>$I22*$J22*M$2</f>
        <v>6200</v>
      </c>
      <c r="N22" s="242">
        <f>$I22*$J22*N$2</f>
        <v>6000</v>
      </c>
      <c r="O22" s="242">
        <f t="shared" si="6"/>
        <v>6200</v>
      </c>
      <c r="P22" s="242">
        <f t="shared" si="6"/>
        <v>6000</v>
      </c>
      <c r="Q22" s="242">
        <f t="shared" si="6"/>
        <v>6200</v>
      </c>
      <c r="R22" s="242">
        <f t="shared" si="6"/>
        <v>6200</v>
      </c>
      <c r="S22" s="242">
        <f>$I22*$J22*S$2</f>
        <v>6000</v>
      </c>
      <c r="T22" s="242">
        <f t="shared" si="5"/>
        <v>6200</v>
      </c>
      <c r="U22" s="242">
        <f t="shared" si="5"/>
        <v>6000</v>
      </c>
      <c r="V22" s="242">
        <f t="shared" si="5"/>
        <v>6200</v>
      </c>
      <c r="W22" s="242">
        <f>SUM(K22:V22)</f>
        <v>61200</v>
      </c>
      <c r="Z22" s="242">
        <f>Stretch!W22</f>
        <v>15300</v>
      </c>
      <c r="AA22" s="375">
        <f t="shared" si="1"/>
        <v>76500</v>
      </c>
    </row>
    <row r="23" spans="1:27" ht="12.75" customHeight="1" x14ac:dyDescent="0.2">
      <c r="A23" s="239" t="s">
        <v>163</v>
      </c>
      <c r="B23" s="239" t="s">
        <v>282</v>
      </c>
      <c r="C23" s="239" t="s">
        <v>228</v>
      </c>
      <c r="D23" s="239" t="s">
        <v>220</v>
      </c>
      <c r="E23" s="323">
        <v>27161</v>
      </c>
      <c r="F23" s="267" t="s">
        <v>276</v>
      </c>
      <c r="H23" s="268">
        <v>37195</v>
      </c>
      <c r="I23" s="274">
        <v>400000</v>
      </c>
      <c r="J23" s="239">
        <v>0</v>
      </c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>
        <f>SUM(K23:V23)</f>
        <v>0</v>
      </c>
      <c r="Z23" s="242">
        <f>Stretch!W23</f>
        <v>183000</v>
      </c>
      <c r="AA23" s="375">
        <f t="shared" si="1"/>
        <v>183000</v>
      </c>
    </row>
    <row r="24" spans="1:27" ht="12.75" customHeight="1" x14ac:dyDescent="0.2">
      <c r="A24" s="239" t="s">
        <v>163</v>
      </c>
      <c r="B24" s="239" t="s">
        <v>282</v>
      </c>
      <c r="C24" s="239" t="s">
        <v>228</v>
      </c>
      <c r="D24" s="239" t="s">
        <v>220</v>
      </c>
      <c r="E24" s="323" t="s">
        <v>281</v>
      </c>
      <c r="F24" s="267" t="s">
        <v>230</v>
      </c>
      <c r="H24" s="268">
        <v>37195</v>
      </c>
      <c r="I24" s="376">
        <v>40000</v>
      </c>
      <c r="J24" s="239">
        <v>7.0000000000000007E-2</v>
      </c>
      <c r="L24" s="245"/>
      <c r="M24" s="245"/>
      <c r="N24" s="245"/>
      <c r="O24" s="245"/>
      <c r="P24" s="245"/>
      <c r="Q24" s="245"/>
      <c r="R24" s="245"/>
      <c r="S24" s="245"/>
      <c r="T24" s="245"/>
      <c r="U24" s="245">
        <f>$I24*$J24*U$2</f>
        <v>84000.000000000015</v>
      </c>
      <c r="V24" s="245">
        <f>$I24*$J24*V$2</f>
        <v>86800.000000000015</v>
      </c>
      <c r="W24" s="242">
        <f>SUM(K24:V24)</f>
        <v>170800.00000000003</v>
      </c>
      <c r="Z24" s="242">
        <f>Stretch!W25</f>
        <v>0</v>
      </c>
      <c r="AA24" s="375">
        <f t="shared" si="1"/>
        <v>170800.00000000003</v>
      </c>
    </row>
    <row r="25" spans="1:27" ht="12.75" customHeight="1" x14ac:dyDescent="0.2">
      <c r="E25" s="323"/>
      <c r="F25" s="267"/>
      <c r="H25" s="268"/>
      <c r="I25" s="274">
        <f>SUM(I18:I24)</f>
        <v>476000</v>
      </c>
      <c r="L25" s="242">
        <f>SUM(L18:L24)</f>
        <v>0</v>
      </c>
      <c r="M25" s="242">
        <f t="shared" ref="M25:V25" si="7">SUM(M18:M24)</f>
        <v>6200</v>
      </c>
      <c r="N25" s="242">
        <f t="shared" si="7"/>
        <v>6000</v>
      </c>
      <c r="O25" s="242">
        <f t="shared" si="7"/>
        <v>9300</v>
      </c>
      <c r="P25" s="242">
        <f t="shared" si="7"/>
        <v>9000</v>
      </c>
      <c r="Q25" s="242">
        <f t="shared" si="7"/>
        <v>9300</v>
      </c>
      <c r="R25" s="242">
        <f t="shared" si="7"/>
        <v>9300</v>
      </c>
      <c r="S25" s="242">
        <f t="shared" si="7"/>
        <v>9000</v>
      </c>
      <c r="T25" s="242">
        <f t="shared" si="7"/>
        <v>15500</v>
      </c>
      <c r="U25" s="242">
        <f t="shared" si="7"/>
        <v>117000.00000000001</v>
      </c>
      <c r="V25" s="242">
        <f t="shared" si="7"/>
        <v>120900.00000000001</v>
      </c>
      <c r="W25" s="242">
        <f>SUM(W18:W24)</f>
        <v>311500</v>
      </c>
      <c r="X25" s="375">
        <f>W25</f>
        <v>311500</v>
      </c>
      <c r="Y25" s="375"/>
      <c r="AA25" s="375"/>
    </row>
    <row r="26" spans="1:27" ht="12.75" customHeight="1" x14ac:dyDescent="0.2">
      <c r="E26" s="323"/>
      <c r="F26" s="267"/>
      <c r="H26" s="268"/>
      <c r="I26" s="274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AA26" s="375">
        <f t="shared" si="1"/>
        <v>0</v>
      </c>
    </row>
    <row r="27" spans="1:27" ht="12.75" customHeight="1" x14ac:dyDescent="0.15">
      <c r="A27" s="239" t="s">
        <v>261</v>
      </c>
      <c r="B27" s="239" t="s">
        <v>268</v>
      </c>
      <c r="C27" s="239" t="s">
        <v>228</v>
      </c>
      <c r="D27" s="239" t="s">
        <v>220</v>
      </c>
      <c r="E27" s="244">
        <v>25067</v>
      </c>
      <c r="F27" s="261" t="s">
        <v>262</v>
      </c>
      <c r="H27" s="253">
        <v>37225</v>
      </c>
      <c r="I27" s="242">
        <v>15000</v>
      </c>
      <c r="J27" s="239">
        <v>0.01</v>
      </c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>
        <f t="shared" ref="V27:V36" si="8">$I27*$J27*V$2</f>
        <v>4650</v>
      </c>
      <c r="W27" s="242">
        <f>SUM(K27:V27)</f>
        <v>4650</v>
      </c>
      <c r="Z27" s="242">
        <f>Stretch!W28</f>
        <v>13950</v>
      </c>
      <c r="AA27" s="375">
        <f t="shared" si="1"/>
        <v>18600</v>
      </c>
    </row>
    <row r="28" spans="1:27" ht="12.75" customHeight="1" x14ac:dyDescent="0.15">
      <c r="E28" s="255"/>
      <c r="F28" s="262"/>
      <c r="H28" s="253"/>
      <c r="I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Z28" s="242">
        <f>Stretch!W29</f>
        <v>0</v>
      </c>
      <c r="AA28" s="375">
        <f t="shared" si="1"/>
        <v>0</v>
      </c>
    </row>
    <row r="29" spans="1:27" ht="12.75" customHeight="1" x14ac:dyDescent="0.15">
      <c r="A29" s="239" t="s">
        <v>261</v>
      </c>
      <c r="B29" s="239" t="s">
        <v>269</v>
      </c>
      <c r="C29" s="239" t="s">
        <v>228</v>
      </c>
      <c r="D29" s="239" t="s">
        <v>220</v>
      </c>
      <c r="E29" s="255">
        <v>24926</v>
      </c>
      <c r="F29" s="262" t="s">
        <v>271</v>
      </c>
      <c r="H29" s="253">
        <v>36922</v>
      </c>
      <c r="I29" s="242">
        <v>21200</v>
      </c>
      <c r="J29" s="239">
        <v>0.01</v>
      </c>
      <c r="L29" s="242">
        <f t="shared" ref="K29:V36" si="9">$I29*$J29*L$2</f>
        <v>5936</v>
      </c>
      <c r="M29" s="242">
        <f t="shared" si="9"/>
        <v>6572</v>
      </c>
      <c r="N29" s="242">
        <f t="shared" si="9"/>
        <v>6360</v>
      </c>
      <c r="O29" s="242">
        <f t="shared" si="9"/>
        <v>6572</v>
      </c>
      <c r="P29" s="242">
        <f t="shared" si="9"/>
        <v>6360</v>
      </c>
      <c r="Q29" s="242">
        <f t="shared" si="9"/>
        <v>6572</v>
      </c>
      <c r="R29" s="242">
        <f t="shared" si="9"/>
        <v>6572</v>
      </c>
      <c r="S29" s="242">
        <f t="shared" si="9"/>
        <v>6360</v>
      </c>
      <c r="T29" s="242">
        <f t="shared" si="9"/>
        <v>6572</v>
      </c>
      <c r="U29" s="242">
        <f t="shared" si="9"/>
        <v>6360</v>
      </c>
      <c r="V29" s="242">
        <f t="shared" si="8"/>
        <v>6572</v>
      </c>
      <c r="W29" s="242">
        <f t="shared" ref="W29:W36" si="10">SUM(K29:V29)</f>
        <v>70808</v>
      </c>
      <c r="Z29" s="242">
        <f>Stretch!W30</f>
        <v>70808</v>
      </c>
      <c r="AA29" s="375">
        <f t="shared" si="1"/>
        <v>141616</v>
      </c>
    </row>
    <row r="30" spans="1:27" ht="12.75" customHeight="1" x14ac:dyDescent="0.15">
      <c r="E30" s="255"/>
      <c r="F30" s="262"/>
      <c r="H30" s="253"/>
      <c r="I30" s="242">
        <v>4000</v>
      </c>
      <c r="J30" s="239">
        <v>0</v>
      </c>
      <c r="L30" s="242">
        <f t="shared" si="9"/>
        <v>0</v>
      </c>
      <c r="M30" s="242">
        <f t="shared" si="9"/>
        <v>0</v>
      </c>
      <c r="N30" s="242">
        <f t="shared" si="9"/>
        <v>0</v>
      </c>
      <c r="O30" s="242">
        <f t="shared" si="9"/>
        <v>0</v>
      </c>
      <c r="P30" s="242">
        <f t="shared" si="9"/>
        <v>0</v>
      </c>
      <c r="Q30" s="242">
        <f t="shared" si="9"/>
        <v>0</v>
      </c>
      <c r="R30" s="242">
        <f t="shared" si="9"/>
        <v>0</v>
      </c>
      <c r="S30" s="242">
        <f t="shared" si="9"/>
        <v>0</v>
      </c>
      <c r="T30" s="242">
        <f t="shared" si="9"/>
        <v>0</v>
      </c>
      <c r="U30" s="242">
        <f t="shared" si="9"/>
        <v>0</v>
      </c>
      <c r="V30" s="242">
        <f t="shared" si="9"/>
        <v>0</v>
      </c>
      <c r="W30" s="242"/>
      <c r="Z30" s="242">
        <f>Stretch!W31</f>
        <v>53440</v>
      </c>
      <c r="AA30" s="375">
        <f t="shared" si="1"/>
        <v>53440</v>
      </c>
    </row>
    <row r="31" spans="1:27" ht="12.75" customHeight="1" x14ac:dyDescent="0.2">
      <c r="A31" s="471" t="s">
        <v>261</v>
      </c>
      <c r="B31" s="471" t="s">
        <v>268</v>
      </c>
      <c r="C31" s="471" t="s">
        <v>228</v>
      </c>
      <c r="D31" s="471" t="s">
        <v>220</v>
      </c>
      <c r="E31" s="478"/>
      <c r="F31" s="479" t="s">
        <v>239</v>
      </c>
      <c r="G31" s="480">
        <v>35704</v>
      </c>
      <c r="H31" s="480">
        <v>36891</v>
      </c>
      <c r="I31" s="481">
        <v>30000</v>
      </c>
      <c r="J31" s="471">
        <v>0.06</v>
      </c>
      <c r="K31" s="473">
        <f t="shared" si="9"/>
        <v>55800</v>
      </c>
      <c r="L31" s="473">
        <f t="shared" si="9"/>
        <v>50400</v>
      </c>
      <c r="M31" s="473">
        <f t="shared" si="9"/>
        <v>55800</v>
      </c>
      <c r="N31" s="473">
        <f t="shared" si="9"/>
        <v>54000</v>
      </c>
      <c r="O31" s="473">
        <f t="shared" si="9"/>
        <v>55800</v>
      </c>
      <c r="P31" s="473">
        <f t="shared" si="9"/>
        <v>54000</v>
      </c>
      <c r="Q31" s="473">
        <f t="shared" si="9"/>
        <v>55800</v>
      </c>
      <c r="R31" s="473">
        <f t="shared" si="9"/>
        <v>55800</v>
      </c>
      <c r="S31" s="473">
        <f t="shared" si="9"/>
        <v>54000</v>
      </c>
      <c r="T31" s="473">
        <f t="shared" si="9"/>
        <v>55800</v>
      </c>
      <c r="U31" s="473">
        <f t="shared" si="9"/>
        <v>54000</v>
      </c>
      <c r="V31" s="473">
        <f t="shared" si="8"/>
        <v>55800</v>
      </c>
      <c r="W31" s="242">
        <f t="shared" si="10"/>
        <v>657000</v>
      </c>
      <c r="Z31" s="242">
        <f>Stretch!W32</f>
        <v>0</v>
      </c>
      <c r="AA31" s="375">
        <f t="shared" si="1"/>
        <v>657000</v>
      </c>
    </row>
    <row r="32" spans="1:27" ht="12.75" customHeight="1" x14ac:dyDescent="0.2">
      <c r="A32" s="239" t="s">
        <v>261</v>
      </c>
      <c r="B32" s="239" t="s">
        <v>268</v>
      </c>
      <c r="C32" s="239" t="s">
        <v>228</v>
      </c>
      <c r="D32" s="239" t="s">
        <v>220</v>
      </c>
      <c r="E32" s="323">
        <v>26661</v>
      </c>
      <c r="F32" s="267" t="s">
        <v>316</v>
      </c>
      <c r="G32" s="268">
        <v>36526</v>
      </c>
      <c r="H32" s="268">
        <v>36891</v>
      </c>
      <c r="I32" s="274">
        <v>18000</v>
      </c>
      <c r="J32" s="239">
        <v>0.01</v>
      </c>
      <c r="K32" s="242">
        <f t="shared" si="9"/>
        <v>5580</v>
      </c>
      <c r="L32" s="242">
        <f t="shared" si="9"/>
        <v>5040</v>
      </c>
      <c r="M32" s="242">
        <f t="shared" si="9"/>
        <v>5580</v>
      </c>
      <c r="N32" s="242">
        <f t="shared" si="9"/>
        <v>5400</v>
      </c>
      <c r="O32" s="242">
        <f t="shared" si="9"/>
        <v>5580</v>
      </c>
      <c r="P32" s="242">
        <f t="shared" si="9"/>
        <v>5400</v>
      </c>
      <c r="Q32" s="242">
        <f t="shared" si="9"/>
        <v>5580</v>
      </c>
      <c r="R32" s="242">
        <f t="shared" si="9"/>
        <v>5580</v>
      </c>
      <c r="S32" s="242">
        <f t="shared" si="9"/>
        <v>5400</v>
      </c>
      <c r="T32" s="242">
        <f t="shared" si="9"/>
        <v>5580</v>
      </c>
      <c r="U32" s="242">
        <f t="shared" si="9"/>
        <v>5400</v>
      </c>
      <c r="V32" s="242">
        <f t="shared" si="8"/>
        <v>5580</v>
      </c>
      <c r="W32" s="242">
        <f t="shared" si="10"/>
        <v>65700</v>
      </c>
      <c r="Z32" s="242">
        <f>Stretch!W33</f>
        <v>197100</v>
      </c>
      <c r="AA32" s="375">
        <f t="shared" si="1"/>
        <v>262800</v>
      </c>
    </row>
    <row r="33" spans="1:27" ht="12.75" customHeight="1" x14ac:dyDescent="0.2">
      <c r="A33" s="471" t="s">
        <v>261</v>
      </c>
      <c r="B33" s="471" t="s">
        <v>269</v>
      </c>
      <c r="C33" s="471" t="s">
        <v>228</v>
      </c>
      <c r="D33" s="471" t="s">
        <v>220</v>
      </c>
      <c r="E33" s="478" t="s">
        <v>317</v>
      </c>
      <c r="F33" s="479" t="s">
        <v>318</v>
      </c>
      <c r="G33" s="480">
        <v>36526</v>
      </c>
      <c r="H33" s="480">
        <v>36891</v>
      </c>
      <c r="I33" s="481">
        <v>13500</v>
      </c>
      <c r="J33" s="471">
        <v>4.4999999999999998E-2</v>
      </c>
      <c r="K33" s="473">
        <f t="shared" si="9"/>
        <v>18832.5</v>
      </c>
      <c r="L33" s="473">
        <f t="shared" si="9"/>
        <v>17010</v>
      </c>
      <c r="M33" s="473">
        <f t="shared" si="9"/>
        <v>18832.5</v>
      </c>
      <c r="N33" s="473">
        <f t="shared" si="9"/>
        <v>18225</v>
      </c>
      <c r="O33" s="473">
        <f t="shared" si="9"/>
        <v>18832.5</v>
      </c>
      <c r="P33" s="473">
        <f t="shared" si="9"/>
        <v>18225</v>
      </c>
      <c r="Q33" s="473">
        <f t="shared" si="9"/>
        <v>18832.5</v>
      </c>
      <c r="R33" s="473">
        <f t="shared" si="9"/>
        <v>18832.5</v>
      </c>
      <c r="S33" s="473">
        <f t="shared" si="9"/>
        <v>18225</v>
      </c>
      <c r="T33" s="473">
        <f t="shared" si="9"/>
        <v>18832.5</v>
      </c>
      <c r="U33" s="473">
        <f t="shared" si="9"/>
        <v>18225</v>
      </c>
      <c r="V33" s="473">
        <f t="shared" si="8"/>
        <v>18832.5</v>
      </c>
      <c r="W33" s="242">
        <f t="shared" si="10"/>
        <v>221737.5</v>
      </c>
      <c r="Z33" s="242">
        <f>Stretch!W34</f>
        <v>0</v>
      </c>
      <c r="AA33" s="375">
        <f t="shared" si="1"/>
        <v>221737.5</v>
      </c>
    </row>
    <row r="34" spans="1:27" ht="12.75" customHeight="1" x14ac:dyDescent="0.2">
      <c r="A34" s="471" t="s">
        <v>261</v>
      </c>
      <c r="B34" s="471" t="s">
        <v>269</v>
      </c>
      <c r="C34" s="471" t="s">
        <v>228</v>
      </c>
      <c r="D34" s="471" t="s">
        <v>220</v>
      </c>
      <c r="E34" s="478">
        <v>27047</v>
      </c>
      <c r="F34" s="479" t="s">
        <v>319</v>
      </c>
      <c r="G34" s="480">
        <v>36557</v>
      </c>
      <c r="H34" s="480">
        <v>36891</v>
      </c>
      <c r="I34" s="481">
        <v>125000</v>
      </c>
      <c r="J34" s="471">
        <v>2.1000000000000001E-2</v>
      </c>
      <c r="K34" s="473">
        <f t="shared" si="9"/>
        <v>81375</v>
      </c>
      <c r="L34" s="473">
        <f t="shared" si="9"/>
        <v>73500</v>
      </c>
      <c r="M34" s="473">
        <f t="shared" si="9"/>
        <v>81375</v>
      </c>
      <c r="N34" s="473">
        <f t="shared" si="9"/>
        <v>78750</v>
      </c>
      <c r="O34" s="473">
        <f t="shared" si="9"/>
        <v>81375</v>
      </c>
      <c r="P34" s="473">
        <f t="shared" si="9"/>
        <v>78750</v>
      </c>
      <c r="Q34" s="473">
        <f t="shared" si="9"/>
        <v>81375</v>
      </c>
      <c r="R34" s="473">
        <f t="shared" si="9"/>
        <v>81375</v>
      </c>
      <c r="S34" s="473">
        <f t="shared" si="9"/>
        <v>78750</v>
      </c>
      <c r="T34" s="473">
        <f t="shared" si="9"/>
        <v>81375</v>
      </c>
      <c r="U34" s="473">
        <f t="shared" si="9"/>
        <v>78750</v>
      </c>
      <c r="V34" s="473">
        <f t="shared" si="8"/>
        <v>81375</v>
      </c>
      <c r="W34" s="242">
        <f t="shared" si="10"/>
        <v>958125</v>
      </c>
      <c r="Z34" s="242">
        <f>Stretch!W35</f>
        <v>0</v>
      </c>
      <c r="AA34" s="375">
        <f t="shared" si="1"/>
        <v>958125</v>
      </c>
    </row>
    <row r="35" spans="1:27" ht="12.75" customHeight="1" x14ac:dyDescent="0.2">
      <c r="A35" s="239" t="s">
        <v>261</v>
      </c>
      <c r="B35" s="239" t="s">
        <v>269</v>
      </c>
      <c r="C35" s="239" t="s">
        <v>228</v>
      </c>
      <c r="D35" s="239" t="s">
        <v>220</v>
      </c>
      <c r="E35" s="323"/>
      <c r="F35" s="267" t="s">
        <v>384</v>
      </c>
      <c r="G35" s="268"/>
      <c r="H35" s="268"/>
      <c r="I35" s="274">
        <v>0</v>
      </c>
      <c r="J35" s="239">
        <v>0.01</v>
      </c>
      <c r="K35" s="242">
        <f t="shared" si="9"/>
        <v>0</v>
      </c>
      <c r="L35" s="242">
        <f t="shared" si="9"/>
        <v>0</v>
      </c>
      <c r="M35" s="242">
        <f t="shared" si="9"/>
        <v>0</v>
      </c>
      <c r="N35" s="242">
        <f t="shared" si="9"/>
        <v>0</v>
      </c>
      <c r="O35" s="242">
        <f t="shared" si="9"/>
        <v>0</v>
      </c>
      <c r="P35" s="242">
        <f t="shared" si="9"/>
        <v>0</v>
      </c>
      <c r="Q35" s="242">
        <f t="shared" si="9"/>
        <v>0</v>
      </c>
      <c r="R35" s="242">
        <f t="shared" si="9"/>
        <v>0</v>
      </c>
      <c r="S35" s="242">
        <f t="shared" si="9"/>
        <v>0</v>
      </c>
      <c r="T35" s="242">
        <f t="shared" si="9"/>
        <v>0</v>
      </c>
      <c r="U35" s="242">
        <f t="shared" si="9"/>
        <v>0</v>
      </c>
      <c r="V35" s="242">
        <f t="shared" si="9"/>
        <v>0</v>
      </c>
      <c r="W35" s="242">
        <f t="shared" si="10"/>
        <v>0</v>
      </c>
      <c r="Z35" s="242">
        <f>Stretch!W36</f>
        <v>0</v>
      </c>
      <c r="AA35" s="375">
        <f t="shared" si="1"/>
        <v>0</v>
      </c>
    </row>
    <row r="36" spans="1:27" ht="12.75" customHeight="1" x14ac:dyDescent="0.2">
      <c r="A36" s="239" t="s">
        <v>261</v>
      </c>
      <c r="B36" s="239" t="s">
        <v>269</v>
      </c>
      <c r="C36" s="239" t="s">
        <v>228</v>
      </c>
      <c r="D36" s="239" t="s">
        <v>220</v>
      </c>
      <c r="E36" s="323"/>
      <c r="F36" s="267"/>
      <c r="G36" s="268"/>
      <c r="H36" s="268"/>
      <c r="I36" s="376"/>
      <c r="K36" s="245">
        <f t="shared" si="9"/>
        <v>0</v>
      </c>
      <c r="L36" s="245">
        <f t="shared" si="9"/>
        <v>0</v>
      </c>
      <c r="M36" s="245">
        <f t="shared" si="9"/>
        <v>0</v>
      </c>
      <c r="N36" s="245">
        <f t="shared" si="9"/>
        <v>0</v>
      </c>
      <c r="O36" s="245">
        <f t="shared" si="9"/>
        <v>0</v>
      </c>
      <c r="P36" s="245">
        <f t="shared" si="9"/>
        <v>0</v>
      </c>
      <c r="Q36" s="245">
        <f t="shared" si="9"/>
        <v>0</v>
      </c>
      <c r="R36" s="245">
        <f t="shared" si="9"/>
        <v>0</v>
      </c>
      <c r="S36" s="245">
        <f t="shared" si="9"/>
        <v>0</v>
      </c>
      <c r="T36" s="245">
        <f t="shared" si="9"/>
        <v>0</v>
      </c>
      <c r="U36" s="245">
        <f t="shared" si="9"/>
        <v>0</v>
      </c>
      <c r="V36" s="245">
        <f t="shared" si="8"/>
        <v>0</v>
      </c>
      <c r="W36" s="245">
        <f t="shared" si="10"/>
        <v>0</v>
      </c>
      <c r="Z36" s="245">
        <f>Stretch!W37</f>
        <v>0</v>
      </c>
      <c r="AA36" s="501">
        <f t="shared" si="1"/>
        <v>0</v>
      </c>
    </row>
    <row r="37" spans="1:27" ht="12.75" customHeight="1" x14ac:dyDescent="0.15">
      <c r="I37" s="375">
        <f>SUM(I27:I36)</f>
        <v>226700</v>
      </c>
      <c r="K37" s="375">
        <f>SUM(K27:K36)</f>
        <v>161587.5</v>
      </c>
      <c r="L37" s="375">
        <f>SUM(L27:L36)</f>
        <v>151886</v>
      </c>
      <c r="M37" s="375">
        <f t="shared" ref="M37:V37" si="11">SUM(M27:M36)</f>
        <v>168159.5</v>
      </c>
      <c r="N37" s="375">
        <f t="shared" si="11"/>
        <v>162735</v>
      </c>
      <c r="O37" s="375">
        <f t="shared" si="11"/>
        <v>168159.5</v>
      </c>
      <c r="P37" s="375">
        <f t="shared" si="11"/>
        <v>162735</v>
      </c>
      <c r="Q37" s="375">
        <f t="shared" si="11"/>
        <v>168159.5</v>
      </c>
      <c r="R37" s="375">
        <f t="shared" si="11"/>
        <v>168159.5</v>
      </c>
      <c r="S37" s="375">
        <f t="shared" si="11"/>
        <v>162735</v>
      </c>
      <c r="T37" s="375">
        <f t="shared" si="11"/>
        <v>168159.5</v>
      </c>
      <c r="U37" s="375">
        <f t="shared" si="11"/>
        <v>162735</v>
      </c>
      <c r="V37" s="375">
        <f t="shared" si="11"/>
        <v>172809.5</v>
      </c>
      <c r="W37" s="375">
        <f>SUM(W27:W36)</f>
        <v>1978020.5</v>
      </c>
      <c r="X37" s="375">
        <f>W37</f>
        <v>1978020.5</v>
      </c>
    </row>
    <row r="38" spans="1:27" ht="12.75" customHeight="1" x14ac:dyDescent="0.15">
      <c r="W38" s="242"/>
      <c r="X38" s="242">
        <f>SUM(X11:X37)</f>
        <v>3995620.5</v>
      </c>
      <c r="Y38" s="375"/>
      <c r="Z38" s="375">
        <f>SUM(Z11:Z36)</f>
        <v>1047498</v>
      </c>
      <c r="AA38" s="375">
        <f>SUM(AA11:AA36)</f>
        <v>5043118.5</v>
      </c>
    </row>
    <row r="39" spans="1:27" ht="12.75" customHeight="1" x14ac:dyDescent="0.15"/>
    <row r="40" spans="1:27" ht="12.75" customHeight="1" x14ac:dyDescent="0.15">
      <c r="E40" s="244"/>
      <c r="H40" s="253"/>
      <c r="I40" s="242"/>
    </row>
    <row r="41" spans="1:27" ht="12.75" customHeight="1" x14ac:dyDescent="0.15">
      <c r="E41" s="244"/>
      <c r="G41" s="240"/>
      <c r="H41" s="253"/>
      <c r="I41" s="242"/>
    </row>
    <row r="42" spans="1:27" ht="12.75" customHeight="1" x14ac:dyDescent="0.15">
      <c r="A42" s="239" t="s">
        <v>348</v>
      </c>
      <c r="E42" s="243"/>
      <c r="G42" s="240"/>
      <c r="H42" s="253"/>
      <c r="I42" s="242"/>
    </row>
    <row r="43" spans="1:27" ht="12.75" customHeight="1" x14ac:dyDescent="0.15">
      <c r="E43" s="243"/>
      <c r="H43" s="253"/>
      <c r="I43" s="242"/>
    </row>
    <row r="44" spans="1:27" ht="12.75" customHeight="1" x14ac:dyDescent="0.15">
      <c r="E44" s="243"/>
      <c r="H44" s="253"/>
      <c r="I44" s="242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</row>
    <row r="45" spans="1:27" ht="12.75" customHeight="1" x14ac:dyDescent="0.2">
      <c r="A45" s="239" t="s">
        <v>215</v>
      </c>
      <c r="B45" s="239" t="s">
        <v>216</v>
      </c>
      <c r="C45" s="239" t="s">
        <v>227</v>
      </c>
      <c r="D45" s="239" t="s">
        <v>217</v>
      </c>
      <c r="E45" s="243" t="s">
        <v>206</v>
      </c>
      <c r="F45" s="239" t="s">
        <v>207</v>
      </c>
      <c r="G45" s="239" t="s">
        <v>208</v>
      </c>
      <c r="H45" s="243" t="s">
        <v>209</v>
      </c>
      <c r="I45" s="242" t="s">
        <v>222</v>
      </c>
      <c r="J45" s="239" t="s">
        <v>314</v>
      </c>
      <c r="K45" s="378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7" ht="12.75" customHeight="1" x14ac:dyDescent="0.15">
      <c r="E46" s="243"/>
      <c r="H46" s="243"/>
      <c r="I46" s="242"/>
      <c r="K46" s="377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7" ht="12.75" customHeight="1" x14ac:dyDescent="0.15">
      <c r="A47" s="239" t="s">
        <v>218</v>
      </c>
      <c r="B47" s="239" t="s">
        <v>219</v>
      </c>
      <c r="C47" s="239" t="s">
        <v>228</v>
      </c>
      <c r="D47" s="239" t="s">
        <v>220</v>
      </c>
      <c r="E47" s="244">
        <v>26751</v>
      </c>
      <c r="F47" s="239" t="s">
        <v>221</v>
      </c>
      <c r="H47" s="253">
        <v>36922</v>
      </c>
      <c r="I47" s="242">
        <v>20000</v>
      </c>
      <c r="J47" s="239">
        <v>0.91</v>
      </c>
      <c r="K47" s="377"/>
      <c r="L47" s="383">
        <f>$I47*$J47*L$2</f>
        <v>509600</v>
      </c>
      <c r="M47" s="383">
        <f t="shared" ref="M47:V49" si="12">$I47*$J47*M$2</f>
        <v>564200</v>
      </c>
      <c r="N47" s="383">
        <f t="shared" si="12"/>
        <v>546000</v>
      </c>
      <c r="O47" s="383">
        <f t="shared" si="12"/>
        <v>564200</v>
      </c>
      <c r="P47" s="383">
        <f t="shared" si="12"/>
        <v>546000</v>
      </c>
      <c r="Q47" s="383">
        <f t="shared" si="12"/>
        <v>564200</v>
      </c>
      <c r="R47" s="383">
        <f t="shared" si="12"/>
        <v>564200</v>
      </c>
      <c r="S47" s="383">
        <f t="shared" si="12"/>
        <v>546000</v>
      </c>
      <c r="T47" s="383">
        <f t="shared" si="12"/>
        <v>564200</v>
      </c>
      <c r="U47" s="383">
        <f t="shared" si="12"/>
        <v>546000</v>
      </c>
      <c r="V47" s="383">
        <f t="shared" si="12"/>
        <v>564200</v>
      </c>
      <c r="W47" s="383"/>
      <c r="X47" s="383"/>
    </row>
    <row r="48" spans="1:27" ht="12.75" customHeight="1" x14ac:dyDescent="0.15">
      <c r="A48" s="239" t="s">
        <v>218</v>
      </c>
      <c r="B48" s="239" t="s">
        <v>219</v>
      </c>
      <c r="C48" s="239" t="s">
        <v>228</v>
      </c>
      <c r="D48" s="239" t="s">
        <v>220</v>
      </c>
      <c r="E48" s="244">
        <v>26490</v>
      </c>
      <c r="F48" s="239" t="s">
        <v>230</v>
      </c>
      <c r="G48" s="240">
        <v>36100</v>
      </c>
      <c r="H48" s="253">
        <v>37195</v>
      </c>
      <c r="I48" s="242">
        <v>70000</v>
      </c>
      <c r="J48" s="239">
        <v>0.91</v>
      </c>
      <c r="K48" s="377"/>
      <c r="L48" s="383"/>
      <c r="M48" s="383"/>
      <c r="N48" s="383"/>
      <c r="O48" s="383"/>
      <c r="P48" s="383"/>
      <c r="Q48" s="383"/>
      <c r="R48" s="383"/>
      <c r="S48" s="383"/>
      <c r="T48" s="383"/>
      <c r="U48" s="383">
        <f t="shared" si="12"/>
        <v>1911000</v>
      </c>
      <c r="V48" s="383">
        <f t="shared" si="12"/>
        <v>1974700</v>
      </c>
      <c r="W48" s="383"/>
      <c r="X48" s="383"/>
    </row>
    <row r="49" spans="1:24" ht="12.75" customHeight="1" x14ac:dyDescent="0.15">
      <c r="A49" s="239" t="s">
        <v>218</v>
      </c>
      <c r="B49" s="239" t="s">
        <v>219</v>
      </c>
      <c r="C49" s="239" t="s">
        <v>228</v>
      </c>
      <c r="D49" s="239" t="s">
        <v>220</v>
      </c>
      <c r="E49" s="243">
        <v>26683</v>
      </c>
      <c r="F49" s="239" t="s">
        <v>235</v>
      </c>
      <c r="G49" s="240">
        <v>36220</v>
      </c>
      <c r="H49" s="253">
        <v>36981</v>
      </c>
      <c r="I49" s="246">
        <v>8000</v>
      </c>
      <c r="J49" s="239">
        <v>0.91</v>
      </c>
      <c r="K49" s="386"/>
      <c r="L49" s="386"/>
      <c r="M49" s="386"/>
      <c r="N49" s="386"/>
      <c r="O49" s="386">
        <f t="shared" si="12"/>
        <v>225680</v>
      </c>
      <c r="P49" s="386">
        <f t="shared" si="12"/>
        <v>218400</v>
      </c>
      <c r="Q49" s="386">
        <f t="shared" si="12"/>
        <v>225680</v>
      </c>
      <c r="R49" s="386">
        <f t="shared" si="12"/>
        <v>225680</v>
      </c>
      <c r="S49" s="386">
        <f t="shared" si="12"/>
        <v>218400</v>
      </c>
      <c r="T49" s="386">
        <f t="shared" si="12"/>
        <v>225680</v>
      </c>
      <c r="U49" s="386">
        <f t="shared" si="12"/>
        <v>218400</v>
      </c>
      <c r="V49" s="386">
        <f t="shared" si="12"/>
        <v>225680</v>
      </c>
      <c r="W49" s="383"/>
      <c r="X49" s="383"/>
    </row>
    <row r="50" spans="1:24" ht="12.75" customHeight="1" x14ac:dyDescent="0.15">
      <c r="E50" s="243"/>
      <c r="G50" s="240"/>
      <c r="H50" s="253"/>
      <c r="I50" s="246"/>
      <c r="K50" s="383">
        <f>SUM(K47:K49)</f>
        <v>0</v>
      </c>
      <c r="L50" s="383">
        <f>SUM(L47:L49)</f>
        <v>509600</v>
      </c>
      <c r="M50" s="383">
        <f t="shared" ref="M50:V50" si="13">SUM(M47:M49)</f>
        <v>564200</v>
      </c>
      <c r="N50" s="383">
        <f t="shared" si="13"/>
        <v>546000</v>
      </c>
      <c r="O50" s="383">
        <f t="shared" si="13"/>
        <v>789880</v>
      </c>
      <c r="P50" s="383">
        <f t="shared" si="13"/>
        <v>764400</v>
      </c>
      <c r="Q50" s="383">
        <f t="shared" si="13"/>
        <v>789880</v>
      </c>
      <c r="R50" s="383">
        <f t="shared" si="13"/>
        <v>789880</v>
      </c>
      <c r="S50" s="383">
        <f t="shared" si="13"/>
        <v>764400</v>
      </c>
      <c r="T50" s="383">
        <f t="shared" si="13"/>
        <v>789880</v>
      </c>
      <c r="U50" s="383">
        <f t="shared" si="13"/>
        <v>2675400</v>
      </c>
      <c r="V50" s="383">
        <f t="shared" si="13"/>
        <v>2764580</v>
      </c>
      <c r="W50" s="383"/>
      <c r="X50" s="383"/>
    </row>
    <row r="51" spans="1:24" ht="12.75" customHeight="1" x14ac:dyDescent="0.15">
      <c r="E51" s="243"/>
      <c r="G51" s="240"/>
      <c r="H51" s="253"/>
      <c r="I51" s="246"/>
      <c r="K51" s="377"/>
      <c r="L51" s="383"/>
      <c r="M51" s="383"/>
      <c r="N51" s="383"/>
      <c r="O51" s="383"/>
      <c r="P51" s="383"/>
      <c r="Q51" s="383"/>
      <c r="R51" s="383"/>
      <c r="S51" s="383"/>
      <c r="T51" s="383"/>
      <c r="U51" s="383"/>
      <c r="V51" s="383"/>
      <c r="W51" s="383"/>
      <c r="X51" s="383"/>
    </row>
    <row r="52" spans="1:24" ht="12.75" customHeight="1" x14ac:dyDescent="0.15">
      <c r="E52" s="243"/>
      <c r="H52" s="253"/>
      <c r="I52" s="242"/>
      <c r="K52" s="377"/>
      <c r="L52" s="383"/>
      <c r="M52" s="383"/>
      <c r="N52" s="383"/>
      <c r="O52" s="383"/>
      <c r="P52" s="383"/>
      <c r="Q52" s="383"/>
      <c r="R52" s="383"/>
      <c r="S52" s="383"/>
      <c r="T52" s="383"/>
      <c r="U52" s="383"/>
      <c r="V52" s="383"/>
      <c r="W52" s="383"/>
      <c r="X52" s="383"/>
    </row>
    <row r="53" spans="1:24" ht="12.75" customHeight="1" x14ac:dyDescent="0.15">
      <c r="E53" s="243"/>
      <c r="H53" s="253"/>
      <c r="I53" s="246"/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3"/>
      <c r="X53" s="383"/>
    </row>
    <row r="54" spans="1:24" ht="12.75" customHeight="1" x14ac:dyDescent="0.15">
      <c r="E54" s="243"/>
      <c r="H54" s="253"/>
      <c r="I54" s="242"/>
      <c r="K54" s="383">
        <f t="shared" ref="K54:V54" si="14">SUM(K51:K53)</f>
        <v>0</v>
      </c>
      <c r="L54" s="383">
        <f t="shared" si="14"/>
        <v>0</v>
      </c>
      <c r="M54" s="383">
        <f t="shared" si="14"/>
        <v>0</v>
      </c>
      <c r="N54" s="383">
        <f t="shared" si="14"/>
        <v>0</v>
      </c>
      <c r="O54" s="383">
        <f t="shared" si="14"/>
        <v>0</v>
      </c>
      <c r="P54" s="383">
        <f t="shared" si="14"/>
        <v>0</v>
      </c>
      <c r="Q54" s="383">
        <f t="shared" si="14"/>
        <v>0</v>
      </c>
      <c r="R54" s="383">
        <f t="shared" si="14"/>
        <v>0</v>
      </c>
      <c r="S54" s="383">
        <f t="shared" si="14"/>
        <v>0</v>
      </c>
      <c r="T54" s="383">
        <f t="shared" si="14"/>
        <v>0</v>
      </c>
      <c r="U54" s="383">
        <f t="shared" si="14"/>
        <v>0</v>
      </c>
      <c r="V54" s="383">
        <f t="shared" si="14"/>
        <v>0</v>
      </c>
      <c r="W54" s="383"/>
      <c r="X54" s="383"/>
    </row>
    <row r="55" spans="1:24" ht="12.75" customHeight="1" x14ac:dyDescent="0.15">
      <c r="E55" s="243"/>
      <c r="H55" s="253"/>
      <c r="I55" s="242"/>
      <c r="K55" s="377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</row>
    <row r="56" spans="1:24" ht="12.75" customHeight="1" x14ac:dyDescent="0.2">
      <c r="A56" s="239" t="s">
        <v>163</v>
      </c>
      <c r="B56" s="239" t="s">
        <v>282</v>
      </c>
      <c r="C56" s="239" t="s">
        <v>228</v>
      </c>
      <c r="D56" s="239" t="s">
        <v>220</v>
      </c>
      <c r="E56" s="322">
        <v>24194</v>
      </c>
      <c r="F56" s="266" t="s">
        <v>273</v>
      </c>
      <c r="H56" s="269">
        <v>37164</v>
      </c>
      <c r="I56" s="273">
        <v>25000</v>
      </c>
      <c r="J56" s="239">
        <v>0.78</v>
      </c>
      <c r="K56" s="377"/>
      <c r="L56" s="383"/>
      <c r="M56" s="383"/>
      <c r="N56" s="383"/>
      <c r="O56" s="383"/>
      <c r="P56" s="383"/>
      <c r="Q56" s="383"/>
      <c r="R56" s="383"/>
      <c r="S56" s="383"/>
      <c r="T56" s="383">
        <f>$I56*$J56*T$2</f>
        <v>604500</v>
      </c>
      <c r="U56" s="383">
        <f>$I56*$J56*U$2</f>
        <v>585000</v>
      </c>
      <c r="V56" s="383">
        <f>$I56*$J56*U$2</f>
        <v>585000</v>
      </c>
      <c r="W56" s="383"/>
      <c r="X56" s="383"/>
    </row>
    <row r="57" spans="1:24" ht="12.75" customHeight="1" x14ac:dyDescent="0.2">
      <c r="E57" s="322"/>
      <c r="F57" s="266"/>
      <c r="H57" s="269"/>
      <c r="I57" s="273"/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</row>
    <row r="58" spans="1:24" ht="12.75" customHeight="1" x14ac:dyDescent="0.2">
      <c r="A58" s="239" t="s">
        <v>163</v>
      </c>
      <c r="B58" s="239" t="s">
        <v>282</v>
      </c>
      <c r="C58" s="239" t="s">
        <v>228</v>
      </c>
      <c r="D58" s="239" t="s">
        <v>220</v>
      </c>
      <c r="E58" s="323">
        <v>24690</v>
      </c>
      <c r="F58" s="267" t="s">
        <v>277</v>
      </c>
      <c r="H58" s="268">
        <v>36981</v>
      </c>
      <c r="I58" s="275">
        <v>15000</v>
      </c>
      <c r="J58" s="239">
        <v>0.78</v>
      </c>
      <c r="K58" s="377"/>
      <c r="L58" s="383"/>
      <c r="M58" s="383"/>
      <c r="N58" s="383">
        <f t="shared" ref="N58:V59" si="15">$I58*$J58*N$2</f>
        <v>351000</v>
      </c>
      <c r="O58" s="383">
        <f t="shared" si="15"/>
        <v>362700</v>
      </c>
      <c r="P58" s="383">
        <f t="shared" si="15"/>
        <v>351000</v>
      </c>
      <c r="Q58" s="383">
        <f t="shared" si="15"/>
        <v>362700</v>
      </c>
      <c r="R58" s="383">
        <f t="shared" si="15"/>
        <v>362700</v>
      </c>
      <c r="S58" s="383">
        <f t="shared" si="15"/>
        <v>351000</v>
      </c>
      <c r="T58" s="383">
        <f t="shared" si="15"/>
        <v>362700</v>
      </c>
      <c r="U58" s="383">
        <f t="shared" si="15"/>
        <v>351000</v>
      </c>
      <c r="V58" s="383">
        <f t="shared" si="15"/>
        <v>362700</v>
      </c>
      <c r="W58" s="383"/>
      <c r="X58" s="383"/>
    </row>
    <row r="59" spans="1:24" ht="12.75" customHeight="1" x14ac:dyDescent="0.2">
      <c r="A59" s="239" t="s">
        <v>163</v>
      </c>
      <c r="B59" s="239" t="s">
        <v>282</v>
      </c>
      <c r="C59" s="239" t="s">
        <v>228</v>
      </c>
      <c r="D59" s="239" t="s">
        <v>220</v>
      </c>
      <c r="E59" s="323">
        <v>24754</v>
      </c>
      <c r="F59" s="267" t="s">
        <v>278</v>
      </c>
      <c r="H59" s="271">
        <v>37011</v>
      </c>
      <c r="I59" s="275">
        <v>1000</v>
      </c>
      <c r="J59" s="239">
        <v>0.78</v>
      </c>
      <c r="K59" s="377"/>
      <c r="L59" s="384"/>
      <c r="M59" s="384"/>
      <c r="N59" s="384"/>
      <c r="O59" s="383">
        <f t="shared" si="15"/>
        <v>24180</v>
      </c>
      <c r="P59" s="383">
        <f t="shared" si="15"/>
        <v>23400</v>
      </c>
      <c r="Q59" s="383">
        <f t="shared" si="15"/>
        <v>24180</v>
      </c>
      <c r="R59" s="383">
        <f t="shared" si="15"/>
        <v>24180</v>
      </c>
      <c r="S59" s="383">
        <f t="shared" si="15"/>
        <v>23400</v>
      </c>
      <c r="T59" s="383">
        <f t="shared" si="15"/>
        <v>24180</v>
      </c>
      <c r="U59" s="383">
        <f t="shared" si="15"/>
        <v>23400</v>
      </c>
      <c r="V59" s="383">
        <f t="shared" si="15"/>
        <v>24180</v>
      </c>
      <c r="W59" s="384"/>
      <c r="X59" s="383"/>
    </row>
    <row r="60" spans="1:24" ht="12.75" customHeight="1" x14ac:dyDescent="0.2">
      <c r="A60" s="239" t="s">
        <v>163</v>
      </c>
      <c r="B60" s="239" t="s">
        <v>282</v>
      </c>
      <c r="C60" s="239" t="s">
        <v>228</v>
      </c>
      <c r="D60" s="239" t="s">
        <v>220</v>
      </c>
      <c r="E60" s="323" t="s">
        <v>280</v>
      </c>
      <c r="F60" s="267" t="s">
        <v>236</v>
      </c>
      <c r="H60" s="268">
        <v>36950</v>
      </c>
      <c r="I60" s="275">
        <v>10000</v>
      </c>
      <c r="J60" s="239">
        <v>0.78</v>
      </c>
      <c r="K60" s="377"/>
      <c r="L60" s="383"/>
      <c r="M60" s="383">
        <f t="shared" ref="M60:V60" si="16">$I60*$J60*M$2</f>
        <v>241800</v>
      </c>
      <c r="N60" s="383">
        <f t="shared" si="16"/>
        <v>234000</v>
      </c>
      <c r="O60" s="383">
        <f t="shared" si="16"/>
        <v>241800</v>
      </c>
      <c r="P60" s="383">
        <f t="shared" si="16"/>
        <v>234000</v>
      </c>
      <c r="Q60" s="383">
        <f t="shared" si="16"/>
        <v>241800</v>
      </c>
      <c r="R60" s="383">
        <f t="shared" si="16"/>
        <v>241800</v>
      </c>
      <c r="S60" s="383">
        <f t="shared" si="16"/>
        <v>234000</v>
      </c>
      <c r="T60" s="383">
        <f t="shared" si="16"/>
        <v>241800</v>
      </c>
      <c r="U60" s="383">
        <f t="shared" si="16"/>
        <v>234000</v>
      </c>
      <c r="V60" s="383">
        <f t="shared" si="16"/>
        <v>241800</v>
      </c>
      <c r="W60" s="384"/>
      <c r="X60" s="383"/>
    </row>
    <row r="61" spans="1:24" ht="12.75" customHeight="1" x14ac:dyDescent="0.2">
      <c r="A61" s="239" t="s">
        <v>163</v>
      </c>
      <c r="B61" s="239" t="s">
        <v>282</v>
      </c>
      <c r="C61" s="239" t="s">
        <v>228</v>
      </c>
      <c r="D61" s="239" t="s">
        <v>220</v>
      </c>
      <c r="E61" s="323">
        <v>27161</v>
      </c>
      <c r="F61" s="267" t="s">
        <v>276</v>
      </c>
      <c r="H61" s="268">
        <v>37195</v>
      </c>
      <c r="I61" s="274">
        <v>400000</v>
      </c>
      <c r="J61" s="239">
        <v>0.25</v>
      </c>
      <c r="K61" s="377"/>
      <c r="L61" s="384"/>
      <c r="M61" s="384"/>
      <c r="N61" s="384"/>
      <c r="O61" s="384"/>
      <c r="P61" s="384"/>
      <c r="Q61" s="384"/>
      <c r="R61" s="384"/>
      <c r="S61" s="384"/>
      <c r="T61" s="384"/>
      <c r="U61" s="383">
        <f>$I61*$J61*U$2</f>
        <v>3000000</v>
      </c>
      <c r="V61" s="383">
        <f>$I61*$J61*V$2</f>
        <v>3100000</v>
      </c>
      <c r="W61" s="384"/>
      <c r="X61" s="383"/>
    </row>
    <row r="62" spans="1:24" ht="12.75" customHeight="1" x14ac:dyDescent="0.2">
      <c r="A62" s="239" t="s">
        <v>163</v>
      </c>
      <c r="B62" s="239" t="s">
        <v>282</v>
      </c>
      <c r="C62" s="239" t="s">
        <v>228</v>
      </c>
      <c r="D62" s="239" t="s">
        <v>220</v>
      </c>
      <c r="E62" s="323" t="s">
        <v>281</v>
      </c>
      <c r="F62" s="267" t="s">
        <v>230</v>
      </c>
      <c r="H62" s="268">
        <v>37195</v>
      </c>
      <c r="I62" s="376">
        <v>40000</v>
      </c>
      <c r="J62" s="239">
        <v>0.78</v>
      </c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>
        <f>$I62*$J62*U$2</f>
        <v>936000</v>
      </c>
      <c r="V62" s="386">
        <f>$I62*$J62*V$2</f>
        <v>967200</v>
      </c>
      <c r="W62" s="384"/>
      <c r="X62" s="383"/>
    </row>
    <row r="63" spans="1:24" ht="12.75" customHeight="1" x14ac:dyDescent="0.2">
      <c r="E63" s="323"/>
      <c r="F63" s="267"/>
      <c r="H63" s="268"/>
      <c r="I63" s="274">
        <f>SUM(I56:I62)</f>
        <v>491000</v>
      </c>
      <c r="K63" s="383">
        <f>SUM(K60:K62)</f>
        <v>0</v>
      </c>
      <c r="L63" s="383">
        <f t="shared" ref="L63:V63" si="17">SUM(L60:L62)</f>
        <v>0</v>
      </c>
      <c r="M63" s="383">
        <f t="shared" si="17"/>
        <v>241800</v>
      </c>
      <c r="N63" s="383">
        <f t="shared" si="17"/>
        <v>234000</v>
      </c>
      <c r="O63" s="383">
        <f t="shared" si="17"/>
        <v>241800</v>
      </c>
      <c r="P63" s="383">
        <f t="shared" si="17"/>
        <v>234000</v>
      </c>
      <c r="Q63" s="383">
        <f t="shared" si="17"/>
        <v>241800</v>
      </c>
      <c r="R63" s="383">
        <f t="shared" si="17"/>
        <v>241800</v>
      </c>
      <c r="S63" s="383">
        <f t="shared" si="17"/>
        <v>234000</v>
      </c>
      <c r="T63" s="383">
        <f t="shared" si="17"/>
        <v>241800</v>
      </c>
      <c r="U63" s="383">
        <f t="shared" si="17"/>
        <v>4170000</v>
      </c>
      <c r="V63" s="383">
        <f t="shared" si="17"/>
        <v>4309000</v>
      </c>
      <c r="W63" s="384"/>
      <c r="X63" s="383"/>
    </row>
    <row r="64" spans="1:24" ht="12.75" customHeight="1" x14ac:dyDescent="0.2">
      <c r="E64" s="323"/>
      <c r="F64" s="267"/>
      <c r="H64" s="268"/>
      <c r="I64" s="274"/>
      <c r="K64" s="377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3"/>
    </row>
    <row r="65" spans="1:24" ht="12.75" customHeight="1" x14ac:dyDescent="0.15">
      <c r="A65" s="239" t="s">
        <v>261</v>
      </c>
      <c r="B65" s="239" t="s">
        <v>268</v>
      </c>
      <c r="C65" s="239" t="s">
        <v>228</v>
      </c>
      <c r="D65" s="239" t="s">
        <v>220</v>
      </c>
      <c r="E65" s="244">
        <v>25067</v>
      </c>
      <c r="F65" s="261" t="s">
        <v>262</v>
      </c>
      <c r="H65" s="253">
        <v>37225</v>
      </c>
      <c r="I65" s="242">
        <v>15000</v>
      </c>
      <c r="J65" s="239">
        <v>0.73</v>
      </c>
      <c r="K65" s="377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3">
        <f>$I65*$J65*V$2</f>
        <v>339450</v>
      </c>
      <c r="W65" s="384"/>
      <c r="X65" s="383"/>
    </row>
    <row r="66" spans="1:24" ht="12.75" customHeight="1" x14ac:dyDescent="0.15">
      <c r="E66" s="255"/>
      <c r="F66" s="262"/>
      <c r="H66" s="253"/>
      <c r="I66" s="242"/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4"/>
      <c r="X66" s="383"/>
    </row>
    <row r="67" spans="1:24" ht="12.75" customHeight="1" x14ac:dyDescent="0.15">
      <c r="A67" s="239" t="s">
        <v>261</v>
      </c>
      <c r="B67" s="239" t="s">
        <v>269</v>
      </c>
      <c r="C67" s="239" t="s">
        <v>228</v>
      </c>
      <c r="D67" s="239" t="s">
        <v>220</v>
      </c>
      <c r="E67" s="255">
        <v>24926</v>
      </c>
      <c r="F67" s="262" t="s">
        <v>271</v>
      </c>
      <c r="H67" s="253">
        <v>36922</v>
      </c>
      <c r="I67" s="242">
        <v>30000</v>
      </c>
      <c r="J67" s="239">
        <v>0.73</v>
      </c>
      <c r="K67" s="377"/>
      <c r="L67" s="383">
        <f t="shared" ref="K67:V72" si="18">$I67*$J67*L$2</f>
        <v>613200</v>
      </c>
      <c r="M67" s="383">
        <f t="shared" si="18"/>
        <v>678900</v>
      </c>
      <c r="N67" s="383">
        <f t="shared" si="18"/>
        <v>657000</v>
      </c>
      <c r="O67" s="383">
        <f t="shared" si="18"/>
        <v>678900</v>
      </c>
      <c r="P67" s="383">
        <f t="shared" si="18"/>
        <v>657000</v>
      </c>
      <c r="Q67" s="383">
        <f t="shared" si="18"/>
        <v>678900</v>
      </c>
      <c r="R67" s="383">
        <f t="shared" si="18"/>
        <v>678900</v>
      </c>
      <c r="S67" s="383">
        <f t="shared" si="18"/>
        <v>657000</v>
      </c>
      <c r="T67" s="383">
        <f t="shared" si="18"/>
        <v>678900</v>
      </c>
      <c r="U67" s="383">
        <f t="shared" si="18"/>
        <v>657000</v>
      </c>
      <c r="V67" s="383">
        <f t="shared" si="18"/>
        <v>678900</v>
      </c>
      <c r="W67" s="383"/>
      <c r="X67" s="383"/>
    </row>
    <row r="68" spans="1:24" ht="12.75" customHeight="1" x14ac:dyDescent="0.2">
      <c r="A68" s="239" t="s">
        <v>261</v>
      </c>
      <c r="B68" s="239" t="s">
        <v>268</v>
      </c>
      <c r="C68" s="239" t="s">
        <v>228</v>
      </c>
      <c r="D68" s="239" t="s">
        <v>220</v>
      </c>
      <c r="E68" s="323">
        <v>25597</v>
      </c>
      <c r="F68" s="267" t="s">
        <v>279</v>
      </c>
      <c r="G68" s="268">
        <v>35704</v>
      </c>
      <c r="H68" s="268">
        <v>36891</v>
      </c>
      <c r="I68" s="274">
        <v>30000</v>
      </c>
      <c r="J68" s="239">
        <v>0.73</v>
      </c>
      <c r="K68" s="383">
        <f t="shared" si="18"/>
        <v>678900</v>
      </c>
      <c r="L68" s="383">
        <f t="shared" si="18"/>
        <v>613200</v>
      </c>
      <c r="M68" s="383">
        <f t="shared" si="18"/>
        <v>678900</v>
      </c>
      <c r="N68" s="383">
        <f t="shared" si="18"/>
        <v>657000</v>
      </c>
      <c r="O68" s="383">
        <f t="shared" si="18"/>
        <v>678900</v>
      </c>
      <c r="P68" s="383">
        <f t="shared" si="18"/>
        <v>657000</v>
      </c>
      <c r="Q68" s="383">
        <f t="shared" si="18"/>
        <v>678900</v>
      </c>
      <c r="R68" s="383">
        <f t="shared" si="18"/>
        <v>678900</v>
      </c>
      <c r="S68" s="383">
        <f t="shared" si="18"/>
        <v>657000</v>
      </c>
      <c r="T68" s="383">
        <f t="shared" si="18"/>
        <v>678900</v>
      </c>
      <c r="U68" s="383">
        <f t="shared" si="18"/>
        <v>657000</v>
      </c>
      <c r="V68" s="383">
        <f t="shared" si="18"/>
        <v>678900</v>
      </c>
      <c r="W68" s="383"/>
      <c r="X68" s="383"/>
    </row>
    <row r="69" spans="1:24" ht="12.75" customHeight="1" x14ac:dyDescent="0.2">
      <c r="A69" s="239" t="s">
        <v>261</v>
      </c>
      <c r="B69" s="239" t="s">
        <v>268</v>
      </c>
      <c r="C69" s="239" t="s">
        <v>228</v>
      </c>
      <c r="D69" s="239" t="s">
        <v>220</v>
      </c>
      <c r="E69" s="323">
        <v>26661</v>
      </c>
      <c r="F69" s="267" t="s">
        <v>316</v>
      </c>
      <c r="G69" s="268">
        <v>36526</v>
      </c>
      <c r="H69" s="268">
        <v>36891</v>
      </c>
      <c r="I69" s="274">
        <v>18000</v>
      </c>
      <c r="J69" s="239">
        <v>0.73</v>
      </c>
      <c r="K69" s="383">
        <f t="shared" si="18"/>
        <v>407340</v>
      </c>
      <c r="L69" s="383">
        <f t="shared" si="18"/>
        <v>367920</v>
      </c>
      <c r="M69" s="383">
        <f t="shared" si="18"/>
        <v>407340</v>
      </c>
      <c r="N69" s="383">
        <f t="shared" si="18"/>
        <v>394200</v>
      </c>
      <c r="O69" s="383">
        <f t="shared" si="18"/>
        <v>407340</v>
      </c>
      <c r="P69" s="383">
        <f t="shared" si="18"/>
        <v>394200</v>
      </c>
      <c r="Q69" s="383">
        <f t="shared" si="18"/>
        <v>407340</v>
      </c>
      <c r="R69" s="383">
        <f t="shared" si="18"/>
        <v>407340</v>
      </c>
      <c r="S69" s="383">
        <f t="shared" si="18"/>
        <v>394200</v>
      </c>
      <c r="T69" s="383">
        <f t="shared" si="18"/>
        <v>407340</v>
      </c>
      <c r="U69" s="383">
        <f t="shared" si="18"/>
        <v>394200</v>
      </c>
      <c r="V69" s="383">
        <f t="shared" si="18"/>
        <v>407340</v>
      </c>
      <c r="W69" s="383"/>
      <c r="X69" s="383"/>
    </row>
    <row r="70" spans="1:24" ht="12.75" customHeight="1" x14ac:dyDescent="0.2">
      <c r="A70" s="239" t="s">
        <v>261</v>
      </c>
      <c r="B70" s="239" t="s">
        <v>269</v>
      </c>
      <c r="C70" s="239" t="s">
        <v>228</v>
      </c>
      <c r="D70" s="239" t="s">
        <v>220</v>
      </c>
      <c r="E70" s="323" t="s">
        <v>317</v>
      </c>
      <c r="F70" s="267" t="s">
        <v>318</v>
      </c>
      <c r="G70" s="268">
        <v>36526</v>
      </c>
      <c r="H70" s="268">
        <v>36891</v>
      </c>
      <c r="I70" s="274">
        <v>13500</v>
      </c>
      <c r="J70" s="239">
        <v>0.73</v>
      </c>
      <c r="K70" s="383">
        <f t="shared" si="18"/>
        <v>305505</v>
      </c>
      <c r="L70" s="383">
        <f t="shared" si="18"/>
        <v>275940</v>
      </c>
      <c r="M70" s="383">
        <f t="shared" si="18"/>
        <v>305505</v>
      </c>
      <c r="N70" s="383">
        <f t="shared" si="18"/>
        <v>295650</v>
      </c>
      <c r="O70" s="383">
        <f t="shared" si="18"/>
        <v>305505</v>
      </c>
      <c r="P70" s="383">
        <f t="shared" si="18"/>
        <v>295650</v>
      </c>
      <c r="Q70" s="383">
        <f t="shared" si="18"/>
        <v>305505</v>
      </c>
      <c r="R70" s="383">
        <f t="shared" si="18"/>
        <v>305505</v>
      </c>
      <c r="S70" s="383">
        <f t="shared" si="18"/>
        <v>295650</v>
      </c>
      <c r="T70" s="383">
        <f t="shared" si="18"/>
        <v>305505</v>
      </c>
      <c r="U70" s="383">
        <f t="shared" si="18"/>
        <v>295650</v>
      </c>
      <c r="V70" s="383">
        <f t="shared" si="18"/>
        <v>305505</v>
      </c>
      <c r="W70" s="383"/>
      <c r="X70" s="383"/>
    </row>
    <row r="71" spans="1:24" ht="12.75" customHeight="1" x14ac:dyDescent="0.2">
      <c r="A71" s="239" t="s">
        <v>261</v>
      </c>
      <c r="B71" s="239" t="s">
        <v>269</v>
      </c>
      <c r="C71" s="239" t="s">
        <v>228</v>
      </c>
      <c r="D71" s="239" t="s">
        <v>220</v>
      </c>
      <c r="E71" s="323">
        <v>27047</v>
      </c>
      <c r="F71" s="267" t="s">
        <v>319</v>
      </c>
      <c r="G71" s="268">
        <v>36557</v>
      </c>
      <c r="H71" s="268">
        <v>36891</v>
      </c>
      <c r="I71" s="274">
        <v>70000</v>
      </c>
      <c r="J71" s="239">
        <v>0.73</v>
      </c>
      <c r="K71" s="383">
        <f t="shared" si="18"/>
        <v>1584100</v>
      </c>
      <c r="L71" s="383">
        <f t="shared" si="18"/>
        <v>1430800</v>
      </c>
      <c r="M71" s="383">
        <f t="shared" si="18"/>
        <v>1584100</v>
      </c>
      <c r="N71" s="383">
        <f t="shared" si="18"/>
        <v>1533000</v>
      </c>
      <c r="O71" s="383">
        <f t="shared" si="18"/>
        <v>1584100</v>
      </c>
      <c r="P71" s="383">
        <f t="shared" si="18"/>
        <v>1533000</v>
      </c>
      <c r="Q71" s="383">
        <f t="shared" si="18"/>
        <v>1584100</v>
      </c>
      <c r="R71" s="383">
        <f t="shared" si="18"/>
        <v>1584100</v>
      </c>
      <c r="S71" s="383">
        <f t="shared" si="18"/>
        <v>1533000</v>
      </c>
      <c r="T71" s="383">
        <f t="shared" si="18"/>
        <v>1584100</v>
      </c>
      <c r="U71" s="383">
        <f t="shared" si="18"/>
        <v>1533000</v>
      </c>
      <c r="V71" s="383">
        <f t="shared" si="18"/>
        <v>1584100</v>
      </c>
      <c r="W71" s="383"/>
      <c r="X71" s="383"/>
    </row>
    <row r="72" spans="1:24" ht="12.75" customHeight="1" x14ac:dyDescent="0.2">
      <c r="A72" s="239" t="s">
        <v>261</v>
      </c>
      <c r="B72" s="239" t="s">
        <v>269</v>
      </c>
      <c r="C72" s="239" t="s">
        <v>228</v>
      </c>
      <c r="D72" s="239" t="s">
        <v>220</v>
      </c>
      <c r="E72" s="323">
        <v>27017</v>
      </c>
      <c r="F72" s="267" t="s">
        <v>320</v>
      </c>
      <c r="G72" s="268">
        <v>36526</v>
      </c>
      <c r="H72" s="268">
        <v>36891</v>
      </c>
      <c r="I72" s="274">
        <v>30000</v>
      </c>
      <c r="J72" s="239">
        <v>0.73</v>
      </c>
      <c r="K72" s="386">
        <f t="shared" si="18"/>
        <v>678900</v>
      </c>
      <c r="L72" s="386">
        <f t="shared" si="18"/>
        <v>613200</v>
      </c>
      <c r="M72" s="386">
        <f t="shared" si="18"/>
        <v>678900</v>
      </c>
      <c r="N72" s="386">
        <f t="shared" si="18"/>
        <v>657000</v>
      </c>
      <c r="O72" s="386">
        <f t="shared" si="18"/>
        <v>678900</v>
      </c>
      <c r="P72" s="386">
        <f t="shared" si="18"/>
        <v>657000</v>
      </c>
      <c r="Q72" s="386">
        <f t="shared" si="18"/>
        <v>678900</v>
      </c>
      <c r="R72" s="386">
        <f t="shared" si="18"/>
        <v>678900</v>
      </c>
      <c r="S72" s="386">
        <f t="shared" si="18"/>
        <v>657000</v>
      </c>
      <c r="T72" s="386">
        <f t="shared" si="18"/>
        <v>678900</v>
      </c>
      <c r="U72" s="386">
        <f t="shared" si="18"/>
        <v>657000</v>
      </c>
      <c r="V72" s="386">
        <f t="shared" si="18"/>
        <v>678900</v>
      </c>
      <c r="W72" s="383"/>
      <c r="X72" s="383"/>
    </row>
    <row r="73" spans="1:24" ht="12.75" customHeight="1" x14ac:dyDescent="0.15">
      <c r="K73" s="246">
        <f>SUM(K65:K72)</f>
        <v>3654745</v>
      </c>
      <c r="L73" s="246">
        <f t="shared" ref="L73:V73" si="19">SUM(L65:L72)</f>
        <v>3914260</v>
      </c>
      <c r="M73" s="246">
        <f t="shared" si="19"/>
        <v>4333645</v>
      </c>
      <c r="N73" s="246">
        <f t="shared" si="19"/>
        <v>4193850</v>
      </c>
      <c r="O73" s="246">
        <f t="shared" si="19"/>
        <v>4333645</v>
      </c>
      <c r="P73" s="246">
        <f t="shared" si="19"/>
        <v>4193850</v>
      </c>
      <c r="Q73" s="246">
        <f t="shared" si="19"/>
        <v>4333645</v>
      </c>
      <c r="R73" s="246">
        <f t="shared" si="19"/>
        <v>4333645</v>
      </c>
      <c r="S73" s="246">
        <f t="shared" si="19"/>
        <v>4193850</v>
      </c>
      <c r="T73" s="246">
        <f t="shared" si="19"/>
        <v>4333645</v>
      </c>
      <c r="U73" s="246">
        <f t="shared" si="19"/>
        <v>4193850</v>
      </c>
      <c r="V73" s="246">
        <f t="shared" si="19"/>
        <v>4673095</v>
      </c>
      <c r="W73" s="383"/>
      <c r="X73" s="383"/>
    </row>
    <row r="74" spans="1:24" ht="12.75" customHeight="1" x14ac:dyDescent="0.15">
      <c r="K74" s="377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</row>
    <row r="75" spans="1:24" ht="12.75" customHeight="1" x14ac:dyDescent="0.15"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</row>
    <row r="76" spans="1:24" ht="12.75" customHeight="1" x14ac:dyDescent="0.15">
      <c r="K76" s="239">
        <v>31</v>
      </c>
      <c r="L76" s="239">
        <v>28</v>
      </c>
      <c r="M76" s="239">
        <v>31</v>
      </c>
      <c r="N76" s="239">
        <v>30</v>
      </c>
      <c r="O76" s="239">
        <v>31</v>
      </c>
      <c r="P76" s="239">
        <v>30</v>
      </c>
      <c r="Q76" s="239">
        <v>31</v>
      </c>
      <c r="R76" s="239">
        <v>31</v>
      </c>
      <c r="S76" s="239">
        <v>30</v>
      </c>
      <c r="T76" s="239">
        <v>31</v>
      </c>
      <c r="U76" s="239">
        <v>30</v>
      </c>
      <c r="V76" s="239">
        <v>31</v>
      </c>
      <c r="X76" s="383"/>
    </row>
    <row r="77" spans="1:24" ht="12.75" customHeight="1" x14ac:dyDescent="0.2">
      <c r="J77" s="387"/>
      <c r="K77" s="144" t="s">
        <v>164</v>
      </c>
      <c r="L77" s="144" t="s">
        <v>165</v>
      </c>
      <c r="M77" s="144" t="s">
        <v>166</v>
      </c>
      <c r="N77" s="144" t="s">
        <v>167</v>
      </c>
      <c r="O77" s="144" t="s">
        <v>168</v>
      </c>
      <c r="P77" s="144" t="s">
        <v>169</v>
      </c>
      <c r="Q77" s="144" t="s">
        <v>170</v>
      </c>
      <c r="R77" s="144" t="s">
        <v>171</v>
      </c>
      <c r="S77" s="144" t="s">
        <v>172</v>
      </c>
      <c r="T77" s="144" t="s">
        <v>173</v>
      </c>
      <c r="U77" s="144" t="s">
        <v>174</v>
      </c>
      <c r="V77" s="144" t="s">
        <v>175</v>
      </c>
      <c r="W77" s="144" t="s">
        <v>176</v>
      </c>
      <c r="X77" s="385"/>
    </row>
    <row r="78" spans="1:24" ht="12.75" customHeight="1" x14ac:dyDescent="0.15">
      <c r="J78" s="239" t="s">
        <v>177</v>
      </c>
      <c r="K78" s="388">
        <f>K54/1000/K76</f>
        <v>0</v>
      </c>
      <c r="L78" s="388">
        <f t="shared" ref="L78:V78" si="20">L54/1000/L76</f>
        <v>0</v>
      </c>
      <c r="M78" s="388">
        <f t="shared" si="20"/>
        <v>0</v>
      </c>
      <c r="N78" s="388">
        <f t="shared" si="20"/>
        <v>0</v>
      </c>
      <c r="O78" s="388">
        <f t="shared" si="20"/>
        <v>0</v>
      </c>
      <c r="P78" s="388">
        <f t="shared" si="20"/>
        <v>0</v>
      </c>
      <c r="Q78" s="388">
        <f t="shared" si="20"/>
        <v>0</v>
      </c>
      <c r="R78" s="388">
        <f t="shared" si="20"/>
        <v>0</v>
      </c>
      <c r="S78" s="388">
        <f t="shared" si="20"/>
        <v>0</v>
      </c>
      <c r="T78" s="388">
        <f t="shared" si="20"/>
        <v>0</v>
      </c>
      <c r="U78" s="388">
        <f t="shared" si="20"/>
        <v>0</v>
      </c>
      <c r="V78" s="388">
        <f t="shared" si="20"/>
        <v>0</v>
      </c>
      <c r="W78" s="388">
        <f>SUM(K78:V78)</f>
        <v>0</v>
      </c>
      <c r="X78" s="385"/>
    </row>
    <row r="79" spans="1:24" ht="12.75" customHeight="1" x14ac:dyDescent="0.15">
      <c r="J79" s="239" t="s">
        <v>178</v>
      </c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  <c r="X79" s="385"/>
    </row>
    <row r="80" spans="1:24" ht="12.75" customHeight="1" x14ac:dyDescent="0.15">
      <c r="J80" s="239" t="s">
        <v>179</v>
      </c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388"/>
      <c r="V80" s="388"/>
      <c r="W80" s="388"/>
      <c r="X80" s="385"/>
    </row>
    <row r="81" spans="10:24" ht="12.75" customHeight="1" x14ac:dyDescent="0.15">
      <c r="J81" s="239" t="s">
        <v>180</v>
      </c>
      <c r="K81" s="388">
        <f>K50/1000/K76</f>
        <v>0</v>
      </c>
      <c r="L81" s="388">
        <f t="shared" ref="L81:V81" si="21">L50/1000/L76</f>
        <v>18.2</v>
      </c>
      <c r="M81" s="388">
        <f t="shared" si="21"/>
        <v>18.200000000000003</v>
      </c>
      <c r="N81" s="388">
        <f t="shared" si="21"/>
        <v>18.2</v>
      </c>
      <c r="O81" s="388">
        <f t="shared" si="21"/>
        <v>25.48</v>
      </c>
      <c r="P81" s="388">
        <f t="shared" si="21"/>
        <v>25.48</v>
      </c>
      <c r="Q81" s="388">
        <f t="shared" si="21"/>
        <v>25.48</v>
      </c>
      <c r="R81" s="388">
        <f t="shared" si="21"/>
        <v>25.48</v>
      </c>
      <c r="S81" s="388">
        <f t="shared" si="21"/>
        <v>25.48</v>
      </c>
      <c r="T81" s="388">
        <f t="shared" si="21"/>
        <v>25.48</v>
      </c>
      <c r="U81" s="388">
        <f t="shared" si="21"/>
        <v>89.18</v>
      </c>
      <c r="V81" s="388">
        <f t="shared" si="21"/>
        <v>89.179999999999993</v>
      </c>
      <c r="W81" s="388">
        <f>SUM(K81:V81)</f>
        <v>385.84</v>
      </c>
      <c r="X81" s="385"/>
    </row>
    <row r="82" spans="10:24" ht="12.75" customHeight="1" x14ac:dyDescent="0.15">
      <c r="J82" s="239" t="s">
        <v>181</v>
      </c>
      <c r="K82" s="388">
        <f>K73/1000/K76</f>
        <v>117.895</v>
      </c>
      <c r="L82" s="388">
        <f t="shared" ref="L82:V82" si="22">L73/1000/L76</f>
        <v>139.79500000000002</v>
      </c>
      <c r="M82" s="388">
        <f t="shared" si="22"/>
        <v>139.79500000000002</v>
      </c>
      <c r="N82" s="388">
        <f t="shared" si="22"/>
        <v>139.79500000000002</v>
      </c>
      <c r="O82" s="388">
        <f t="shared" si="22"/>
        <v>139.79500000000002</v>
      </c>
      <c r="P82" s="388">
        <f t="shared" si="22"/>
        <v>139.79500000000002</v>
      </c>
      <c r="Q82" s="388">
        <f t="shared" si="22"/>
        <v>139.79500000000002</v>
      </c>
      <c r="R82" s="388">
        <f t="shared" si="22"/>
        <v>139.79500000000002</v>
      </c>
      <c r="S82" s="388">
        <f t="shared" si="22"/>
        <v>139.79500000000002</v>
      </c>
      <c r="T82" s="388">
        <f t="shared" si="22"/>
        <v>139.79500000000002</v>
      </c>
      <c r="U82" s="388">
        <f t="shared" si="22"/>
        <v>139.79500000000002</v>
      </c>
      <c r="V82" s="388">
        <f t="shared" si="22"/>
        <v>150.745</v>
      </c>
      <c r="W82" s="388">
        <f>SUM(K82:V82)</f>
        <v>1666.5900000000006</v>
      </c>
      <c r="X82" s="377"/>
    </row>
    <row r="83" spans="10:24" ht="12.75" customHeight="1" x14ac:dyDescent="0.15">
      <c r="J83" s="239" t="s">
        <v>182</v>
      </c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388"/>
      <c r="V83" s="388"/>
      <c r="W83" s="388">
        <f>SUM(K83:V83)</f>
        <v>0</v>
      </c>
      <c r="X83" s="380"/>
    </row>
    <row r="84" spans="10:24" ht="12.75" customHeight="1" x14ac:dyDescent="0.15">
      <c r="J84" s="239" t="s">
        <v>183</v>
      </c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8">
        <f>SUM(K84:V84)</f>
        <v>0</v>
      </c>
      <c r="X84" s="380"/>
    </row>
    <row r="85" spans="10:24" ht="12.75" customHeight="1" x14ac:dyDescent="0.15">
      <c r="J85" s="239" t="s">
        <v>184</v>
      </c>
      <c r="K85" s="389">
        <f>SUM(K78:K84)</f>
        <v>117.895</v>
      </c>
      <c r="L85" s="389">
        <f t="shared" ref="L85:V85" si="23">SUM(L78:L84)</f>
        <v>157.995</v>
      </c>
      <c r="M85" s="389">
        <f t="shared" si="23"/>
        <v>157.995</v>
      </c>
      <c r="N85" s="389">
        <f t="shared" si="23"/>
        <v>157.995</v>
      </c>
      <c r="O85" s="389">
        <f t="shared" si="23"/>
        <v>165.27500000000001</v>
      </c>
      <c r="P85" s="389">
        <f t="shared" si="23"/>
        <v>165.27500000000001</v>
      </c>
      <c r="Q85" s="389">
        <f t="shared" si="23"/>
        <v>165.27500000000001</v>
      </c>
      <c r="R85" s="389">
        <f t="shared" si="23"/>
        <v>165.27500000000001</v>
      </c>
      <c r="S85" s="389">
        <f t="shared" si="23"/>
        <v>165.27500000000001</v>
      </c>
      <c r="T85" s="389">
        <f t="shared" si="23"/>
        <v>165.27500000000001</v>
      </c>
      <c r="U85" s="389">
        <f t="shared" si="23"/>
        <v>228.97500000000002</v>
      </c>
      <c r="V85" s="389">
        <f t="shared" si="23"/>
        <v>239.92500000000001</v>
      </c>
      <c r="W85" s="389">
        <f>SUM(W78:W84)</f>
        <v>2052.4300000000007</v>
      </c>
      <c r="X85" s="380"/>
    </row>
    <row r="86" spans="10:24" ht="12.75" customHeight="1" x14ac:dyDescent="0.15"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388"/>
      <c r="V86" s="388"/>
      <c r="W86" s="388"/>
      <c r="X86" s="380"/>
    </row>
    <row r="87" spans="10:24" ht="12.75" customHeight="1" x14ac:dyDescent="0.15">
      <c r="J87" s="239" t="s">
        <v>185</v>
      </c>
      <c r="K87" s="388">
        <f>K63/1000/K76</f>
        <v>0</v>
      </c>
      <c r="L87" s="388">
        <f t="shared" ref="L87:V87" si="24">L63/1000/L76</f>
        <v>0</v>
      </c>
      <c r="M87" s="388">
        <f t="shared" si="24"/>
        <v>7.8000000000000007</v>
      </c>
      <c r="N87" s="388">
        <f t="shared" si="24"/>
        <v>7.8</v>
      </c>
      <c r="O87" s="388">
        <f t="shared" si="24"/>
        <v>7.8000000000000007</v>
      </c>
      <c r="P87" s="388">
        <f t="shared" si="24"/>
        <v>7.8</v>
      </c>
      <c r="Q87" s="388">
        <f t="shared" si="24"/>
        <v>7.8000000000000007</v>
      </c>
      <c r="R87" s="388">
        <f t="shared" si="24"/>
        <v>7.8000000000000007</v>
      </c>
      <c r="S87" s="388">
        <f t="shared" si="24"/>
        <v>7.8</v>
      </c>
      <c r="T87" s="388">
        <f t="shared" si="24"/>
        <v>7.8000000000000007</v>
      </c>
      <c r="U87" s="388">
        <f t="shared" si="24"/>
        <v>139</v>
      </c>
      <c r="V87" s="388">
        <f t="shared" si="24"/>
        <v>139</v>
      </c>
      <c r="W87" s="388">
        <f>SUM(K87:V87)</f>
        <v>340.4</v>
      </c>
      <c r="X87" s="380"/>
    </row>
    <row r="88" spans="10:24" ht="12.75" customHeight="1" x14ac:dyDescent="0.1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0"/>
    </row>
    <row r="89" spans="10:24" ht="12.75" customHeight="1" x14ac:dyDescent="0.15">
      <c r="J89" s="239" t="s">
        <v>177</v>
      </c>
      <c r="K89" s="390">
        <v>4.4999999999999998E-2</v>
      </c>
      <c r="L89" s="390">
        <v>4.4999999999999998E-2</v>
      </c>
      <c r="M89" s="390">
        <v>4.4999999999999998E-2</v>
      </c>
      <c r="N89" s="390">
        <v>4.4999999999999998E-2</v>
      </c>
      <c r="O89" s="390">
        <v>4.4999999999999998E-2</v>
      </c>
      <c r="P89" s="390">
        <v>4.4999999999999998E-2</v>
      </c>
      <c r="Q89" s="390">
        <v>4.4999999999999998E-2</v>
      </c>
      <c r="R89" s="390">
        <v>4.4999999999999998E-2</v>
      </c>
      <c r="S89" s="390">
        <v>4.4999999999999998E-2</v>
      </c>
      <c r="T89" s="390">
        <v>4.4999999999999998E-2</v>
      </c>
      <c r="U89" s="390">
        <v>4.4999999999999998E-2</v>
      </c>
      <c r="V89" s="390">
        <v>4.4999999999999998E-2</v>
      </c>
      <c r="W89" s="388"/>
      <c r="X89" s="377"/>
    </row>
    <row r="90" spans="10:24" ht="12.75" customHeight="1" x14ac:dyDescent="0.15">
      <c r="J90" s="239" t="s">
        <v>178</v>
      </c>
      <c r="K90" s="390">
        <v>4.4999999999999998E-2</v>
      </c>
      <c r="L90" s="390">
        <v>4.4999999999999998E-2</v>
      </c>
      <c r="M90" s="390">
        <v>4.4999999999999998E-2</v>
      </c>
      <c r="N90" s="390">
        <v>4.7500000000000001E-2</v>
      </c>
      <c r="O90" s="390">
        <v>4.7500000000000001E-2</v>
      </c>
      <c r="P90" s="390">
        <v>4.7500000000000001E-2</v>
      </c>
      <c r="Q90" s="390">
        <v>4.7500000000000001E-2</v>
      </c>
      <c r="R90" s="390">
        <v>4.7500000000000001E-2</v>
      </c>
      <c r="S90" s="390">
        <v>4.7500000000000001E-2</v>
      </c>
      <c r="T90" s="390">
        <v>4.7500000000000001E-2</v>
      </c>
      <c r="U90" s="390">
        <v>4.7500000000000001E-2</v>
      </c>
      <c r="V90" s="390">
        <v>4.7500000000000001E-2</v>
      </c>
      <c r="W90" s="388"/>
      <c r="X90" s="381"/>
    </row>
    <row r="91" spans="10:24" ht="12.75" customHeight="1" x14ac:dyDescent="0.15">
      <c r="J91" s="239" t="s">
        <v>179</v>
      </c>
      <c r="K91" s="390">
        <f>0.045+0.0025</f>
        <v>4.7500000000000001E-2</v>
      </c>
      <c r="L91" s="390">
        <f t="shared" ref="L91:V91" si="25">0.045+0.0025</f>
        <v>4.7500000000000001E-2</v>
      </c>
      <c r="M91" s="390">
        <f t="shared" si="25"/>
        <v>4.7500000000000001E-2</v>
      </c>
      <c r="N91" s="390">
        <f t="shared" si="25"/>
        <v>4.7500000000000001E-2</v>
      </c>
      <c r="O91" s="390">
        <f t="shared" si="25"/>
        <v>4.7500000000000001E-2</v>
      </c>
      <c r="P91" s="390">
        <f t="shared" si="25"/>
        <v>4.7500000000000001E-2</v>
      </c>
      <c r="Q91" s="390">
        <f t="shared" si="25"/>
        <v>4.7500000000000001E-2</v>
      </c>
      <c r="R91" s="390">
        <f t="shared" si="25"/>
        <v>4.7500000000000001E-2</v>
      </c>
      <c r="S91" s="390">
        <f t="shared" si="25"/>
        <v>4.7500000000000001E-2</v>
      </c>
      <c r="T91" s="390">
        <f t="shared" si="25"/>
        <v>4.7500000000000001E-2</v>
      </c>
      <c r="U91" s="390">
        <f t="shared" si="25"/>
        <v>4.7500000000000001E-2</v>
      </c>
      <c r="V91" s="390">
        <f t="shared" si="25"/>
        <v>4.7500000000000001E-2</v>
      </c>
      <c r="W91" s="388"/>
      <c r="X91" s="382"/>
    </row>
    <row r="92" spans="10:24" ht="12.75" customHeight="1" x14ac:dyDescent="0.15">
      <c r="J92" s="239" t="s">
        <v>180</v>
      </c>
      <c r="K92" s="390">
        <v>0.05</v>
      </c>
      <c r="L92" s="390">
        <v>0.05</v>
      </c>
      <c r="M92" s="390">
        <v>0.05</v>
      </c>
      <c r="N92" s="390">
        <v>0.05</v>
      </c>
      <c r="O92" s="390">
        <v>0.05</v>
      </c>
      <c r="P92" s="390">
        <v>0.05</v>
      </c>
      <c r="Q92" s="390">
        <v>0.05</v>
      </c>
      <c r="R92" s="390">
        <v>0.05</v>
      </c>
      <c r="S92" s="390">
        <v>0.05</v>
      </c>
      <c r="T92" s="390">
        <v>0.05</v>
      </c>
      <c r="U92" s="390">
        <v>0.05</v>
      </c>
      <c r="V92" s="390">
        <v>0.05</v>
      </c>
      <c r="W92" s="388"/>
      <c r="X92" s="382"/>
    </row>
    <row r="93" spans="10:24" ht="12.75" customHeight="1" x14ac:dyDescent="0.15">
      <c r="J93" s="239" t="s">
        <v>181</v>
      </c>
      <c r="K93" s="390">
        <v>2.5000000000000001E-3</v>
      </c>
      <c r="L93" s="390">
        <v>2.5000000000000001E-3</v>
      </c>
      <c r="M93" s="390">
        <v>2.5000000000000001E-3</v>
      </c>
      <c r="N93" s="390">
        <v>2.5000000000000001E-3</v>
      </c>
      <c r="O93" s="390">
        <v>2.5000000000000001E-3</v>
      </c>
      <c r="P93" s="390">
        <v>2.5000000000000001E-3</v>
      </c>
      <c r="Q93" s="390">
        <v>2.5000000000000001E-3</v>
      </c>
      <c r="R93" s="390">
        <v>2.5000000000000001E-3</v>
      </c>
      <c r="S93" s="390">
        <v>2.5000000000000001E-3</v>
      </c>
      <c r="T93" s="390">
        <v>2.5000000000000001E-3</v>
      </c>
      <c r="U93" s="390">
        <v>2.5000000000000001E-3</v>
      </c>
      <c r="V93" s="390">
        <v>2.5000000000000001E-3</v>
      </c>
      <c r="W93" s="388"/>
      <c r="X93" s="298"/>
    </row>
    <row r="94" spans="10:24" ht="12.75" customHeight="1" x14ac:dyDescent="0.15">
      <c r="J94" s="239" t="s">
        <v>182</v>
      </c>
      <c r="K94" s="390">
        <v>2.5000000000000001E-3</v>
      </c>
      <c r="L94" s="390">
        <v>2.5000000000000001E-3</v>
      </c>
      <c r="M94" s="390">
        <v>2.5000000000000001E-3</v>
      </c>
      <c r="N94" s="390">
        <v>2.5000000000000001E-3</v>
      </c>
      <c r="O94" s="390">
        <v>2.5000000000000001E-3</v>
      </c>
      <c r="P94" s="390">
        <v>2.5000000000000001E-3</v>
      </c>
      <c r="Q94" s="390">
        <v>2.5000000000000001E-3</v>
      </c>
      <c r="R94" s="390">
        <v>2.5000000000000001E-3</v>
      </c>
      <c r="S94" s="390">
        <v>2.5000000000000001E-3</v>
      </c>
      <c r="T94" s="390">
        <v>2.5000000000000001E-3</v>
      </c>
      <c r="U94" s="390">
        <v>2.5000000000000001E-3</v>
      </c>
      <c r="V94" s="390">
        <v>2.5000000000000001E-3</v>
      </c>
      <c r="W94" s="388"/>
      <c r="X94" s="298"/>
    </row>
    <row r="95" spans="10:24" ht="12.75" customHeight="1" x14ac:dyDescent="0.15">
      <c r="J95" s="239" t="s">
        <v>183</v>
      </c>
      <c r="K95" s="390">
        <v>2.5000000000000001E-3</v>
      </c>
      <c r="L95" s="390">
        <v>2.5000000000000001E-3</v>
      </c>
      <c r="M95" s="390">
        <v>2.5000000000000001E-3</v>
      </c>
      <c r="N95" s="390">
        <v>2.5000000000000001E-3</v>
      </c>
      <c r="O95" s="390">
        <v>2.5000000000000001E-3</v>
      </c>
      <c r="P95" s="390">
        <v>2.5000000000000001E-3</v>
      </c>
      <c r="Q95" s="390">
        <v>2.5000000000000001E-3</v>
      </c>
      <c r="R95" s="390">
        <v>2.5000000000000001E-3</v>
      </c>
      <c r="S95" s="390">
        <v>2.5000000000000001E-3</v>
      </c>
      <c r="T95" s="390">
        <v>2.5000000000000001E-3</v>
      </c>
      <c r="U95" s="390">
        <v>2.5000000000000001E-3</v>
      </c>
      <c r="V95" s="390">
        <v>2.5000000000000001E-3</v>
      </c>
      <c r="W95" s="388"/>
      <c r="X95" s="298"/>
    </row>
    <row r="96" spans="10:24" ht="12.75" customHeight="1" x14ac:dyDescent="0.15">
      <c r="J96" s="239" t="s">
        <v>163</v>
      </c>
      <c r="K96" s="390">
        <v>1.3100000000000001E-2</v>
      </c>
      <c r="L96" s="390">
        <v>1.3100000000000001E-2</v>
      </c>
      <c r="M96" s="390">
        <v>1.3100000000000001E-2</v>
      </c>
      <c r="N96" s="390">
        <v>1.3100000000000001E-2</v>
      </c>
      <c r="O96" s="390">
        <v>1.3100000000000001E-2</v>
      </c>
      <c r="P96" s="390">
        <v>1.3100000000000001E-2</v>
      </c>
      <c r="Q96" s="390">
        <v>1.3100000000000001E-2</v>
      </c>
      <c r="R96" s="390">
        <v>1.3100000000000001E-2</v>
      </c>
      <c r="S96" s="390">
        <v>1.3100000000000001E-2</v>
      </c>
      <c r="T96" s="390">
        <v>1.3100000000000001E-2</v>
      </c>
      <c r="U96" s="390">
        <v>1.3100000000000001E-2</v>
      </c>
      <c r="V96" s="390">
        <v>1.3100000000000001E-2</v>
      </c>
      <c r="W96" s="388"/>
      <c r="X96" s="298"/>
    </row>
    <row r="97" spans="10:24" ht="12.75" customHeight="1" x14ac:dyDescent="0.1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298"/>
    </row>
    <row r="98" spans="10:24" ht="12.75" customHeight="1" x14ac:dyDescent="0.15">
      <c r="J98" s="239" t="s">
        <v>177</v>
      </c>
      <c r="K98" s="388">
        <f>ROUND((((K78/(1-K89))-K78)*K$2),0)</f>
        <v>0</v>
      </c>
      <c r="L98" s="388">
        <f t="shared" ref="L98:V98" si="26">ROUND((((L78/(1-L89))-L78)*L$2),0)</f>
        <v>0</v>
      </c>
      <c r="M98" s="388">
        <f t="shared" si="26"/>
        <v>0</v>
      </c>
      <c r="N98" s="388">
        <f t="shared" si="26"/>
        <v>0</v>
      </c>
      <c r="O98" s="388">
        <f t="shared" si="26"/>
        <v>0</v>
      </c>
      <c r="P98" s="388">
        <f t="shared" si="26"/>
        <v>0</v>
      </c>
      <c r="Q98" s="388">
        <f t="shared" si="26"/>
        <v>0</v>
      </c>
      <c r="R98" s="388">
        <f t="shared" si="26"/>
        <v>0</v>
      </c>
      <c r="S98" s="388">
        <f t="shared" si="26"/>
        <v>0</v>
      </c>
      <c r="T98" s="388">
        <f t="shared" si="26"/>
        <v>0</v>
      </c>
      <c r="U98" s="388">
        <f t="shared" si="26"/>
        <v>0</v>
      </c>
      <c r="V98" s="388">
        <f t="shared" si="26"/>
        <v>0</v>
      </c>
      <c r="W98" s="388">
        <f>SUM(K98:V98)</f>
        <v>0</v>
      </c>
    </row>
    <row r="99" spans="10:24" ht="12.75" customHeight="1" x14ac:dyDescent="0.15">
      <c r="J99" s="239" t="s">
        <v>178</v>
      </c>
      <c r="K99" s="388">
        <f t="shared" ref="K99:V104" si="27">ROUND((((K79/(1-K90))-K79)*K$2),0)</f>
        <v>0</v>
      </c>
      <c r="L99" s="388">
        <f t="shared" si="27"/>
        <v>0</v>
      </c>
      <c r="M99" s="388">
        <f t="shared" si="27"/>
        <v>0</v>
      </c>
      <c r="N99" s="388">
        <f t="shared" si="27"/>
        <v>0</v>
      </c>
      <c r="O99" s="388">
        <f t="shared" si="27"/>
        <v>0</v>
      </c>
      <c r="P99" s="388">
        <f t="shared" si="27"/>
        <v>0</v>
      </c>
      <c r="Q99" s="388">
        <f t="shared" si="27"/>
        <v>0</v>
      </c>
      <c r="R99" s="388">
        <f t="shared" si="27"/>
        <v>0</v>
      </c>
      <c r="S99" s="388">
        <f t="shared" si="27"/>
        <v>0</v>
      </c>
      <c r="T99" s="388">
        <f t="shared" si="27"/>
        <v>0</v>
      </c>
      <c r="U99" s="388">
        <f t="shared" si="27"/>
        <v>0</v>
      </c>
      <c r="V99" s="388">
        <f t="shared" si="27"/>
        <v>0</v>
      </c>
      <c r="W99" s="388">
        <f t="shared" ref="W99:W104" si="28">SUM(K99:V99)</f>
        <v>0</v>
      </c>
    </row>
    <row r="100" spans="10:24" ht="12.75" customHeight="1" x14ac:dyDescent="0.15">
      <c r="J100" s="239" t="s">
        <v>179</v>
      </c>
      <c r="K100" s="388">
        <f t="shared" si="27"/>
        <v>0</v>
      </c>
      <c r="L100" s="388">
        <f t="shared" si="27"/>
        <v>0</v>
      </c>
      <c r="M100" s="388">
        <f t="shared" si="27"/>
        <v>0</v>
      </c>
      <c r="N100" s="388">
        <f t="shared" si="27"/>
        <v>0</v>
      </c>
      <c r="O100" s="388">
        <f t="shared" si="27"/>
        <v>0</v>
      </c>
      <c r="P100" s="388">
        <f t="shared" si="27"/>
        <v>0</v>
      </c>
      <c r="Q100" s="388">
        <f t="shared" si="27"/>
        <v>0</v>
      </c>
      <c r="R100" s="388">
        <f t="shared" si="27"/>
        <v>0</v>
      </c>
      <c r="S100" s="388">
        <f t="shared" si="27"/>
        <v>0</v>
      </c>
      <c r="T100" s="388">
        <f t="shared" si="27"/>
        <v>0</v>
      </c>
      <c r="U100" s="388">
        <f t="shared" si="27"/>
        <v>0</v>
      </c>
      <c r="V100" s="388">
        <f t="shared" si="27"/>
        <v>0</v>
      </c>
      <c r="W100" s="388">
        <f t="shared" si="28"/>
        <v>0</v>
      </c>
    </row>
    <row r="101" spans="10:24" ht="12.75" customHeight="1" x14ac:dyDescent="0.15">
      <c r="J101" s="239" t="s">
        <v>180</v>
      </c>
      <c r="K101" s="388">
        <f t="shared" si="27"/>
        <v>0</v>
      </c>
      <c r="L101" s="388">
        <f t="shared" si="27"/>
        <v>27</v>
      </c>
      <c r="M101" s="388">
        <f t="shared" si="27"/>
        <v>30</v>
      </c>
      <c r="N101" s="388">
        <f t="shared" si="27"/>
        <v>29</v>
      </c>
      <c r="O101" s="388">
        <f t="shared" si="27"/>
        <v>42</v>
      </c>
      <c r="P101" s="388">
        <f t="shared" si="27"/>
        <v>40</v>
      </c>
      <c r="Q101" s="388">
        <f t="shared" si="27"/>
        <v>42</v>
      </c>
      <c r="R101" s="388">
        <f t="shared" si="27"/>
        <v>42</v>
      </c>
      <c r="S101" s="388">
        <f t="shared" si="27"/>
        <v>40</v>
      </c>
      <c r="T101" s="388">
        <f t="shared" si="27"/>
        <v>42</v>
      </c>
      <c r="U101" s="388">
        <f t="shared" si="27"/>
        <v>141</v>
      </c>
      <c r="V101" s="388">
        <f t="shared" si="27"/>
        <v>146</v>
      </c>
      <c r="W101" s="388">
        <f t="shared" si="28"/>
        <v>621</v>
      </c>
    </row>
    <row r="102" spans="10:24" ht="12.75" customHeight="1" x14ac:dyDescent="0.15">
      <c r="J102" s="239" t="s">
        <v>181</v>
      </c>
      <c r="K102" s="388">
        <f t="shared" si="27"/>
        <v>9</v>
      </c>
      <c r="L102" s="388">
        <f t="shared" si="27"/>
        <v>10</v>
      </c>
      <c r="M102" s="388">
        <f t="shared" si="27"/>
        <v>11</v>
      </c>
      <c r="N102" s="388">
        <f t="shared" si="27"/>
        <v>11</v>
      </c>
      <c r="O102" s="388">
        <f t="shared" si="27"/>
        <v>11</v>
      </c>
      <c r="P102" s="388">
        <f t="shared" si="27"/>
        <v>11</v>
      </c>
      <c r="Q102" s="388">
        <f t="shared" si="27"/>
        <v>11</v>
      </c>
      <c r="R102" s="388">
        <f t="shared" si="27"/>
        <v>11</v>
      </c>
      <c r="S102" s="388">
        <f t="shared" si="27"/>
        <v>11</v>
      </c>
      <c r="T102" s="388">
        <f t="shared" si="27"/>
        <v>11</v>
      </c>
      <c r="U102" s="388">
        <f t="shared" si="27"/>
        <v>11</v>
      </c>
      <c r="V102" s="388">
        <f t="shared" si="27"/>
        <v>12</v>
      </c>
      <c r="W102" s="388">
        <f t="shared" si="28"/>
        <v>130</v>
      </c>
    </row>
    <row r="103" spans="10:24" ht="12.75" customHeight="1" x14ac:dyDescent="0.15">
      <c r="J103" s="239" t="s">
        <v>182</v>
      </c>
      <c r="K103" s="388">
        <f t="shared" si="27"/>
        <v>0</v>
      </c>
      <c r="L103" s="388">
        <f t="shared" si="27"/>
        <v>0</v>
      </c>
      <c r="M103" s="388">
        <f t="shared" si="27"/>
        <v>0</v>
      </c>
      <c r="N103" s="388">
        <f t="shared" si="27"/>
        <v>0</v>
      </c>
      <c r="O103" s="388">
        <f t="shared" si="27"/>
        <v>0</v>
      </c>
      <c r="P103" s="388">
        <f t="shared" si="27"/>
        <v>0</v>
      </c>
      <c r="Q103" s="388">
        <f t="shared" si="27"/>
        <v>0</v>
      </c>
      <c r="R103" s="388">
        <f t="shared" si="27"/>
        <v>0</v>
      </c>
      <c r="S103" s="388">
        <f t="shared" si="27"/>
        <v>0</v>
      </c>
      <c r="T103" s="388">
        <f t="shared" si="27"/>
        <v>0</v>
      </c>
      <c r="U103" s="388">
        <f t="shared" si="27"/>
        <v>0</v>
      </c>
      <c r="V103" s="388">
        <f t="shared" si="27"/>
        <v>0</v>
      </c>
      <c r="W103" s="388">
        <f t="shared" si="28"/>
        <v>0</v>
      </c>
    </row>
    <row r="104" spans="10:24" ht="12.75" customHeight="1" x14ac:dyDescent="0.15">
      <c r="J104" s="239" t="s">
        <v>183</v>
      </c>
      <c r="K104" s="388">
        <f t="shared" si="27"/>
        <v>0</v>
      </c>
      <c r="L104" s="388">
        <f t="shared" si="27"/>
        <v>0</v>
      </c>
      <c r="M104" s="388">
        <f t="shared" si="27"/>
        <v>0</v>
      </c>
      <c r="N104" s="388">
        <f t="shared" si="27"/>
        <v>0</v>
      </c>
      <c r="O104" s="388">
        <f t="shared" si="27"/>
        <v>0</v>
      </c>
      <c r="P104" s="388">
        <f t="shared" si="27"/>
        <v>0</v>
      </c>
      <c r="Q104" s="388">
        <f t="shared" si="27"/>
        <v>0</v>
      </c>
      <c r="R104" s="388">
        <f t="shared" si="27"/>
        <v>0</v>
      </c>
      <c r="S104" s="388">
        <f t="shared" si="27"/>
        <v>0</v>
      </c>
      <c r="T104" s="388">
        <f t="shared" si="27"/>
        <v>0</v>
      </c>
      <c r="U104" s="388">
        <f t="shared" si="27"/>
        <v>0</v>
      </c>
      <c r="V104" s="388">
        <f t="shared" si="27"/>
        <v>0</v>
      </c>
      <c r="W104" s="388">
        <f t="shared" si="28"/>
        <v>0</v>
      </c>
    </row>
    <row r="105" spans="10:24" ht="12.75" customHeight="1" x14ac:dyDescent="0.15">
      <c r="J105" s="239" t="s">
        <v>184</v>
      </c>
      <c r="K105" s="389">
        <f>SUM(K98:K104)</f>
        <v>9</v>
      </c>
      <c r="L105" s="389">
        <f t="shared" ref="L105:W105" si="29">SUM(L98:L104)</f>
        <v>37</v>
      </c>
      <c r="M105" s="389">
        <f t="shared" si="29"/>
        <v>41</v>
      </c>
      <c r="N105" s="389">
        <f t="shared" si="29"/>
        <v>40</v>
      </c>
      <c r="O105" s="389">
        <f t="shared" si="29"/>
        <v>53</v>
      </c>
      <c r="P105" s="389">
        <f t="shared" si="29"/>
        <v>51</v>
      </c>
      <c r="Q105" s="389">
        <f t="shared" si="29"/>
        <v>53</v>
      </c>
      <c r="R105" s="389">
        <f t="shared" si="29"/>
        <v>53</v>
      </c>
      <c r="S105" s="389">
        <f t="shared" si="29"/>
        <v>51</v>
      </c>
      <c r="T105" s="389">
        <f t="shared" si="29"/>
        <v>53</v>
      </c>
      <c r="U105" s="389">
        <f t="shared" si="29"/>
        <v>152</v>
      </c>
      <c r="V105" s="389">
        <f t="shared" si="29"/>
        <v>158</v>
      </c>
      <c r="W105" s="389">
        <f t="shared" si="29"/>
        <v>751</v>
      </c>
    </row>
    <row r="106" spans="10:24" ht="12.75" customHeight="1" x14ac:dyDescent="0.1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</row>
    <row r="107" spans="10:24" ht="12.75" customHeight="1" x14ac:dyDescent="0.15">
      <c r="J107" s="239" t="s">
        <v>186</v>
      </c>
      <c r="K107" s="391">
        <f>ROUND((((K87/(1-K96))-K87)*K$2),0)</f>
        <v>0</v>
      </c>
      <c r="L107" s="391">
        <f t="shared" ref="L107:V107" si="30">ROUND((((L87/(1-L96))-L87)*L$2),0)</f>
        <v>0</v>
      </c>
      <c r="M107" s="391">
        <f t="shared" si="30"/>
        <v>3</v>
      </c>
      <c r="N107" s="391">
        <f t="shared" si="30"/>
        <v>3</v>
      </c>
      <c r="O107" s="391">
        <f t="shared" si="30"/>
        <v>3</v>
      </c>
      <c r="P107" s="391">
        <f t="shared" si="30"/>
        <v>3</v>
      </c>
      <c r="Q107" s="391">
        <f t="shared" si="30"/>
        <v>3</v>
      </c>
      <c r="R107" s="391">
        <f t="shared" si="30"/>
        <v>3</v>
      </c>
      <c r="S107" s="391">
        <f t="shared" si="30"/>
        <v>3</v>
      </c>
      <c r="T107" s="391">
        <f t="shared" si="30"/>
        <v>3</v>
      </c>
      <c r="U107" s="391">
        <f t="shared" si="30"/>
        <v>55</v>
      </c>
      <c r="V107" s="391">
        <f t="shared" si="30"/>
        <v>57</v>
      </c>
      <c r="W107" s="391">
        <f>SUM(K107:V107)</f>
        <v>136</v>
      </c>
    </row>
    <row r="108" spans="10:24" ht="12.75" customHeight="1" x14ac:dyDescent="0.15">
      <c r="J108" s="239" t="s">
        <v>196</v>
      </c>
      <c r="K108" s="392">
        <f t="shared" ref="K108:V108" si="31">+K107+K105</f>
        <v>9</v>
      </c>
      <c r="L108" s="392">
        <f t="shared" si="31"/>
        <v>37</v>
      </c>
      <c r="M108" s="392">
        <f t="shared" si="31"/>
        <v>44</v>
      </c>
      <c r="N108" s="392">
        <f t="shared" si="31"/>
        <v>43</v>
      </c>
      <c r="O108" s="392">
        <f t="shared" si="31"/>
        <v>56</v>
      </c>
      <c r="P108" s="392">
        <f t="shared" si="31"/>
        <v>54</v>
      </c>
      <c r="Q108" s="392">
        <f t="shared" si="31"/>
        <v>56</v>
      </c>
      <c r="R108" s="392">
        <f t="shared" si="31"/>
        <v>56</v>
      </c>
      <c r="S108" s="392">
        <f t="shared" si="31"/>
        <v>54</v>
      </c>
      <c r="T108" s="392">
        <f t="shared" si="31"/>
        <v>56</v>
      </c>
      <c r="U108" s="392">
        <f t="shared" si="31"/>
        <v>207</v>
      </c>
      <c r="V108" s="392">
        <f t="shared" si="31"/>
        <v>215</v>
      </c>
      <c r="W108" s="392">
        <f>SUM(K108:V108)</f>
        <v>887</v>
      </c>
    </row>
    <row r="109" spans="10:24" ht="12.75" customHeight="1" x14ac:dyDescent="0.15"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</row>
    <row r="110" spans="10:24" ht="12.75" customHeight="1" x14ac:dyDescent="0.15">
      <c r="J110" s="239" t="s">
        <v>187</v>
      </c>
      <c r="K110" s="391" t="e">
        <f>+ROUND(((K78+K79+K80+K81+K82+K87)*-K122*K$2),0)</f>
        <v>#REF!</v>
      </c>
      <c r="L110" s="391" t="e">
        <f t="shared" ref="L110:V110" si="32">+ROUND(((L78+L79+L80+L81+L82+L87)*-L122*L$2),0)</f>
        <v>#REF!</v>
      </c>
      <c r="M110" s="391" t="e">
        <f t="shared" si="32"/>
        <v>#REF!</v>
      </c>
      <c r="N110" s="391" t="e">
        <f t="shared" si="32"/>
        <v>#REF!</v>
      </c>
      <c r="O110" s="391" t="e">
        <f t="shared" si="32"/>
        <v>#REF!</v>
      </c>
      <c r="P110" s="391" t="e">
        <f t="shared" si="32"/>
        <v>#REF!</v>
      </c>
      <c r="Q110" s="391" t="e">
        <f t="shared" si="32"/>
        <v>#REF!</v>
      </c>
      <c r="R110" s="391" t="e">
        <f t="shared" si="32"/>
        <v>#REF!</v>
      </c>
      <c r="S110" s="391" t="e">
        <f t="shared" si="32"/>
        <v>#REF!</v>
      </c>
      <c r="T110" s="391" t="e">
        <f t="shared" si="32"/>
        <v>#REF!</v>
      </c>
      <c r="U110" s="391" t="e">
        <f t="shared" si="32"/>
        <v>#REF!</v>
      </c>
      <c r="V110" s="391" t="e">
        <f t="shared" si="32"/>
        <v>#REF!</v>
      </c>
      <c r="W110" s="391" t="e">
        <f>SUM(K110:V110)</f>
        <v>#REF!</v>
      </c>
    </row>
    <row r="111" spans="10:24" ht="12.75" customHeight="1" x14ac:dyDescent="0.15">
      <c r="J111" s="239" t="s">
        <v>85</v>
      </c>
      <c r="K111" s="391" t="e">
        <f t="shared" ref="K111:V111" si="33">+ROUND(((K85+K87)*-K121*K76),0)</f>
        <v>#REF!</v>
      </c>
      <c r="L111" s="391" t="e">
        <f t="shared" si="33"/>
        <v>#REF!</v>
      </c>
      <c r="M111" s="391" t="e">
        <f t="shared" si="33"/>
        <v>#REF!</v>
      </c>
      <c r="N111" s="391" t="e">
        <f t="shared" si="33"/>
        <v>#REF!</v>
      </c>
      <c r="O111" s="391" t="e">
        <f t="shared" si="33"/>
        <v>#REF!</v>
      </c>
      <c r="P111" s="391" t="e">
        <f t="shared" si="33"/>
        <v>#REF!</v>
      </c>
      <c r="Q111" s="391" t="e">
        <f t="shared" si="33"/>
        <v>#REF!</v>
      </c>
      <c r="R111" s="391" t="e">
        <f t="shared" si="33"/>
        <v>#REF!</v>
      </c>
      <c r="S111" s="391" t="e">
        <f t="shared" si="33"/>
        <v>#REF!</v>
      </c>
      <c r="T111" s="391" t="e">
        <f t="shared" si="33"/>
        <v>#REF!</v>
      </c>
      <c r="U111" s="391" t="e">
        <f t="shared" si="33"/>
        <v>#REF!</v>
      </c>
      <c r="V111" s="391" t="e">
        <f t="shared" si="33"/>
        <v>#REF!</v>
      </c>
      <c r="W111" s="391" t="e">
        <f>SUM(K111:V111)</f>
        <v>#REF!</v>
      </c>
    </row>
    <row r="112" spans="10:24" ht="12.75" customHeight="1" x14ac:dyDescent="0.15"/>
    <row r="113" spans="10:23" ht="12.75" customHeight="1" x14ac:dyDescent="0.15">
      <c r="J113" s="239" t="s">
        <v>188</v>
      </c>
      <c r="K113" s="393" t="e">
        <f t="shared" ref="K113:V113" si="34">ROUND((K108*K120),0)</f>
        <v>#REF!</v>
      </c>
      <c r="L113" s="393" t="e">
        <f t="shared" si="34"/>
        <v>#REF!</v>
      </c>
      <c r="M113" s="393" t="e">
        <f t="shared" si="34"/>
        <v>#REF!</v>
      </c>
      <c r="N113" s="393" t="e">
        <f t="shared" si="34"/>
        <v>#REF!</v>
      </c>
      <c r="O113" s="393" t="e">
        <f t="shared" si="34"/>
        <v>#REF!</v>
      </c>
      <c r="P113" s="393" t="e">
        <f t="shared" si="34"/>
        <v>#REF!</v>
      </c>
      <c r="Q113" s="393" t="e">
        <f t="shared" si="34"/>
        <v>#REF!</v>
      </c>
      <c r="R113" s="393" t="e">
        <f t="shared" si="34"/>
        <v>#REF!</v>
      </c>
      <c r="S113" s="393" t="e">
        <f t="shared" si="34"/>
        <v>#REF!</v>
      </c>
      <c r="T113" s="393" t="e">
        <f t="shared" si="34"/>
        <v>#REF!</v>
      </c>
      <c r="U113" s="393" t="e">
        <f t="shared" si="34"/>
        <v>#REF!</v>
      </c>
      <c r="V113" s="393" t="e">
        <f t="shared" si="34"/>
        <v>#REF!</v>
      </c>
      <c r="W113" s="393" t="e">
        <f t="shared" ref="W113:W118" si="35">SUM(K113:V113)</f>
        <v>#REF!</v>
      </c>
    </row>
    <row r="114" spans="10:23" ht="12.75" customHeight="1" x14ac:dyDescent="0.15">
      <c r="K114" s="393"/>
      <c r="L114" s="393"/>
      <c r="M114" s="393"/>
      <c r="N114" s="393"/>
      <c r="O114" s="393"/>
      <c r="P114" s="393"/>
      <c r="Q114" s="393"/>
      <c r="R114" s="393"/>
      <c r="S114" s="393"/>
      <c r="T114" s="393"/>
      <c r="U114" s="393"/>
      <c r="V114" s="393"/>
      <c r="W114" s="393">
        <f t="shared" si="35"/>
        <v>0</v>
      </c>
    </row>
    <row r="115" spans="10:23" ht="12.75" customHeight="1" x14ac:dyDescent="0.15">
      <c r="J115" s="239" t="s">
        <v>189</v>
      </c>
      <c r="K115" s="393" t="e">
        <f t="shared" ref="K115:V115" si="36">ROUND((K110*K120),0)</f>
        <v>#REF!</v>
      </c>
      <c r="L115" s="393" t="e">
        <f t="shared" si="36"/>
        <v>#REF!</v>
      </c>
      <c r="M115" s="393" t="e">
        <f t="shared" si="36"/>
        <v>#REF!</v>
      </c>
      <c r="N115" s="393" t="e">
        <f t="shared" si="36"/>
        <v>#REF!</v>
      </c>
      <c r="O115" s="393" t="e">
        <f t="shared" si="36"/>
        <v>#REF!</v>
      </c>
      <c r="P115" s="393" t="e">
        <f t="shared" si="36"/>
        <v>#REF!</v>
      </c>
      <c r="Q115" s="393" t="e">
        <f t="shared" si="36"/>
        <v>#REF!</v>
      </c>
      <c r="R115" s="393" t="e">
        <f t="shared" si="36"/>
        <v>#REF!</v>
      </c>
      <c r="S115" s="393" t="e">
        <f t="shared" si="36"/>
        <v>#REF!</v>
      </c>
      <c r="T115" s="393" t="e">
        <f t="shared" si="36"/>
        <v>#REF!</v>
      </c>
      <c r="U115" s="393" t="e">
        <f t="shared" si="36"/>
        <v>#REF!</v>
      </c>
      <c r="V115" s="393" t="e">
        <f t="shared" si="36"/>
        <v>#REF!</v>
      </c>
      <c r="W115" s="393" t="e">
        <f t="shared" si="35"/>
        <v>#REF!</v>
      </c>
    </row>
    <row r="116" spans="10:23" ht="12.75" customHeight="1" x14ac:dyDescent="0.15">
      <c r="J116" s="239" t="s">
        <v>197</v>
      </c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>
        <f t="shared" si="35"/>
        <v>0</v>
      </c>
    </row>
    <row r="117" spans="10:23" ht="12.75" customHeight="1" x14ac:dyDescent="0.15">
      <c r="J117" s="239" t="s">
        <v>190</v>
      </c>
      <c r="K117" s="393" t="e">
        <f t="shared" ref="K117:V117" si="37">ROUND((K111*K120),0)</f>
        <v>#REF!</v>
      </c>
      <c r="L117" s="393" t="e">
        <f t="shared" si="37"/>
        <v>#REF!</v>
      </c>
      <c r="M117" s="393" t="e">
        <f t="shared" si="37"/>
        <v>#REF!</v>
      </c>
      <c r="N117" s="393" t="e">
        <f t="shared" si="37"/>
        <v>#REF!</v>
      </c>
      <c r="O117" s="393" t="e">
        <f t="shared" si="37"/>
        <v>#REF!</v>
      </c>
      <c r="P117" s="393" t="e">
        <f t="shared" si="37"/>
        <v>#REF!</v>
      </c>
      <c r="Q117" s="393" t="e">
        <f t="shared" si="37"/>
        <v>#REF!</v>
      </c>
      <c r="R117" s="393" t="e">
        <f t="shared" si="37"/>
        <v>#REF!</v>
      </c>
      <c r="S117" s="393" t="e">
        <f t="shared" si="37"/>
        <v>#REF!</v>
      </c>
      <c r="T117" s="393" t="e">
        <f t="shared" si="37"/>
        <v>#REF!</v>
      </c>
      <c r="U117" s="393" t="e">
        <f t="shared" si="37"/>
        <v>#REF!</v>
      </c>
      <c r="V117" s="393" t="e">
        <f t="shared" si="37"/>
        <v>#REF!</v>
      </c>
      <c r="W117" s="393" t="e">
        <f t="shared" si="35"/>
        <v>#REF!</v>
      </c>
    </row>
    <row r="118" spans="10:23" ht="12.75" customHeight="1" x14ac:dyDescent="0.15">
      <c r="J118" s="239" t="s">
        <v>191</v>
      </c>
      <c r="K118" s="394" t="e">
        <f t="shared" ref="K118:V118" si="38">SUM(K113:K117)</f>
        <v>#REF!</v>
      </c>
      <c r="L118" s="394" t="e">
        <f t="shared" si="38"/>
        <v>#REF!</v>
      </c>
      <c r="M118" s="394" t="e">
        <f t="shared" si="38"/>
        <v>#REF!</v>
      </c>
      <c r="N118" s="394" t="e">
        <f t="shared" si="38"/>
        <v>#REF!</v>
      </c>
      <c r="O118" s="394" t="e">
        <f t="shared" si="38"/>
        <v>#REF!</v>
      </c>
      <c r="P118" s="394" t="e">
        <f t="shared" si="38"/>
        <v>#REF!</v>
      </c>
      <c r="Q118" s="394" t="e">
        <f t="shared" si="38"/>
        <v>#REF!</v>
      </c>
      <c r="R118" s="394" t="e">
        <f t="shared" si="38"/>
        <v>#REF!</v>
      </c>
      <c r="S118" s="394" t="e">
        <f t="shared" si="38"/>
        <v>#REF!</v>
      </c>
      <c r="T118" s="394" t="e">
        <f t="shared" si="38"/>
        <v>#REF!</v>
      </c>
      <c r="U118" s="394" t="e">
        <f t="shared" si="38"/>
        <v>#REF!</v>
      </c>
      <c r="V118" s="394" t="e">
        <f t="shared" si="38"/>
        <v>#REF!</v>
      </c>
      <c r="W118" s="394" t="e">
        <f t="shared" si="35"/>
        <v>#REF!</v>
      </c>
    </row>
    <row r="119" spans="10:23" ht="12.75" customHeight="1" x14ac:dyDescent="0.15"/>
    <row r="120" spans="10:23" ht="12.75" customHeight="1" x14ac:dyDescent="0.15">
      <c r="J120" s="395" t="s">
        <v>192</v>
      </c>
      <c r="K120" s="395" t="e">
        <f>#REF!</f>
        <v>#REF!</v>
      </c>
      <c r="L120" s="395" t="e">
        <f>#REF!</f>
        <v>#REF!</v>
      </c>
      <c r="M120" s="395" t="e">
        <f>#REF!</f>
        <v>#REF!</v>
      </c>
      <c r="N120" s="395" t="e">
        <f>#REF!</f>
        <v>#REF!</v>
      </c>
      <c r="O120" s="395" t="e">
        <f>#REF!</f>
        <v>#REF!</v>
      </c>
      <c r="P120" s="395" t="e">
        <f>#REF!</f>
        <v>#REF!</v>
      </c>
      <c r="Q120" s="395" t="e">
        <f>#REF!</f>
        <v>#REF!</v>
      </c>
      <c r="R120" s="395" t="e">
        <f>#REF!</f>
        <v>#REF!</v>
      </c>
      <c r="S120" s="395" t="e">
        <f>#REF!</f>
        <v>#REF!</v>
      </c>
      <c r="T120" s="395" t="e">
        <f>#REF!</f>
        <v>#REF!</v>
      </c>
      <c r="U120" s="395" t="e">
        <f>#REF!</f>
        <v>#REF!</v>
      </c>
      <c r="V120" s="395" t="e">
        <f>#REF!</f>
        <v>#REF!</v>
      </c>
      <c r="W120" s="395" t="e">
        <f>#REF!</f>
        <v>#REF!</v>
      </c>
    </row>
    <row r="121" spans="10:23" ht="12.75" customHeight="1" x14ac:dyDescent="0.15">
      <c r="J121" s="396" t="s">
        <v>193</v>
      </c>
      <c r="K121" s="396" t="e">
        <f>#REF!</f>
        <v>#REF!</v>
      </c>
      <c r="L121" s="396" t="e">
        <f>#REF!</f>
        <v>#REF!</v>
      </c>
      <c r="M121" s="396" t="e">
        <f>#REF!</f>
        <v>#REF!</v>
      </c>
      <c r="N121" s="396" t="e">
        <f>#REF!</f>
        <v>#REF!</v>
      </c>
      <c r="O121" s="396" t="e">
        <f>#REF!</f>
        <v>#REF!</v>
      </c>
      <c r="P121" s="396" t="e">
        <f>#REF!</f>
        <v>#REF!</v>
      </c>
      <c r="Q121" s="396" t="e">
        <f>#REF!</f>
        <v>#REF!</v>
      </c>
      <c r="R121" s="396" t="e">
        <f>#REF!</f>
        <v>#REF!</v>
      </c>
      <c r="S121" s="396" t="e">
        <f>#REF!</f>
        <v>#REF!</v>
      </c>
      <c r="T121" s="396" t="e">
        <f>#REF!</f>
        <v>#REF!</v>
      </c>
      <c r="U121" s="396" t="e">
        <f>#REF!</f>
        <v>#REF!</v>
      </c>
      <c r="V121" s="396" t="e">
        <f>#REF!</f>
        <v>#REF!</v>
      </c>
      <c r="W121" s="396" t="e">
        <f>#REF!</f>
        <v>#REF!</v>
      </c>
    </row>
    <row r="122" spans="10:23" ht="12.75" customHeight="1" x14ac:dyDescent="0.15">
      <c r="J122" s="396" t="s">
        <v>194</v>
      </c>
      <c r="K122" s="396" t="e">
        <f>#REF!</f>
        <v>#REF!</v>
      </c>
      <c r="L122" s="396" t="e">
        <f>#REF!</f>
        <v>#REF!</v>
      </c>
      <c r="M122" s="396" t="e">
        <f>#REF!</f>
        <v>#REF!</v>
      </c>
      <c r="N122" s="396" t="e">
        <f>#REF!</f>
        <v>#REF!</v>
      </c>
      <c r="O122" s="396" t="e">
        <f>#REF!</f>
        <v>#REF!</v>
      </c>
      <c r="P122" s="396" t="e">
        <f>#REF!</f>
        <v>#REF!</v>
      </c>
      <c r="Q122" s="396" t="e">
        <f>#REF!</f>
        <v>#REF!</v>
      </c>
      <c r="R122" s="396" t="e">
        <f>#REF!</f>
        <v>#REF!</v>
      </c>
      <c r="S122" s="396" t="e">
        <f>#REF!</f>
        <v>#REF!</v>
      </c>
      <c r="T122" s="396" t="e">
        <f>#REF!</f>
        <v>#REF!</v>
      </c>
      <c r="U122" s="396" t="e">
        <f>#REF!</f>
        <v>#REF!</v>
      </c>
      <c r="V122" s="396" t="e">
        <f>#REF!</f>
        <v>#REF!</v>
      </c>
      <c r="W122" s="396" t="e">
        <f>#REF!</f>
        <v>#REF!</v>
      </c>
    </row>
  </sheetData>
  <phoneticPr fontId="6" type="noConversion"/>
  <pageMargins left="0.25" right="0.25" top="1" bottom="1" header="0.5" footer="0.5"/>
  <pageSetup paperSize="5" scale="5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2:Y131"/>
  <sheetViews>
    <sheetView topLeftCell="O19" zoomScale="75" workbookViewId="0">
      <selection activeCell="U59" sqref="U59"/>
    </sheetView>
  </sheetViews>
  <sheetFormatPr defaultColWidth="21" defaultRowHeight="12.75" x14ac:dyDescent="0.15"/>
  <cols>
    <col min="1" max="5" width="21" style="239" customWidth="1"/>
    <col min="6" max="6" width="40.3984375" style="239" customWidth="1"/>
    <col min="7" max="24" width="21" style="239" customWidth="1"/>
    <col min="25" max="25" width="9.796875" style="239" customWidth="1"/>
    <col min="26" max="16384" width="21" style="239"/>
  </cols>
  <sheetData>
    <row r="2" spans="1:25" ht="12.75" customHeight="1" x14ac:dyDescent="0.1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5" ht="12.75" customHeight="1" x14ac:dyDescent="0.1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5" ht="12.75" customHeight="1" x14ac:dyDescent="0.1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5" ht="12.75" customHeight="1" x14ac:dyDescent="0.1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5" ht="12.75" customHeight="1" x14ac:dyDescent="0.15">
      <c r="A6" s="239" t="s">
        <v>386</v>
      </c>
    </row>
    <row r="7" spans="1:25" ht="12.75" customHeight="1" x14ac:dyDescent="0.15"/>
    <row r="8" spans="1:25" ht="12.75" customHeight="1" x14ac:dyDescent="0.15"/>
    <row r="9" spans="1:25" ht="12.75" customHeight="1" x14ac:dyDescent="0.1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0" spans="1:25" ht="12.75" customHeight="1" x14ac:dyDescent="0.15">
      <c r="E10" s="243"/>
      <c r="H10" s="243"/>
      <c r="I10" s="242"/>
    </row>
    <row r="11" spans="1:25" ht="12.75" customHeight="1" x14ac:dyDescent="0.1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26751</v>
      </c>
      <c r="F11" s="239" t="s">
        <v>221</v>
      </c>
      <c r="H11" s="253">
        <v>36922</v>
      </c>
      <c r="I11" s="242">
        <v>20000</v>
      </c>
      <c r="J11" s="239">
        <v>0.03</v>
      </c>
      <c r="L11" s="242">
        <f t="shared" ref="L11:V12" si="0">$I11*$J11*L$2</f>
        <v>16800</v>
      </c>
      <c r="M11" s="242">
        <f t="shared" si="0"/>
        <v>18600</v>
      </c>
      <c r="N11" s="242">
        <f t="shared" si="0"/>
        <v>18000</v>
      </c>
      <c r="O11" s="242">
        <f t="shared" si="0"/>
        <v>18600</v>
      </c>
      <c r="P11" s="242">
        <f t="shared" si="0"/>
        <v>18000</v>
      </c>
      <c r="Q11" s="242">
        <f t="shared" si="0"/>
        <v>18600</v>
      </c>
      <c r="R11" s="242">
        <f t="shared" si="0"/>
        <v>18600</v>
      </c>
      <c r="S11" s="242">
        <f t="shared" si="0"/>
        <v>18000</v>
      </c>
      <c r="T11" s="242">
        <f t="shared" si="0"/>
        <v>18600</v>
      </c>
      <c r="U11" s="242">
        <f t="shared" si="0"/>
        <v>18000</v>
      </c>
      <c r="V11" s="242">
        <f t="shared" si="0"/>
        <v>18600</v>
      </c>
      <c r="W11" s="242">
        <f>SUM(K11:V11)</f>
        <v>200400</v>
      </c>
    </row>
    <row r="12" spans="1:25" ht="12.75" customHeight="1" x14ac:dyDescent="0.1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253">
        <v>37195</v>
      </c>
      <c r="I12" s="242">
        <v>70000</v>
      </c>
      <c r="J12" s="239">
        <v>0</v>
      </c>
      <c r="L12" s="242"/>
      <c r="M12" s="242"/>
      <c r="N12" s="242"/>
      <c r="O12" s="242"/>
      <c r="P12" s="242"/>
      <c r="Q12" s="242"/>
      <c r="R12" s="242"/>
      <c r="S12" s="242"/>
      <c r="T12" s="242"/>
      <c r="U12" s="242">
        <f t="shared" si="0"/>
        <v>0</v>
      </c>
      <c r="V12" s="242">
        <f t="shared" si="0"/>
        <v>0</v>
      </c>
      <c r="W12" s="242">
        <f>SUM(U12:V12)</f>
        <v>0</v>
      </c>
    </row>
    <row r="13" spans="1:25" ht="12.75" customHeight="1" x14ac:dyDescent="0.1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26683</v>
      </c>
      <c r="F13" s="239" t="s">
        <v>235</v>
      </c>
      <c r="G13" s="240">
        <v>36220</v>
      </c>
      <c r="H13" s="253">
        <v>36981</v>
      </c>
      <c r="I13" s="246">
        <v>8000</v>
      </c>
      <c r="J13" s="239">
        <v>0.03</v>
      </c>
      <c r="L13" s="242"/>
      <c r="M13" s="242"/>
      <c r="N13" s="242">
        <f t="shared" ref="N13:T13" si="1">$I13*$J13*N$2</f>
        <v>7200</v>
      </c>
      <c r="O13" s="242">
        <f t="shared" si="1"/>
        <v>7440</v>
      </c>
      <c r="P13" s="242">
        <f t="shared" si="1"/>
        <v>7200</v>
      </c>
      <c r="Q13" s="242">
        <f t="shared" si="1"/>
        <v>7440</v>
      </c>
      <c r="R13" s="242">
        <f t="shared" si="1"/>
        <v>7440</v>
      </c>
      <c r="S13" s="242">
        <f t="shared" si="1"/>
        <v>7200</v>
      </c>
      <c r="T13" s="242">
        <f t="shared" si="1"/>
        <v>7440</v>
      </c>
      <c r="U13" s="242">
        <f>$I13*$J13*U$2</f>
        <v>7200</v>
      </c>
      <c r="V13" s="242">
        <f>$I13*$J13*V$2</f>
        <v>7440</v>
      </c>
      <c r="W13" s="242">
        <f>SUM(K13:V13)</f>
        <v>66000</v>
      </c>
    </row>
    <row r="14" spans="1:25" ht="12.75" customHeight="1" x14ac:dyDescent="0.15">
      <c r="E14" s="243"/>
      <c r="H14" s="253"/>
      <c r="I14" s="242"/>
      <c r="L14" s="242"/>
      <c r="M14" s="242"/>
      <c r="N14" s="242"/>
      <c r="O14" s="242"/>
      <c r="P14" s="242"/>
      <c r="Q14" s="242"/>
      <c r="R14" s="242"/>
      <c r="S14" s="242"/>
      <c r="T14" s="242"/>
      <c r="U14" s="242"/>
      <c r="V14" s="242"/>
      <c r="W14" s="242"/>
    </row>
    <row r="15" spans="1:25" ht="12.75" customHeight="1" x14ac:dyDescent="0.15">
      <c r="E15" s="243"/>
      <c r="H15" s="253"/>
      <c r="I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</row>
    <row r="16" spans="1:25" ht="12.75" customHeight="1" x14ac:dyDescent="0.15">
      <c r="E16" s="243"/>
      <c r="H16" s="253"/>
      <c r="I16" s="242">
        <f>SUM(I11:I15)</f>
        <v>98000</v>
      </c>
      <c r="L16" s="242">
        <f>SUM(L11:L15)</f>
        <v>16800</v>
      </c>
      <c r="M16" s="242">
        <f t="shared" ref="M16:V16" si="2">SUM(M11:M15)</f>
        <v>18600</v>
      </c>
      <c r="N16" s="242">
        <f t="shared" si="2"/>
        <v>25200</v>
      </c>
      <c r="O16" s="242">
        <f t="shared" si="2"/>
        <v>26040</v>
      </c>
      <c r="P16" s="242">
        <f t="shared" si="2"/>
        <v>25200</v>
      </c>
      <c r="Q16" s="242">
        <f t="shared" si="2"/>
        <v>26040</v>
      </c>
      <c r="R16" s="242">
        <f t="shared" si="2"/>
        <v>26040</v>
      </c>
      <c r="S16" s="242">
        <f t="shared" si="2"/>
        <v>25200</v>
      </c>
      <c r="T16" s="242">
        <f t="shared" si="2"/>
        <v>26040</v>
      </c>
      <c r="U16" s="242">
        <f t="shared" si="2"/>
        <v>25200</v>
      </c>
      <c r="V16" s="242">
        <f t="shared" si="2"/>
        <v>26040</v>
      </c>
      <c r="W16" s="242">
        <f>SUM(W11:W15)</f>
        <v>266400</v>
      </c>
      <c r="X16" s="375">
        <f>W16</f>
        <v>266400</v>
      </c>
      <c r="Y16" s="375"/>
    </row>
    <row r="17" spans="1:25" ht="12.75" customHeight="1" x14ac:dyDescent="0.15">
      <c r="E17" s="243"/>
      <c r="H17" s="253"/>
      <c r="I17" s="242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</row>
    <row r="18" spans="1:25" ht="12.75" customHeight="1" x14ac:dyDescent="0.2">
      <c r="A18" s="239" t="s">
        <v>163</v>
      </c>
      <c r="B18" s="239" t="s">
        <v>282</v>
      </c>
      <c r="C18" s="239" t="s">
        <v>228</v>
      </c>
      <c r="D18" s="239" t="s">
        <v>220</v>
      </c>
      <c r="E18" s="322">
        <v>24194</v>
      </c>
      <c r="F18" s="266" t="s">
        <v>273</v>
      </c>
      <c r="H18" s="269">
        <v>37164</v>
      </c>
      <c r="I18" s="273">
        <v>25000</v>
      </c>
      <c r="J18" s="239">
        <v>0.09</v>
      </c>
      <c r="L18" s="242"/>
      <c r="M18" s="242"/>
      <c r="N18" s="242"/>
      <c r="O18" s="242"/>
      <c r="P18" s="242"/>
      <c r="Q18" s="242"/>
      <c r="R18" s="242"/>
      <c r="S18" s="242"/>
      <c r="T18" s="242">
        <f>10000*$J18*T$2</f>
        <v>27900</v>
      </c>
      <c r="U18" s="242">
        <f>40000*$J18*U$2</f>
        <v>108000</v>
      </c>
      <c r="V18" s="242">
        <f>40000*$J18*V$2</f>
        <v>111600</v>
      </c>
      <c r="W18" s="242">
        <f>SUM(K18:V18)</f>
        <v>247500</v>
      </c>
    </row>
    <row r="19" spans="1:25" ht="12.75" customHeight="1" x14ac:dyDescent="0.2">
      <c r="E19" s="322"/>
      <c r="F19" s="266"/>
      <c r="H19" s="269"/>
      <c r="I19" s="273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</row>
    <row r="20" spans="1:25" ht="12.75" customHeight="1" x14ac:dyDescent="0.2">
      <c r="A20" s="239" t="s">
        <v>163</v>
      </c>
      <c r="B20" s="239" t="s">
        <v>282</v>
      </c>
      <c r="C20" s="239" t="s">
        <v>228</v>
      </c>
      <c r="D20" s="239" t="s">
        <v>220</v>
      </c>
      <c r="E20" s="323">
        <v>24690</v>
      </c>
      <c r="F20" s="267" t="s">
        <v>277</v>
      </c>
      <c r="H20" s="268">
        <v>36981</v>
      </c>
      <c r="I20" s="275">
        <v>0</v>
      </c>
      <c r="J20" s="239">
        <v>1.4999999999999999E-2</v>
      </c>
      <c r="L20" s="242"/>
      <c r="M20" s="242"/>
      <c r="N20" s="242">
        <f t="shared" ref="N20:S22" si="3">$I20*$J20*N$2</f>
        <v>0</v>
      </c>
      <c r="O20" s="242">
        <f t="shared" si="3"/>
        <v>0</v>
      </c>
      <c r="P20" s="242">
        <f t="shared" si="3"/>
        <v>0</v>
      </c>
      <c r="Q20" s="242">
        <f t="shared" si="3"/>
        <v>0</v>
      </c>
      <c r="R20" s="242">
        <f t="shared" si="3"/>
        <v>0</v>
      </c>
      <c r="S20" s="242">
        <f t="shared" si="3"/>
        <v>0</v>
      </c>
      <c r="T20" s="242">
        <f>$I20*$J20*T$2</f>
        <v>0</v>
      </c>
      <c r="U20" s="242">
        <f>$I20*$J20*U$2</f>
        <v>0</v>
      </c>
      <c r="V20" s="242">
        <f>$I20*$J20*V$2</f>
        <v>0</v>
      </c>
      <c r="W20" s="242">
        <f>SUM(K20:V20)</f>
        <v>0</v>
      </c>
    </row>
    <row r="21" spans="1:25" ht="12.75" customHeight="1" x14ac:dyDescent="0.2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24754</v>
      </c>
      <c r="F21" s="267" t="s">
        <v>278</v>
      </c>
      <c r="H21" s="271">
        <v>37011</v>
      </c>
      <c r="I21" s="275">
        <v>1000</v>
      </c>
      <c r="J21" s="239" t="s">
        <v>385</v>
      </c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</row>
    <row r="22" spans="1:25" ht="12.75" customHeight="1" x14ac:dyDescent="0.2">
      <c r="A22" s="239" t="s">
        <v>163</v>
      </c>
      <c r="B22" s="239" t="s">
        <v>282</v>
      </c>
      <c r="C22" s="239" t="s">
        <v>228</v>
      </c>
      <c r="D22" s="239" t="s">
        <v>220</v>
      </c>
      <c r="E22" s="323" t="s">
        <v>280</v>
      </c>
      <c r="F22" s="267" t="s">
        <v>236</v>
      </c>
      <c r="H22" s="268">
        <v>36950</v>
      </c>
      <c r="I22" s="275">
        <v>10000</v>
      </c>
      <c r="J22" s="239">
        <v>5.0000000000000001E-3</v>
      </c>
      <c r="L22" s="242"/>
      <c r="M22" s="242">
        <f>$I22*$J22*M$2</f>
        <v>1550</v>
      </c>
      <c r="N22" s="242">
        <f>$I22*$J22*N$2</f>
        <v>1500</v>
      </c>
      <c r="O22" s="242">
        <f t="shared" si="3"/>
        <v>1550</v>
      </c>
      <c r="P22" s="242">
        <f t="shared" si="3"/>
        <v>1500</v>
      </c>
      <c r="Q22" s="242">
        <f t="shared" si="3"/>
        <v>1550</v>
      </c>
      <c r="R22" s="242">
        <f t="shared" si="3"/>
        <v>1550</v>
      </c>
      <c r="S22" s="242">
        <f>$I22*$J22*S$2</f>
        <v>1500</v>
      </c>
      <c r="T22" s="242">
        <f>$I22*$J22*T$2</f>
        <v>1550</v>
      </c>
      <c r="U22" s="242">
        <f>$I22*$J22*U$2</f>
        <v>1500</v>
      </c>
      <c r="V22" s="242">
        <f>$I22*$J22*V$2</f>
        <v>1550</v>
      </c>
      <c r="W22" s="242">
        <f>SUM(K22:V22)</f>
        <v>15300</v>
      </c>
    </row>
    <row r="23" spans="1:25" ht="12.75" customHeight="1" x14ac:dyDescent="0.2">
      <c r="A23" s="239" t="s">
        <v>163</v>
      </c>
      <c r="B23" s="239" t="s">
        <v>282</v>
      </c>
      <c r="C23" s="239" t="s">
        <v>228</v>
      </c>
      <c r="D23" s="239" t="s">
        <v>220</v>
      </c>
      <c r="E23" s="323">
        <v>27161</v>
      </c>
      <c r="F23" s="267" t="s">
        <v>276</v>
      </c>
      <c r="H23" s="268">
        <v>37195</v>
      </c>
      <c r="I23" s="274">
        <v>400000</v>
      </c>
      <c r="J23" s="239">
        <v>7.4999999999999997E-3</v>
      </c>
      <c r="L23" s="242"/>
      <c r="M23" s="242"/>
      <c r="N23" s="242"/>
      <c r="O23" s="242"/>
      <c r="P23" s="242"/>
      <c r="Q23" s="242"/>
      <c r="R23" s="242"/>
      <c r="S23" s="242"/>
      <c r="T23" s="242"/>
      <c r="U23" s="246">
        <v>90000</v>
      </c>
      <c r="V23" s="246">
        <v>93000</v>
      </c>
      <c r="W23" s="242">
        <f>SUM(K23:V23)</f>
        <v>183000</v>
      </c>
    </row>
    <row r="24" spans="1:25" ht="12.75" customHeight="1" x14ac:dyDescent="0.2">
      <c r="E24" s="323">
        <v>27161</v>
      </c>
      <c r="F24" s="267" t="s">
        <v>404</v>
      </c>
      <c r="H24" s="268"/>
      <c r="I24" s="274"/>
      <c r="J24" s="239">
        <v>9.2999999999999992E-3</v>
      </c>
      <c r="L24" s="242"/>
      <c r="M24" s="242"/>
      <c r="N24" s="242"/>
      <c r="O24" s="242"/>
      <c r="P24" s="242"/>
      <c r="Q24" s="242"/>
      <c r="R24" s="242"/>
      <c r="S24" s="242"/>
      <c r="T24" s="242"/>
      <c r="U24" s="246">
        <v>39060</v>
      </c>
      <c r="V24" s="246">
        <v>40362</v>
      </c>
      <c r="W24" s="242">
        <f>SUM(K24:V24)</f>
        <v>79422</v>
      </c>
    </row>
    <row r="25" spans="1:25" ht="12.75" customHeight="1" x14ac:dyDescent="0.2">
      <c r="A25" s="239" t="s">
        <v>163</v>
      </c>
      <c r="B25" s="239" t="s">
        <v>282</v>
      </c>
      <c r="C25" s="239" t="s">
        <v>228</v>
      </c>
      <c r="D25" s="239" t="s">
        <v>220</v>
      </c>
      <c r="E25" s="323" t="s">
        <v>281</v>
      </c>
      <c r="F25" s="267" t="s">
        <v>230</v>
      </c>
      <c r="H25" s="268">
        <v>37195</v>
      </c>
      <c r="I25" s="376">
        <v>40000</v>
      </c>
      <c r="J25" s="239">
        <v>0</v>
      </c>
      <c r="L25" s="245"/>
      <c r="M25" s="245"/>
      <c r="N25" s="245"/>
      <c r="O25" s="245"/>
      <c r="P25" s="245"/>
      <c r="Q25" s="245"/>
      <c r="R25" s="245"/>
      <c r="S25" s="245"/>
      <c r="T25" s="245"/>
      <c r="U25" s="245">
        <f>$I25*$J25*U$2</f>
        <v>0</v>
      </c>
      <c r="V25" s="245">
        <f>$I25*$J25*V$2</f>
        <v>0</v>
      </c>
      <c r="W25" s="242">
        <f>SUM(K25:V25)</f>
        <v>0</v>
      </c>
    </row>
    <row r="26" spans="1:25" ht="12.75" customHeight="1" x14ac:dyDescent="0.2">
      <c r="E26" s="323"/>
      <c r="F26" s="267"/>
      <c r="H26" s="268"/>
      <c r="I26" s="274">
        <f>SUM(I18:I25)</f>
        <v>476000</v>
      </c>
      <c r="L26" s="242">
        <f>SUM(L18:L25)</f>
        <v>0</v>
      </c>
      <c r="M26" s="242">
        <f t="shared" ref="M26:V26" si="4">SUM(M18:M25)</f>
        <v>1550</v>
      </c>
      <c r="N26" s="242">
        <f t="shared" si="4"/>
        <v>1500</v>
      </c>
      <c r="O26" s="242">
        <f t="shared" si="4"/>
        <v>1550</v>
      </c>
      <c r="P26" s="242">
        <f t="shared" si="4"/>
        <v>1500</v>
      </c>
      <c r="Q26" s="242">
        <f t="shared" si="4"/>
        <v>1550</v>
      </c>
      <c r="R26" s="242">
        <f t="shared" si="4"/>
        <v>1550</v>
      </c>
      <c r="S26" s="242">
        <f t="shared" si="4"/>
        <v>1500</v>
      </c>
      <c r="T26" s="242">
        <f t="shared" si="4"/>
        <v>29450</v>
      </c>
      <c r="U26" s="242">
        <f t="shared" si="4"/>
        <v>238560</v>
      </c>
      <c r="V26" s="242">
        <f t="shared" si="4"/>
        <v>246512</v>
      </c>
      <c r="W26" s="242">
        <f>SUM(W18:W25)</f>
        <v>525222</v>
      </c>
      <c r="X26" s="375">
        <f>W26</f>
        <v>525222</v>
      </c>
      <c r="Y26" s="375"/>
    </row>
    <row r="27" spans="1:25" ht="12.75" customHeight="1" x14ac:dyDescent="0.2">
      <c r="E27" s="323"/>
      <c r="F27" s="267"/>
      <c r="H27" s="268"/>
      <c r="I27" s="274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</row>
    <row r="28" spans="1:25" ht="12.75" customHeight="1" x14ac:dyDescent="0.15">
      <c r="A28" s="239" t="s">
        <v>261</v>
      </c>
      <c r="B28" s="239" t="s">
        <v>268</v>
      </c>
      <c r="C28" s="239" t="s">
        <v>228</v>
      </c>
      <c r="D28" s="239" t="s">
        <v>220</v>
      </c>
      <c r="E28" s="244">
        <v>25067</v>
      </c>
      <c r="F28" s="261" t="s">
        <v>262</v>
      </c>
      <c r="H28" s="253">
        <v>37225</v>
      </c>
      <c r="I28" s="242">
        <v>15000</v>
      </c>
      <c r="J28" s="239">
        <v>0.03</v>
      </c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>
        <f t="shared" ref="V28:V37" si="5">$I28*$J28*V$2</f>
        <v>13950</v>
      </c>
      <c r="W28" s="242">
        <f>SUM(K28:V28)</f>
        <v>13950</v>
      </c>
    </row>
    <row r="29" spans="1:25" ht="12.75" customHeight="1" x14ac:dyDescent="0.15">
      <c r="E29" s="255"/>
      <c r="F29" s="262"/>
      <c r="H29" s="253"/>
      <c r="I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</row>
    <row r="30" spans="1:25" ht="12.75" customHeight="1" x14ac:dyDescent="0.15">
      <c r="A30" s="239" t="s">
        <v>261</v>
      </c>
      <c r="B30" s="239" t="s">
        <v>269</v>
      </c>
      <c r="C30" s="239" t="s">
        <v>228</v>
      </c>
      <c r="D30" s="239" t="s">
        <v>220</v>
      </c>
      <c r="E30" s="255">
        <v>24926</v>
      </c>
      <c r="F30" s="262" t="s">
        <v>271</v>
      </c>
      <c r="H30" s="253">
        <v>36922</v>
      </c>
      <c r="I30" s="242">
        <v>21200</v>
      </c>
      <c r="J30" s="239">
        <v>0.01</v>
      </c>
      <c r="L30" s="242">
        <f t="shared" ref="K30:V37" si="6">$I30*$J30*L$2</f>
        <v>5936</v>
      </c>
      <c r="M30" s="242">
        <f t="shared" si="6"/>
        <v>6572</v>
      </c>
      <c r="N30" s="242">
        <f t="shared" si="6"/>
        <v>6360</v>
      </c>
      <c r="O30" s="242">
        <f t="shared" si="6"/>
        <v>6572</v>
      </c>
      <c r="P30" s="242">
        <f t="shared" si="6"/>
        <v>6360</v>
      </c>
      <c r="Q30" s="242">
        <f t="shared" si="6"/>
        <v>6572</v>
      </c>
      <c r="R30" s="242">
        <f t="shared" si="6"/>
        <v>6572</v>
      </c>
      <c r="S30" s="242">
        <f t="shared" si="6"/>
        <v>6360</v>
      </c>
      <c r="T30" s="242">
        <f t="shared" si="6"/>
        <v>6572</v>
      </c>
      <c r="U30" s="242">
        <f t="shared" si="6"/>
        <v>6360</v>
      </c>
      <c r="V30" s="242">
        <f t="shared" si="5"/>
        <v>6572</v>
      </c>
      <c r="W30" s="242">
        <f t="shared" ref="W30:W37" si="7">SUM(K30:V30)</f>
        <v>70808</v>
      </c>
    </row>
    <row r="31" spans="1:25" ht="12.75" customHeight="1" x14ac:dyDescent="0.15">
      <c r="E31" s="255"/>
      <c r="F31" s="262"/>
      <c r="H31" s="253"/>
      <c r="I31" s="242">
        <v>4000</v>
      </c>
      <c r="J31" s="239">
        <v>0.04</v>
      </c>
      <c r="L31" s="242">
        <f t="shared" si="6"/>
        <v>4480</v>
      </c>
      <c r="M31" s="242">
        <f t="shared" si="6"/>
        <v>4960</v>
      </c>
      <c r="N31" s="242">
        <f t="shared" si="6"/>
        <v>4800</v>
      </c>
      <c r="O31" s="242">
        <f t="shared" si="6"/>
        <v>4960</v>
      </c>
      <c r="P31" s="242">
        <f t="shared" si="6"/>
        <v>4800</v>
      </c>
      <c r="Q31" s="242">
        <f t="shared" si="6"/>
        <v>4960</v>
      </c>
      <c r="R31" s="242">
        <f t="shared" si="6"/>
        <v>4960</v>
      </c>
      <c r="S31" s="242">
        <f t="shared" si="6"/>
        <v>4800</v>
      </c>
      <c r="T31" s="242">
        <f t="shared" si="6"/>
        <v>4960</v>
      </c>
      <c r="U31" s="242">
        <f t="shared" si="6"/>
        <v>4800</v>
      </c>
      <c r="V31" s="242">
        <f t="shared" si="6"/>
        <v>4960</v>
      </c>
      <c r="W31" s="242">
        <f t="shared" si="7"/>
        <v>53440</v>
      </c>
    </row>
    <row r="32" spans="1:25" ht="12.75" customHeight="1" x14ac:dyDescent="0.2">
      <c r="A32" s="471" t="s">
        <v>261</v>
      </c>
      <c r="B32" s="471" t="s">
        <v>268</v>
      </c>
      <c r="C32" s="471" t="s">
        <v>228</v>
      </c>
      <c r="D32" s="471" t="s">
        <v>220</v>
      </c>
      <c r="E32" s="478"/>
      <c r="F32" s="479" t="s">
        <v>239</v>
      </c>
      <c r="G32" s="480">
        <v>35704</v>
      </c>
      <c r="H32" s="480">
        <v>36891</v>
      </c>
      <c r="I32" s="481">
        <v>30000</v>
      </c>
      <c r="J32" s="471"/>
      <c r="K32" s="473">
        <f t="shared" si="6"/>
        <v>0</v>
      </c>
      <c r="L32" s="473">
        <f t="shared" si="6"/>
        <v>0</v>
      </c>
      <c r="M32" s="473">
        <f t="shared" si="6"/>
        <v>0</v>
      </c>
      <c r="N32" s="473">
        <f t="shared" si="6"/>
        <v>0</v>
      </c>
      <c r="O32" s="473">
        <f t="shared" si="6"/>
        <v>0</v>
      </c>
      <c r="P32" s="473">
        <f t="shared" si="6"/>
        <v>0</v>
      </c>
      <c r="Q32" s="473">
        <f t="shared" si="6"/>
        <v>0</v>
      </c>
      <c r="R32" s="473">
        <f t="shared" si="6"/>
        <v>0</v>
      </c>
      <c r="S32" s="473">
        <f t="shared" si="6"/>
        <v>0</v>
      </c>
      <c r="T32" s="473">
        <f t="shared" si="6"/>
        <v>0</v>
      </c>
      <c r="U32" s="473">
        <f t="shared" si="6"/>
        <v>0</v>
      </c>
      <c r="V32" s="473">
        <f t="shared" si="5"/>
        <v>0</v>
      </c>
      <c r="W32" s="242">
        <f t="shared" si="7"/>
        <v>0</v>
      </c>
    </row>
    <row r="33" spans="1:24" ht="12.75" customHeight="1" x14ac:dyDescent="0.2">
      <c r="A33" s="239" t="s">
        <v>261</v>
      </c>
      <c r="B33" s="239" t="s">
        <v>268</v>
      </c>
      <c r="C33" s="239" t="s">
        <v>228</v>
      </c>
      <c r="D33" s="239" t="s">
        <v>220</v>
      </c>
      <c r="E33" s="323">
        <v>26661</v>
      </c>
      <c r="F33" s="267" t="s">
        <v>316</v>
      </c>
      <c r="G33" s="268">
        <v>36526</v>
      </c>
      <c r="H33" s="268">
        <v>36891</v>
      </c>
      <c r="I33" s="274">
        <v>18000</v>
      </c>
      <c r="J33" s="239">
        <v>0.03</v>
      </c>
      <c r="K33" s="242">
        <f t="shared" si="6"/>
        <v>16740</v>
      </c>
      <c r="L33" s="242">
        <f t="shared" si="6"/>
        <v>15120</v>
      </c>
      <c r="M33" s="242">
        <f t="shared" si="6"/>
        <v>16740</v>
      </c>
      <c r="N33" s="242">
        <f t="shared" si="6"/>
        <v>16200</v>
      </c>
      <c r="O33" s="242">
        <f t="shared" si="6"/>
        <v>16740</v>
      </c>
      <c r="P33" s="242">
        <f t="shared" si="6"/>
        <v>16200</v>
      </c>
      <c r="Q33" s="242">
        <f t="shared" si="6"/>
        <v>16740</v>
      </c>
      <c r="R33" s="242">
        <f t="shared" si="6"/>
        <v>16740</v>
      </c>
      <c r="S33" s="242">
        <f t="shared" si="6"/>
        <v>16200</v>
      </c>
      <c r="T33" s="242">
        <f t="shared" si="6"/>
        <v>16740</v>
      </c>
      <c r="U33" s="242">
        <f t="shared" si="6"/>
        <v>16200</v>
      </c>
      <c r="V33" s="242">
        <f t="shared" si="5"/>
        <v>16740</v>
      </c>
      <c r="W33" s="242">
        <f t="shared" si="7"/>
        <v>197100</v>
      </c>
    </row>
    <row r="34" spans="1:24" ht="12.75" customHeight="1" x14ac:dyDescent="0.2">
      <c r="A34" s="471" t="s">
        <v>261</v>
      </c>
      <c r="B34" s="471" t="s">
        <v>269</v>
      </c>
      <c r="C34" s="471" t="s">
        <v>228</v>
      </c>
      <c r="D34" s="471" t="s">
        <v>220</v>
      </c>
      <c r="E34" s="478" t="s">
        <v>317</v>
      </c>
      <c r="F34" s="479" t="s">
        <v>318</v>
      </c>
      <c r="G34" s="480">
        <v>36526</v>
      </c>
      <c r="H34" s="480">
        <v>36891</v>
      </c>
      <c r="I34" s="481">
        <v>13500</v>
      </c>
      <c r="J34" s="471"/>
      <c r="K34" s="473">
        <f t="shared" si="6"/>
        <v>0</v>
      </c>
      <c r="L34" s="473">
        <f t="shared" si="6"/>
        <v>0</v>
      </c>
      <c r="M34" s="473">
        <f t="shared" si="6"/>
        <v>0</v>
      </c>
      <c r="N34" s="473">
        <f t="shared" si="6"/>
        <v>0</v>
      </c>
      <c r="O34" s="473">
        <f t="shared" si="6"/>
        <v>0</v>
      </c>
      <c r="P34" s="473">
        <f t="shared" si="6"/>
        <v>0</v>
      </c>
      <c r="Q34" s="473">
        <f t="shared" si="6"/>
        <v>0</v>
      </c>
      <c r="R34" s="473">
        <f t="shared" si="6"/>
        <v>0</v>
      </c>
      <c r="S34" s="473">
        <f t="shared" si="6"/>
        <v>0</v>
      </c>
      <c r="T34" s="473">
        <f t="shared" si="6"/>
        <v>0</v>
      </c>
      <c r="U34" s="473">
        <f t="shared" si="6"/>
        <v>0</v>
      </c>
      <c r="V34" s="473">
        <f t="shared" si="5"/>
        <v>0</v>
      </c>
      <c r="W34" s="242">
        <f t="shared" si="7"/>
        <v>0</v>
      </c>
    </row>
    <row r="35" spans="1:24" ht="12.75" customHeight="1" x14ac:dyDescent="0.2">
      <c r="A35" s="471" t="s">
        <v>261</v>
      </c>
      <c r="B35" s="471" t="s">
        <v>269</v>
      </c>
      <c r="C35" s="471" t="s">
        <v>228</v>
      </c>
      <c r="D35" s="471" t="s">
        <v>220</v>
      </c>
      <c r="E35" s="478">
        <v>27047</v>
      </c>
      <c r="F35" s="479" t="s">
        <v>319</v>
      </c>
      <c r="G35" s="480">
        <v>36557</v>
      </c>
      <c r="H35" s="480">
        <v>36891</v>
      </c>
      <c r="I35" s="481">
        <v>125000</v>
      </c>
      <c r="J35" s="471"/>
      <c r="K35" s="473">
        <f t="shared" si="6"/>
        <v>0</v>
      </c>
      <c r="L35" s="473">
        <f t="shared" si="6"/>
        <v>0</v>
      </c>
      <c r="M35" s="473">
        <f t="shared" si="6"/>
        <v>0</v>
      </c>
      <c r="N35" s="473">
        <f t="shared" si="6"/>
        <v>0</v>
      </c>
      <c r="O35" s="473">
        <f t="shared" si="6"/>
        <v>0</v>
      </c>
      <c r="P35" s="473">
        <f t="shared" si="6"/>
        <v>0</v>
      </c>
      <c r="Q35" s="473">
        <f t="shared" si="6"/>
        <v>0</v>
      </c>
      <c r="R35" s="473">
        <f t="shared" si="6"/>
        <v>0</v>
      </c>
      <c r="S35" s="473">
        <f t="shared" si="6"/>
        <v>0</v>
      </c>
      <c r="T35" s="473">
        <f t="shared" si="6"/>
        <v>0</v>
      </c>
      <c r="U35" s="473">
        <f t="shared" si="6"/>
        <v>0</v>
      </c>
      <c r="V35" s="473">
        <f t="shared" si="5"/>
        <v>0</v>
      </c>
      <c r="W35" s="242">
        <f t="shared" si="7"/>
        <v>0</v>
      </c>
    </row>
    <row r="36" spans="1:24" ht="12.75" customHeight="1" x14ac:dyDescent="0.2">
      <c r="A36" s="239" t="s">
        <v>261</v>
      </c>
      <c r="B36" s="239" t="s">
        <v>269</v>
      </c>
      <c r="C36" s="239" t="s">
        <v>228</v>
      </c>
      <c r="D36" s="239" t="s">
        <v>220</v>
      </c>
      <c r="E36" s="323"/>
      <c r="F36" s="267" t="s">
        <v>384</v>
      </c>
      <c r="G36" s="268"/>
      <c r="H36" s="268"/>
      <c r="I36" s="274">
        <v>0</v>
      </c>
      <c r="J36" s="239">
        <v>0.01</v>
      </c>
      <c r="K36" s="242">
        <f t="shared" si="6"/>
        <v>0</v>
      </c>
      <c r="L36" s="242">
        <f t="shared" si="6"/>
        <v>0</v>
      </c>
      <c r="M36" s="242">
        <f t="shared" si="6"/>
        <v>0</v>
      </c>
      <c r="N36" s="242">
        <f t="shared" si="6"/>
        <v>0</v>
      </c>
      <c r="O36" s="242">
        <f t="shared" si="6"/>
        <v>0</v>
      </c>
      <c r="P36" s="242">
        <f t="shared" si="6"/>
        <v>0</v>
      </c>
      <c r="Q36" s="242">
        <f t="shared" si="6"/>
        <v>0</v>
      </c>
      <c r="R36" s="242">
        <f t="shared" si="6"/>
        <v>0</v>
      </c>
      <c r="S36" s="242">
        <f t="shared" si="6"/>
        <v>0</v>
      </c>
      <c r="T36" s="242">
        <f t="shared" si="6"/>
        <v>0</v>
      </c>
      <c r="U36" s="242">
        <f t="shared" si="6"/>
        <v>0</v>
      </c>
      <c r="V36" s="242">
        <f t="shared" si="6"/>
        <v>0</v>
      </c>
      <c r="W36" s="242">
        <f t="shared" si="7"/>
        <v>0</v>
      </c>
    </row>
    <row r="37" spans="1:24" ht="12.75" customHeight="1" x14ac:dyDescent="0.2">
      <c r="A37" s="239" t="s">
        <v>261</v>
      </c>
      <c r="B37" s="239" t="s">
        <v>269</v>
      </c>
      <c r="C37" s="239" t="s">
        <v>228</v>
      </c>
      <c r="D37" s="239" t="s">
        <v>220</v>
      </c>
      <c r="E37" s="323"/>
      <c r="F37" s="267"/>
      <c r="G37" s="268"/>
      <c r="H37" s="268"/>
      <c r="I37" s="376"/>
      <c r="K37" s="245">
        <f t="shared" si="6"/>
        <v>0</v>
      </c>
      <c r="L37" s="245">
        <f t="shared" si="6"/>
        <v>0</v>
      </c>
      <c r="M37" s="245">
        <f t="shared" si="6"/>
        <v>0</v>
      </c>
      <c r="N37" s="245">
        <f t="shared" si="6"/>
        <v>0</v>
      </c>
      <c r="O37" s="245">
        <f t="shared" si="6"/>
        <v>0</v>
      </c>
      <c r="P37" s="245">
        <f t="shared" si="6"/>
        <v>0</v>
      </c>
      <c r="Q37" s="245">
        <f t="shared" si="6"/>
        <v>0</v>
      </c>
      <c r="R37" s="245">
        <f t="shared" si="6"/>
        <v>0</v>
      </c>
      <c r="S37" s="245">
        <f t="shared" si="6"/>
        <v>0</v>
      </c>
      <c r="T37" s="245">
        <f t="shared" si="6"/>
        <v>0</v>
      </c>
      <c r="U37" s="245">
        <f t="shared" si="6"/>
        <v>0</v>
      </c>
      <c r="V37" s="245">
        <f t="shared" si="5"/>
        <v>0</v>
      </c>
      <c r="W37" s="245">
        <f t="shared" si="7"/>
        <v>0</v>
      </c>
    </row>
    <row r="38" spans="1:24" ht="12.75" customHeight="1" x14ac:dyDescent="0.15">
      <c r="I38" s="375">
        <f>SUM(I28:I37)</f>
        <v>226700</v>
      </c>
      <c r="K38" s="375">
        <f>SUM(K28:K37)</f>
        <v>16740</v>
      </c>
      <c r="L38" s="375">
        <f>SUM(L28:L37)</f>
        <v>25536</v>
      </c>
      <c r="M38" s="375">
        <f t="shared" ref="M38:V38" si="8">SUM(M28:M37)</f>
        <v>28272</v>
      </c>
      <c r="N38" s="375">
        <f t="shared" si="8"/>
        <v>27360</v>
      </c>
      <c r="O38" s="375">
        <f t="shared" si="8"/>
        <v>28272</v>
      </c>
      <c r="P38" s="375">
        <f t="shared" si="8"/>
        <v>27360</v>
      </c>
      <c r="Q38" s="375">
        <f t="shared" si="8"/>
        <v>28272</v>
      </c>
      <c r="R38" s="375">
        <f t="shared" si="8"/>
        <v>28272</v>
      </c>
      <c r="S38" s="375">
        <f t="shared" si="8"/>
        <v>27360</v>
      </c>
      <c r="T38" s="375">
        <f t="shared" si="8"/>
        <v>28272</v>
      </c>
      <c r="U38" s="375">
        <f t="shared" si="8"/>
        <v>27360</v>
      </c>
      <c r="V38" s="375">
        <f t="shared" si="8"/>
        <v>42222</v>
      </c>
      <c r="W38" s="375">
        <f>SUM(W28:W37)</f>
        <v>335298</v>
      </c>
      <c r="X38" s="375">
        <f>W38</f>
        <v>335298</v>
      </c>
    </row>
    <row r="39" spans="1:24" ht="12.75" customHeight="1" x14ac:dyDescent="0.15">
      <c r="I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</row>
    <row r="40" spans="1:24" ht="12.75" customHeight="1" x14ac:dyDescent="0.15">
      <c r="I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</row>
    <row r="41" spans="1:24" ht="12.75" customHeight="1" x14ac:dyDescent="0.15">
      <c r="A41" s="239" t="s">
        <v>163</v>
      </c>
      <c r="B41" s="239" t="s">
        <v>282</v>
      </c>
      <c r="C41" s="239" t="s">
        <v>228</v>
      </c>
      <c r="D41" s="239" t="s">
        <v>362</v>
      </c>
      <c r="I41" s="375"/>
      <c r="K41" s="375">
        <v>35200</v>
      </c>
      <c r="L41" s="375">
        <v>23900</v>
      </c>
      <c r="M41" s="375">
        <v>26400</v>
      </c>
      <c r="N41" s="375">
        <v>23900</v>
      </c>
      <c r="O41" s="375">
        <v>20000</v>
      </c>
      <c r="P41" s="375">
        <v>23900</v>
      </c>
      <c r="Q41" s="375">
        <v>22800</v>
      </c>
      <c r="R41" s="375">
        <v>12200</v>
      </c>
      <c r="S41" s="375">
        <v>20200</v>
      </c>
      <c r="T41" s="375">
        <v>10600</v>
      </c>
      <c r="U41" s="375">
        <v>13800</v>
      </c>
      <c r="V41" s="239">
        <v>27300</v>
      </c>
    </row>
    <row r="42" spans="1:24" ht="12.75" customHeight="1" x14ac:dyDescent="0.15">
      <c r="A42" s="239" t="s">
        <v>163</v>
      </c>
      <c r="B42" s="239" t="s">
        <v>282</v>
      </c>
      <c r="C42" s="239" t="s">
        <v>157</v>
      </c>
      <c r="D42" s="239" t="s">
        <v>362</v>
      </c>
      <c r="I42" s="375"/>
      <c r="K42" s="484">
        <v>5.2900000000000003E-2</v>
      </c>
      <c r="L42" s="484">
        <v>3.7600000000000001E-2</v>
      </c>
      <c r="M42" s="484">
        <v>5.0200000000000002E-2</v>
      </c>
      <c r="N42" s="484">
        <v>3.7999999999999999E-2</v>
      </c>
      <c r="O42" s="484">
        <v>4.4299999999999999E-2</v>
      </c>
      <c r="P42" s="484">
        <v>4.7800000000000002E-2</v>
      </c>
      <c r="Q42" s="484">
        <v>6.0299999999999999E-2</v>
      </c>
      <c r="R42" s="484">
        <v>3.2300000000000002E-2</v>
      </c>
      <c r="S42" s="484">
        <v>0.04</v>
      </c>
      <c r="T42" s="484">
        <v>3.1199999999999999E-2</v>
      </c>
      <c r="U42" s="484">
        <v>4.2700000000000002E-2</v>
      </c>
      <c r="V42" s="484">
        <v>4.9099999999999998E-2</v>
      </c>
    </row>
    <row r="43" spans="1:24" ht="12.75" customHeight="1" x14ac:dyDescent="0.15">
      <c r="A43" s="239" t="s">
        <v>163</v>
      </c>
      <c r="B43" s="239" t="s">
        <v>282</v>
      </c>
      <c r="C43" s="239" t="s">
        <v>229</v>
      </c>
      <c r="D43" s="239" t="s">
        <v>362</v>
      </c>
      <c r="I43" s="375"/>
      <c r="K43" s="375">
        <v>57724.480000000003</v>
      </c>
      <c r="L43" s="375">
        <v>25161.919999999998</v>
      </c>
      <c r="M43" s="375">
        <v>41083.68</v>
      </c>
      <c r="N43" s="375">
        <v>27246</v>
      </c>
      <c r="O43" s="375">
        <v>27466</v>
      </c>
      <c r="P43" s="375">
        <v>34272.6</v>
      </c>
      <c r="Q43" s="375">
        <v>42620.04</v>
      </c>
      <c r="R43" s="375">
        <v>12215.86</v>
      </c>
      <c r="S43" s="375">
        <v>24240</v>
      </c>
      <c r="T43" s="375">
        <v>10252.32</v>
      </c>
      <c r="U43" s="375">
        <v>17677.8</v>
      </c>
      <c r="V43" s="239">
        <v>41553.33</v>
      </c>
      <c r="W43" s="375">
        <f>SUM(K43:V43)</f>
        <v>361514.03</v>
      </c>
      <c r="X43" s="375">
        <f>W43</f>
        <v>361514.03</v>
      </c>
    </row>
    <row r="44" spans="1:24" ht="12.75" customHeight="1" x14ac:dyDescent="0.15">
      <c r="I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</row>
    <row r="45" spans="1:24" ht="12.75" customHeight="1" x14ac:dyDescent="0.15">
      <c r="A45" s="239" t="s">
        <v>163</v>
      </c>
      <c r="B45" s="239" t="s">
        <v>288</v>
      </c>
      <c r="C45" s="239" t="s">
        <v>228</v>
      </c>
      <c r="D45" s="239" t="s">
        <v>362</v>
      </c>
      <c r="I45" s="375"/>
      <c r="K45" s="375">
        <v>1900</v>
      </c>
      <c r="L45" s="375">
        <v>1800</v>
      </c>
      <c r="M45" s="375">
        <v>2500</v>
      </c>
      <c r="N45" s="375">
        <v>8000</v>
      </c>
      <c r="O45" s="375">
        <v>7000</v>
      </c>
      <c r="P45" s="375">
        <v>20600</v>
      </c>
      <c r="Q45" s="375">
        <v>1900</v>
      </c>
      <c r="R45" s="375">
        <v>1800</v>
      </c>
      <c r="S45" s="375">
        <v>2500</v>
      </c>
      <c r="T45" s="375">
        <v>8000</v>
      </c>
      <c r="U45" s="375">
        <v>7000</v>
      </c>
      <c r="V45" s="239">
        <v>20600</v>
      </c>
    </row>
    <row r="46" spans="1:24" ht="12.75" customHeight="1" x14ac:dyDescent="0.15">
      <c r="C46" s="239" t="s">
        <v>157</v>
      </c>
      <c r="D46" s="239" t="s">
        <v>362</v>
      </c>
      <c r="I46" s="375"/>
      <c r="K46" s="484">
        <v>0.23039999999999999</v>
      </c>
      <c r="L46" s="484">
        <v>4.9799999999999997E-2</v>
      </c>
      <c r="M46" s="484">
        <v>0.05</v>
      </c>
      <c r="N46" s="484">
        <v>0.05</v>
      </c>
      <c r="O46" s="484">
        <v>5.16E-2</v>
      </c>
      <c r="P46" s="484">
        <v>5.33E-2</v>
      </c>
      <c r="Q46" s="484">
        <v>0.05</v>
      </c>
      <c r="R46" s="484">
        <v>4.9799999999999997E-2</v>
      </c>
      <c r="S46" s="484">
        <v>0.05</v>
      </c>
      <c r="T46" s="484">
        <v>0.05</v>
      </c>
      <c r="U46" s="484">
        <v>5.16E-2</v>
      </c>
      <c r="V46" s="239">
        <v>5.33E-2</v>
      </c>
    </row>
    <row r="47" spans="1:24" ht="12.75" customHeight="1" x14ac:dyDescent="0.15">
      <c r="C47" s="239" t="s">
        <v>229</v>
      </c>
      <c r="D47" s="239" t="s">
        <v>362</v>
      </c>
      <c r="K47" s="239">
        <v>13570.56</v>
      </c>
      <c r="L47" s="239">
        <v>2509.92</v>
      </c>
      <c r="M47" s="239">
        <v>3875</v>
      </c>
      <c r="N47" s="239">
        <v>12000</v>
      </c>
      <c r="O47" s="239">
        <v>11197.2</v>
      </c>
      <c r="P47" s="239">
        <v>32939.4</v>
      </c>
      <c r="Q47" s="239">
        <v>2945</v>
      </c>
      <c r="R47" s="239">
        <v>2778.84</v>
      </c>
      <c r="S47" s="239">
        <v>3750</v>
      </c>
      <c r="T47" s="242">
        <v>12400</v>
      </c>
      <c r="U47" s="242">
        <v>10836</v>
      </c>
      <c r="V47" s="375">
        <v>34037.379999999997</v>
      </c>
      <c r="W47" s="239">
        <f>SUM(K47:V47)</f>
        <v>142839.29999999999</v>
      </c>
      <c r="X47" s="242">
        <f>W47</f>
        <v>142839.29999999999</v>
      </c>
    </row>
    <row r="48" spans="1:24" ht="12.75" customHeight="1" x14ac:dyDescent="0.15"/>
    <row r="49" spans="5:24" ht="12.75" customHeight="1" x14ac:dyDescent="0.15">
      <c r="E49" s="244"/>
      <c r="H49" s="253"/>
      <c r="I49" s="242"/>
      <c r="X49" s="488" t="s">
        <v>392</v>
      </c>
    </row>
    <row r="50" spans="5:24" ht="12.75" customHeight="1" x14ac:dyDescent="0.15">
      <c r="E50" s="244"/>
      <c r="G50" s="240"/>
      <c r="H50" s="253"/>
      <c r="I50" s="242"/>
      <c r="X50" s="242">
        <f>SUM(X11:X49)</f>
        <v>1631273.33</v>
      </c>
    </row>
    <row r="51" spans="5:24" ht="12.75" customHeight="1" x14ac:dyDescent="0.15">
      <c r="E51" s="243"/>
      <c r="G51" s="240"/>
      <c r="H51" s="253"/>
      <c r="I51" s="242"/>
    </row>
    <row r="52" spans="5:24" ht="12.75" customHeight="1" x14ac:dyDescent="0.15">
      <c r="E52" s="243"/>
      <c r="H52" s="253"/>
      <c r="I52" s="242"/>
      <c r="V52" s="239" t="s">
        <v>23</v>
      </c>
      <c r="W52" s="239" t="s">
        <v>390</v>
      </c>
      <c r="X52" s="242">
        <v>136938</v>
      </c>
    </row>
    <row r="53" spans="5:24" ht="12.75" customHeight="1" x14ac:dyDescent="0.15">
      <c r="E53" s="243"/>
      <c r="H53" s="253"/>
      <c r="I53" s="242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 t="s">
        <v>347</v>
      </c>
      <c r="W53" s="239" t="s">
        <v>391</v>
      </c>
      <c r="X53" s="242">
        <v>0</v>
      </c>
    </row>
    <row r="54" spans="5:24" ht="12.75" customHeight="1" x14ac:dyDescent="0.2">
      <c r="E54" s="243"/>
      <c r="H54" s="243"/>
      <c r="I54" s="242"/>
      <c r="K54" s="378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X54" s="242"/>
    </row>
    <row r="55" spans="5:24" ht="12.75" customHeight="1" x14ac:dyDescent="0.15">
      <c r="E55" s="243"/>
      <c r="H55" s="243"/>
      <c r="I55" s="242"/>
      <c r="K55" s="377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</row>
    <row r="56" spans="5:24" ht="12.75" customHeight="1" x14ac:dyDescent="0.15">
      <c r="E56" s="244"/>
      <c r="H56" s="253"/>
      <c r="I56" s="242"/>
      <c r="K56" s="377"/>
      <c r="L56" s="383"/>
      <c r="M56" s="383"/>
      <c r="N56" s="383"/>
      <c r="O56" s="383"/>
      <c r="P56" s="383"/>
      <c r="Q56" s="383"/>
      <c r="R56" s="383"/>
      <c r="S56" s="383"/>
      <c r="T56" s="383"/>
      <c r="U56" s="383"/>
      <c r="V56" s="383"/>
      <c r="W56" s="383"/>
      <c r="X56" s="488" t="s">
        <v>392</v>
      </c>
    </row>
    <row r="57" spans="5:24" ht="12.75" customHeight="1" x14ac:dyDescent="0.15">
      <c r="E57" s="244"/>
      <c r="G57" s="240"/>
      <c r="H57" s="253"/>
      <c r="I57" s="242"/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>
        <f>SUM(X50:X56)</f>
        <v>1768211.33</v>
      </c>
    </row>
    <row r="58" spans="5:24" ht="12.75" customHeight="1" x14ac:dyDescent="0.15">
      <c r="E58" s="243"/>
      <c r="G58" s="240"/>
      <c r="H58" s="253"/>
      <c r="I58" s="246"/>
      <c r="K58" s="386"/>
      <c r="L58" s="386"/>
      <c r="M58" s="386"/>
      <c r="N58" s="386"/>
      <c r="O58" s="386"/>
      <c r="P58" s="386"/>
      <c r="Q58" s="386"/>
      <c r="R58" s="386"/>
      <c r="S58" s="386"/>
      <c r="T58" s="386"/>
      <c r="U58" s="386"/>
      <c r="V58" s="499" t="s">
        <v>401</v>
      </c>
      <c r="W58" s="500">
        <f>X43+X47+X52</f>
        <v>641291.33000000007</v>
      </c>
      <c r="X58" s="383"/>
    </row>
    <row r="59" spans="5:24" ht="12.75" customHeight="1" x14ac:dyDescent="0.15">
      <c r="E59" s="243"/>
      <c r="G59" s="240"/>
      <c r="H59" s="253"/>
      <c r="I59" s="246"/>
      <c r="K59" s="383"/>
      <c r="L59" s="383"/>
      <c r="M59" s="383"/>
      <c r="N59" s="383"/>
      <c r="O59" s="383"/>
      <c r="P59" s="383"/>
      <c r="Q59" s="383"/>
      <c r="R59" s="383"/>
      <c r="S59" s="383"/>
      <c r="T59" s="383"/>
      <c r="U59" s="383"/>
      <c r="V59" s="383"/>
      <c r="W59" s="383"/>
      <c r="X59" s="383"/>
    </row>
    <row r="60" spans="5:24" ht="12.75" customHeight="1" x14ac:dyDescent="0.15">
      <c r="E60" s="243"/>
      <c r="G60" s="240"/>
      <c r="H60" s="253"/>
      <c r="I60" s="246"/>
      <c r="K60" s="377"/>
      <c r="L60" s="383"/>
      <c r="M60" s="383"/>
      <c r="N60" s="383"/>
      <c r="O60" s="383"/>
      <c r="P60" s="383"/>
      <c r="Q60" s="383"/>
      <c r="R60" s="383"/>
      <c r="S60" s="383"/>
      <c r="T60" s="383"/>
      <c r="U60" s="383"/>
      <c r="V60" s="383"/>
      <c r="W60" s="383"/>
      <c r="X60" s="383"/>
    </row>
    <row r="61" spans="5:24" ht="12.75" customHeight="1" x14ac:dyDescent="0.15">
      <c r="E61" s="243"/>
      <c r="H61" s="253"/>
      <c r="I61" s="242"/>
      <c r="K61" s="377"/>
      <c r="L61" s="383"/>
      <c r="M61" s="383"/>
      <c r="N61" s="383"/>
      <c r="O61" s="383"/>
      <c r="P61" s="383"/>
      <c r="Q61" s="383"/>
      <c r="R61" s="383"/>
      <c r="S61" s="383"/>
      <c r="T61" s="383"/>
      <c r="U61" s="383"/>
      <c r="V61" s="383"/>
      <c r="W61" s="383"/>
      <c r="X61" s="383"/>
    </row>
    <row r="62" spans="5:24" ht="12.75" customHeight="1" x14ac:dyDescent="0.15">
      <c r="E62" s="243"/>
      <c r="H62" s="253"/>
      <c r="I62" s="246"/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/>
      <c r="V62" s="386"/>
      <c r="W62" s="383"/>
      <c r="X62" s="383"/>
    </row>
    <row r="63" spans="5:24" ht="12.75" customHeight="1" x14ac:dyDescent="0.15">
      <c r="E63" s="243"/>
      <c r="H63" s="253"/>
      <c r="I63" s="242"/>
      <c r="K63" s="383"/>
      <c r="L63" s="383"/>
      <c r="M63" s="383"/>
      <c r="N63" s="383"/>
      <c r="O63" s="383"/>
      <c r="P63" s="383"/>
      <c r="Q63" s="383"/>
      <c r="R63" s="383"/>
      <c r="S63" s="383"/>
      <c r="T63" s="383"/>
      <c r="U63" s="383"/>
      <c r="V63" s="383"/>
      <c r="W63" s="383"/>
      <c r="X63" s="383"/>
    </row>
    <row r="64" spans="5:24" ht="12.75" customHeight="1" x14ac:dyDescent="0.15">
      <c r="E64" s="243"/>
      <c r="H64" s="253"/>
      <c r="I64" s="242"/>
      <c r="K64" s="377"/>
      <c r="L64" s="383"/>
      <c r="M64" s="383"/>
      <c r="N64" s="383"/>
      <c r="O64" s="383"/>
      <c r="P64" s="383"/>
      <c r="Q64" s="383"/>
      <c r="R64" s="383"/>
      <c r="S64" s="383"/>
      <c r="T64" s="383"/>
      <c r="U64" s="383"/>
      <c r="V64" s="383"/>
      <c r="W64" s="383"/>
      <c r="X64" s="383"/>
    </row>
    <row r="65" spans="5:24" ht="12.75" customHeight="1" x14ac:dyDescent="0.2">
      <c r="E65" s="322"/>
      <c r="F65" s="266"/>
      <c r="H65" s="269"/>
      <c r="I65" s="273"/>
      <c r="K65" s="377"/>
      <c r="L65" s="383"/>
      <c r="M65" s="383"/>
      <c r="N65" s="383"/>
      <c r="O65" s="383"/>
      <c r="P65" s="383"/>
      <c r="Q65" s="383"/>
      <c r="R65" s="383"/>
      <c r="S65" s="383"/>
      <c r="T65" s="383"/>
      <c r="U65" s="383"/>
      <c r="V65" s="383"/>
      <c r="W65" s="383"/>
      <c r="X65" s="383"/>
    </row>
    <row r="66" spans="5:24" ht="12.75" customHeight="1" x14ac:dyDescent="0.2">
      <c r="E66" s="322"/>
      <c r="F66" s="266"/>
      <c r="H66" s="269"/>
      <c r="I66" s="273"/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3"/>
      <c r="X66" s="383"/>
    </row>
    <row r="67" spans="5:24" ht="12.75" customHeight="1" x14ac:dyDescent="0.2">
      <c r="E67" s="323"/>
      <c r="F67" s="267"/>
      <c r="H67" s="268"/>
      <c r="I67" s="275"/>
      <c r="K67" s="377"/>
      <c r="L67" s="383"/>
      <c r="M67" s="383"/>
      <c r="N67" s="383"/>
      <c r="O67" s="383"/>
      <c r="P67" s="383"/>
      <c r="Q67" s="383"/>
      <c r="R67" s="383"/>
      <c r="S67" s="383"/>
      <c r="T67" s="383"/>
      <c r="U67" s="383"/>
      <c r="V67" s="383"/>
      <c r="W67" s="383"/>
      <c r="X67" s="383"/>
    </row>
    <row r="68" spans="5:24" ht="12.75" customHeight="1" x14ac:dyDescent="0.2">
      <c r="E68" s="323"/>
      <c r="F68" s="267"/>
      <c r="H68" s="271"/>
      <c r="I68" s="275"/>
      <c r="K68" s="377"/>
      <c r="L68" s="384"/>
      <c r="M68" s="384"/>
      <c r="N68" s="384"/>
      <c r="O68" s="383"/>
      <c r="P68" s="383"/>
      <c r="Q68" s="383"/>
      <c r="R68" s="383"/>
      <c r="S68" s="383"/>
      <c r="T68" s="383"/>
      <c r="U68" s="383"/>
      <c r="V68" s="383"/>
      <c r="W68" s="384"/>
      <c r="X68" s="383"/>
    </row>
    <row r="69" spans="5:24" ht="12.75" customHeight="1" x14ac:dyDescent="0.2">
      <c r="E69" s="323"/>
      <c r="F69" s="267"/>
      <c r="H69" s="268"/>
      <c r="I69" s="275"/>
      <c r="K69" s="377"/>
      <c r="L69" s="383"/>
      <c r="M69" s="383"/>
      <c r="N69" s="383"/>
      <c r="O69" s="383"/>
      <c r="P69" s="383"/>
      <c r="Q69" s="383"/>
      <c r="R69" s="383"/>
      <c r="S69" s="383"/>
      <c r="T69" s="383"/>
      <c r="U69" s="383"/>
      <c r="V69" s="383"/>
      <c r="W69" s="384"/>
      <c r="X69" s="383"/>
    </row>
    <row r="70" spans="5:24" ht="12.75" customHeight="1" x14ac:dyDescent="0.2">
      <c r="E70" s="323"/>
      <c r="F70" s="267"/>
      <c r="H70" s="268"/>
      <c r="I70" s="274"/>
      <c r="K70" s="377"/>
      <c r="L70" s="384"/>
      <c r="M70" s="384"/>
      <c r="N70" s="384"/>
      <c r="O70" s="384"/>
      <c r="P70" s="384"/>
      <c r="Q70" s="384"/>
      <c r="R70" s="384"/>
      <c r="S70" s="384"/>
      <c r="T70" s="384"/>
      <c r="U70" s="383"/>
      <c r="V70" s="383"/>
      <c r="W70" s="384"/>
      <c r="X70" s="383"/>
    </row>
    <row r="71" spans="5:24" ht="12.75" customHeight="1" x14ac:dyDescent="0.2">
      <c r="E71" s="323"/>
      <c r="F71" s="267"/>
      <c r="H71" s="268"/>
      <c r="I71" s="37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6"/>
      <c r="V71" s="386"/>
      <c r="W71" s="384"/>
      <c r="X71" s="383"/>
    </row>
    <row r="72" spans="5:24" ht="12.75" customHeight="1" x14ac:dyDescent="0.2">
      <c r="E72" s="323"/>
      <c r="F72" s="267"/>
      <c r="H72" s="268"/>
      <c r="I72" s="274"/>
      <c r="K72" s="383"/>
      <c r="L72" s="383"/>
      <c r="M72" s="383"/>
      <c r="N72" s="383"/>
      <c r="O72" s="383"/>
      <c r="P72" s="383"/>
      <c r="Q72" s="383"/>
      <c r="R72" s="383"/>
      <c r="S72" s="383"/>
      <c r="T72" s="383"/>
      <c r="U72" s="383"/>
      <c r="V72" s="383"/>
      <c r="W72" s="384"/>
      <c r="X72" s="383"/>
    </row>
    <row r="73" spans="5:24" ht="12.75" customHeight="1" x14ac:dyDescent="0.2">
      <c r="E73" s="323"/>
      <c r="F73" s="267"/>
      <c r="H73" s="268"/>
      <c r="I73" s="274"/>
      <c r="K73" s="377"/>
      <c r="L73" s="384"/>
      <c r="M73" s="384"/>
      <c r="N73" s="384"/>
      <c r="O73" s="384"/>
      <c r="P73" s="384"/>
      <c r="Q73" s="384"/>
      <c r="R73" s="384"/>
      <c r="S73" s="384"/>
      <c r="T73" s="384"/>
      <c r="U73" s="384"/>
      <c r="V73" s="384"/>
      <c r="W73" s="384"/>
      <c r="X73" s="383"/>
    </row>
    <row r="74" spans="5:24" ht="12.75" customHeight="1" x14ac:dyDescent="0.15">
      <c r="E74" s="244"/>
      <c r="F74" s="261"/>
      <c r="H74" s="253"/>
      <c r="I74" s="242"/>
      <c r="K74" s="377"/>
      <c r="L74" s="384"/>
      <c r="M74" s="384"/>
      <c r="N74" s="384"/>
      <c r="O74" s="384"/>
      <c r="P74" s="384"/>
      <c r="Q74" s="384"/>
      <c r="R74" s="384"/>
      <c r="S74" s="384"/>
      <c r="T74" s="384"/>
      <c r="U74" s="384"/>
      <c r="V74" s="383"/>
      <c r="W74" s="384"/>
      <c r="X74" s="383"/>
    </row>
    <row r="75" spans="5:24" ht="12.75" customHeight="1" x14ac:dyDescent="0.15">
      <c r="E75" s="255"/>
      <c r="F75" s="262"/>
      <c r="H75" s="253"/>
      <c r="I75" s="242"/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4"/>
      <c r="X75" s="383"/>
    </row>
    <row r="76" spans="5:24" ht="12.75" customHeight="1" x14ac:dyDescent="0.15">
      <c r="E76" s="255"/>
      <c r="F76" s="262"/>
      <c r="H76" s="253"/>
      <c r="I76" s="242"/>
      <c r="K76" s="377"/>
      <c r="L76" s="383"/>
      <c r="M76" s="383"/>
      <c r="N76" s="383"/>
      <c r="O76" s="383"/>
      <c r="P76" s="383"/>
      <c r="Q76" s="383"/>
      <c r="R76" s="383"/>
      <c r="S76" s="383"/>
      <c r="T76" s="383"/>
      <c r="U76" s="383"/>
      <c r="V76" s="383"/>
      <c r="W76" s="383"/>
      <c r="X76" s="383"/>
    </row>
    <row r="77" spans="5:24" ht="12.75" customHeight="1" x14ac:dyDescent="0.2">
      <c r="E77" s="323"/>
      <c r="F77" s="267"/>
      <c r="G77" s="268"/>
      <c r="H77" s="268"/>
      <c r="I77" s="274"/>
      <c r="K77" s="383"/>
      <c r="L77" s="383"/>
      <c r="M77" s="383"/>
      <c r="N77" s="383"/>
      <c r="O77" s="383"/>
      <c r="P77" s="383"/>
      <c r="Q77" s="383"/>
      <c r="R77" s="383"/>
      <c r="S77" s="383"/>
      <c r="T77" s="383"/>
      <c r="U77" s="383"/>
      <c r="V77" s="383"/>
      <c r="W77" s="383"/>
      <c r="X77" s="383"/>
    </row>
    <row r="78" spans="5:24" ht="12.75" customHeight="1" x14ac:dyDescent="0.2">
      <c r="E78" s="323"/>
      <c r="F78" s="267"/>
      <c r="G78" s="268"/>
      <c r="H78" s="268"/>
      <c r="I78" s="274"/>
      <c r="K78" s="383"/>
      <c r="L78" s="383"/>
      <c r="M78" s="383"/>
      <c r="N78" s="383"/>
      <c r="O78" s="383"/>
      <c r="P78" s="383"/>
      <c r="Q78" s="383"/>
      <c r="R78" s="383"/>
      <c r="S78" s="383"/>
      <c r="T78" s="383"/>
      <c r="U78" s="383"/>
      <c r="V78" s="383"/>
      <c r="W78" s="383"/>
      <c r="X78" s="383"/>
    </row>
    <row r="79" spans="5:24" ht="12.75" customHeight="1" x14ac:dyDescent="0.2">
      <c r="E79" s="323"/>
      <c r="F79" s="267"/>
      <c r="G79" s="268"/>
      <c r="H79" s="268"/>
      <c r="I79" s="274"/>
      <c r="K79" s="383"/>
      <c r="L79" s="383"/>
      <c r="M79" s="383"/>
      <c r="N79" s="383"/>
      <c r="O79" s="383"/>
      <c r="P79" s="383"/>
      <c r="Q79" s="383"/>
      <c r="R79" s="383"/>
      <c r="S79" s="383"/>
      <c r="T79" s="383"/>
      <c r="U79" s="383"/>
      <c r="V79" s="383"/>
      <c r="W79" s="383"/>
      <c r="X79" s="383"/>
    </row>
    <row r="80" spans="5:24" ht="12.75" customHeight="1" x14ac:dyDescent="0.2">
      <c r="E80" s="323"/>
      <c r="F80" s="267"/>
      <c r="G80" s="268"/>
      <c r="H80" s="268"/>
      <c r="I80" s="274"/>
      <c r="K80" s="383"/>
      <c r="L80" s="383"/>
      <c r="M80" s="383"/>
      <c r="N80" s="383"/>
      <c r="O80" s="383"/>
      <c r="P80" s="383"/>
      <c r="Q80" s="383"/>
      <c r="R80" s="383"/>
      <c r="S80" s="383"/>
      <c r="T80" s="383"/>
      <c r="U80" s="383"/>
      <c r="V80" s="383"/>
      <c r="W80" s="383"/>
      <c r="X80" s="383"/>
    </row>
    <row r="81" spans="5:24" ht="12.75" customHeight="1" x14ac:dyDescent="0.2">
      <c r="E81" s="323"/>
      <c r="F81" s="267"/>
      <c r="G81" s="268"/>
      <c r="H81" s="268"/>
      <c r="I81" s="274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3"/>
      <c r="X81" s="383"/>
    </row>
    <row r="82" spans="5:24" ht="12.75" customHeight="1" x14ac:dyDescent="0.15"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383"/>
      <c r="X82" s="383"/>
    </row>
    <row r="83" spans="5:24" ht="12.75" customHeight="1" x14ac:dyDescent="0.15">
      <c r="K83" s="377"/>
      <c r="L83" s="383"/>
      <c r="M83" s="383"/>
      <c r="N83" s="383"/>
      <c r="O83" s="383"/>
      <c r="P83" s="383"/>
      <c r="Q83" s="383"/>
      <c r="R83" s="383"/>
      <c r="S83" s="383"/>
      <c r="T83" s="383"/>
      <c r="U83" s="383"/>
      <c r="V83" s="383"/>
      <c r="W83" s="383"/>
      <c r="X83" s="383"/>
    </row>
    <row r="84" spans="5:24" ht="12.75" customHeight="1" x14ac:dyDescent="0.15">
      <c r="K84" s="377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3"/>
      <c r="X84" s="383"/>
    </row>
    <row r="85" spans="5:24" ht="12.75" customHeight="1" x14ac:dyDescent="0.15">
      <c r="X85" s="383"/>
    </row>
    <row r="86" spans="5:24" ht="12.75" customHeight="1" x14ac:dyDescent="0.2">
      <c r="J86" s="387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385"/>
    </row>
    <row r="87" spans="5:24" ht="12.75" customHeight="1" x14ac:dyDescent="0.15"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  <c r="X87" s="385"/>
    </row>
    <row r="88" spans="5:24" ht="12.75" customHeight="1" x14ac:dyDescent="0.1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5"/>
    </row>
    <row r="89" spans="5:24" ht="12.75" customHeight="1" x14ac:dyDescent="0.15">
      <c r="K89" s="388"/>
      <c r="L89" s="388"/>
      <c r="M89" s="388"/>
      <c r="N89" s="388"/>
      <c r="O89" s="388"/>
      <c r="P89" s="388"/>
      <c r="Q89" s="388"/>
      <c r="R89" s="388"/>
      <c r="S89" s="388"/>
      <c r="T89" s="388"/>
      <c r="U89" s="388"/>
      <c r="V89" s="388"/>
      <c r="W89" s="388"/>
      <c r="X89" s="385"/>
    </row>
    <row r="90" spans="5:24" ht="12.75" customHeight="1" x14ac:dyDescent="0.15"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  <c r="X90" s="385"/>
    </row>
    <row r="91" spans="5:24" ht="12.75" customHeight="1" x14ac:dyDescent="0.15">
      <c r="K91" s="388"/>
      <c r="L91" s="388"/>
      <c r="M91" s="388"/>
      <c r="N91" s="388"/>
      <c r="O91" s="388"/>
      <c r="P91" s="388"/>
      <c r="Q91" s="388"/>
      <c r="R91" s="388"/>
      <c r="S91" s="388"/>
      <c r="T91" s="388"/>
      <c r="U91" s="388"/>
      <c r="V91" s="388"/>
      <c r="W91" s="388"/>
      <c r="X91" s="377"/>
    </row>
    <row r="92" spans="5:24" ht="12.75" customHeight="1" x14ac:dyDescent="0.15">
      <c r="K92" s="388"/>
      <c r="L92" s="388"/>
      <c r="M92" s="388"/>
      <c r="N92" s="388"/>
      <c r="O92" s="388"/>
      <c r="P92" s="388"/>
      <c r="Q92" s="388"/>
      <c r="R92" s="388"/>
      <c r="S92" s="388"/>
      <c r="T92" s="388"/>
      <c r="U92" s="388"/>
      <c r="V92" s="388"/>
      <c r="W92" s="388"/>
      <c r="X92" s="380"/>
    </row>
    <row r="93" spans="5:24" ht="12.75" customHeight="1" x14ac:dyDescent="0.15">
      <c r="K93" s="383"/>
      <c r="L93" s="383"/>
      <c r="M93" s="383"/>
      <c r="N93" s="383"/>
      <c r="O93" s="383"/>
      <c r="P93" s="383"/>
      <c r="Q93" s="383"/>
      <c r="R93" s="383"/>
      <c r="S93" s="383"/>
      <c r="T93" s="383"/>
      <c r="U93" s="383"/>
      <c r="V93" s="383"/>
      <c r="W93" s="388"/>
      <c r="X93" s="380"/>
    </row>
    <row r="94" spans="5:24" ht="12.75" customHeight="1" x14ac:dyDescent="0.15">
      <c r="K94" s="389"/>
      <c r="L94" s="389"/>
      <c r="M94" s="389"/>
      <c r="N94" s="389"/>
      <c r="O94" s="389"/>
      <c r="P94" s="389"/>
      <c r="Q94" s="389"/>
      <c r="R94" s="389"/>
      <c r="S94" s="389"/>
      <c r="T94" s="389"/>
      <c r="U94" s="389"/>
      <c r="V94" s="389"/>
      <c r="W94" s="389"/>
      <c r="X94" s="380"/>
    </row>
    <row r="95" spans="5:24" ht="12.75" customHeight="1" x14ac:dyDescent="0.15"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0"/>
    </row>
    <row r="96" spans="5:24" ht="12.75" customHeight="1" x14ac:dyDescent="0.15">
      <c r="K96" s="388"/>
      <c r="L96" s="388"/>
      <c r="M96" s="388"/>
      <c r="N96" s="388"/>
      <c r="O96" s="388"/>
      <c r="P96" s="388"/>
      <c r="Q96" s="388"/>
      <c r="R96" s="388"/>
      <c r="S96" s="388"/>
      <c r="T96" s="388"/>
      <c r="U96" s="388"/>
      <c r="V96" s="388"/>
      <c r="W96" s="388"/>
      <c r="X96" s="380"/>
    </row>
    <row r="97" spans="11:24" ht="12.75" customHeight="1" x14ac:dyDescent="0.1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380"/>
    </row>
    <row r="98" spans="11:24" ht="12.75" customHeight="1" x14ac:dyDescent="0.15">
      <c r="K98" s="390"/>
      <c r="L98" s="390"/>
      <c r="M98" s="390"/>
      <c r="N98" s="390"/>
      <c r="O98" s="390"/>
      <c r="P98" s="390"/>
      <c r="Q98" s="390"/>
      <c r="R98" s="390"/>
      <c r="S98" s="390"/>
      <c r="T98" s="390"/>
      <c r="U98" s="390"/>
      <c r="V98" s="390"/>
      <c r="W98" s="388"/>
      <c r="X98" s="377"/>
    </row>
    <row r="99" spans="11:24" ht="12.75" customHeight="1" x14ac:dyDescent="0.15">
      <c r="K99" s="390"/>
      <c r="L99" s="390"/>
      <c r="M99" s="390"/>
      <c r="N99" s="390"/>
      <c r="O99" s="390"/>
      <c r="P99" s="390"/>
      <c r="Q99" s="390"/>
      <c r="R99" s="390"/>
      <c r="S99" s="390"/>
      <c r="T99" s="390"/>
      <c r="U99" s="390"/>
      <c r="V99" s="390"/>
      <c r="W99" s="388"/>
      <c r="X99" s="381"/>
    </row>
    <row r="100" spans="11:24" ht="12.75" customHeight="1" x14ac:dyDescent="0.15">
      <c r="K100" s="390"/>
      <c r="L100" s="390"/>
      <c r="M100" s="390"/>
      <c r="N100" s="390"/>
      <c r="O100" s="390"/>
      <c r="P100" s="390"/>
      <c r="Q100" s="390"/>
      <c r="R100" s="390"/>
      <c r="S100" s="390"/>
      <c r="T100" s="390"/>
      <c r="U100" s="390"/>
      <c r="V100" s="390"/>
      <c r="W100" s="388"/>
      <c r="X100" s="382"/>
    </row>
    <row r="101" spans="11:24" ht="12.75" customHeight="1" x14ac:dyDescent="0.15">
      <c r="K101" s="390"/>
      <c r="L101" s="390"/>
      <c r="M101" s="390"/>
      <c r="N101" s="390"/>
      <c r="O101" s="390"/>
      <c r="P101" s="390"/>
      <c r="Q101" s="390"/>
      <c r="R101" s="390"/>
      <c r="S101" s="390"/>
      <c r="T101" s="390"/>
      <c r="U101" s="390"/>
      <c r="V101" s="390"/>
      <c r="W101" s="388"/>
      <c r="X101" s="382"/>
    </row>
    <row r="102" spans="11:24" ht="12.75" customHeight="1" x14ac:dyDescent="0.15">
      <c r="K102" s="390"/>
      <c r="L102" s="390"/>
      <c r="M102" s="390"/>
      <c r="N102" s="390"/>
      <c r="O102" s="390"/>
      <c r="P102" s="390"/>
      <c r="Q102" s="390"/>
      <c r="R102" s="390"/>
      <c r="S102" s="390"/>
      <c r="T102" s="390"/>
      <c r="U102" s="390"/>
      <c r="V102" s="390"/>
      <c r="W102" s="388"/>
      <c r="X102" s="298"/>
    </row>
    <row r="103" spans="11:24" ht="12.75" customHeight="1" x14ac:dyDescent="0.15">
      <c r="K103" s="390"/>
      <c r="L103" s="390"/>
      <c r="M103" s="390"/>
      <c r="N103" s="390"/>
      <c r="O103" s="390"/>
      <c r="P103" s="390"/>
      <c r="Q103" s="390"/>
      <c r="R103" s="390"/>
      <c r="S103" s="390"/>
      <c r="T103" s="390"/>
      <c r="U103" s="390"/>
      <c r="V103" s="390"/>
      <c r="W103" s="388"/>
      <c r="X103" s="298"/>
    </row>
    <row r="104" spans="11:24" ht="12.75" customHeight="1" x14ac:dyDescent="0.15">
      <c r="K104" s="390"/>
      <c r="L104" s="390"/>
      <c r="M104" s="390"/>
      <c r="N104" s="390"/>
      <c r="O104" s="390"/>
      <c r="P104" s="390"/>
      <c r="Q104" s="390"/>
      <c r="R104" s="390"/>
      <c r="S104" s="390"/>
      <c r="T104" s="390"/>
      <c r="U104" s="390"/>
      <c r="V104" s="390"/>
      <c r="W104" s="388"/>
      <c r="X104" s="298"/>
    </row>
    <row r="105" spans="11:24" ht="12.75" customHeight="1" x14ac:dyDescent="0.15"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88"/>
      <c r="X105" s="298"/>
    </row>
    <row r="106" spans="11:24" ht="12.75" customHeight="1" x14ac:dyDescent="0.1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  <c r="X106" s="298"/>
    </row>
    <row r="107" spans="11:24" ht="12.75" customHeight="1" x14ac:dyDescent="0.15">
      <c r="K107" s="388"/>
      <c r="L107" s="388"/>
      <c r="M107" s="388"/>
      <c r="N107" s="388"/>
      <c r="O107" s="388"/>
      <c r="P107" s="388"/>
      <c r="Q107" s="388"/>
      <c r="R107" s="388"/>
      <c r="S107" s="388"/>
      <c r="T107" s="388"/>
      <c r="U107" s="388"/>
      <c r="V107" s="388"/>
      <c r="W107" s="388"/>
    </row>
    <row r="108" spans="11:24" ht="12.75" customHeight="1" x14ac:dyDescent="0.15"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</row>
    <row r="109" spans="11:24" ht="12.75" customHeight="1" x14ac:dyDescent="0.15">
      <c r="K109" s="388"/>
      <c r="L109" s="388"/>
      <c r="M109" s="388"/>
      <c r="N109" s="388"/>
      <c r="O109" s="388"/>
      <c r="P109" s="388"/>
      <c r="Q109" s="388"/>
      <c r="R109" s="388"/>
      <c r="S109" s="388"/>
      <c r="T109" s="388"/>
      <c r="U109" s="388"/>
      <c r="V109" s="388"/>
      <c r="W109" s="388"/>
    </row>
    <row r="110" spans="11:24" ht="12.75" customHeight="1" x14ac:dyDescent="0.15">
      <c r="K110" s="388"/>
      <c r="L110" s="388"/>
      <c r="M110" s="388"/>
      <c r="N110" s="388"/>
      <c r="O110" s="388"/>
      <c r="P110" s="388"/>
      <c r="Q110" s="388"/>
      <c r="R110" s="388"/>
      <c r="S110" s="388"/>
      <c r="T110" s="388"/>
      <c r="U110" s="388"/>
      <c r="V110" s="388"/>
      <c r="W110" s="388"/>
    </row>
    <row r="111" spans="11:24" ht="12.75" customHeight="1" x14ac:dyDescent="0.15">
      <c r="K111" s="388"/>
      <c r="L111" s="388"/>
      <c r="M111" s="388"/>
      <c r="N111" s="388"/>
      <c r="O111" s="388"/>
      <c r="P111" s="388"/>
      <c r="Q111" s="388"/>
      <c r="R111" s="388"/>
      <c r="S111" s="388"/>
      <c r="T111" s="388"/>
      <c r="U111" s="388"/>
      <c r="V111" s="388"/>
      <c r="W111" s="388"/>
    </row>
    <row r="112" spans="11:24" ht="12.75" customHeight="1" x14ac:dyDescent="0.15">
      <c r="K112" s="388"/>
      <c r="L112" s="388"/>
      <c r="M112" s="388"/>
      <c r="N112" s="388"/>
      <c r="O112" s="388"/>
      <c r="P112" s="388"/>
      <c r="Q112" s="388"/>
      <c r="R112" s="388"/>
      <c r="S112" s="388"/>
      <c r="T112" s="388"/>
      <c r="U112" s="388"/>
      <c r="V112" s="388"/>
      <c r="W112" s="388"/>
    </row>
    <row r="113" spans="11:23" ht="12.75" customHeight="1" x14ac:dyDescent="0.15"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8"/>
    </row>
    <row r="114" spans="11:23" ht="12.75" customHeight="1" x14ac:dyDescent="0.15">
      <c r="K114" s="389"/>
      <c r="L114" s="389"/>
      <c r="M114" s="389"/>
      <c r="N114" s="389"/>
      <c r="O114" s="389"/>
      <c r="P114" s="389"/>
      <c r="Q114" s="389"/>
      <c r="R114" s="389"/>
      <c r="S114" s="389"/>
      <c r="T114" s="389"/>
      <c r="U114" s="389"/>
      <c r="V114" s="389"/>
      <c r="W114" s="389"/>
    </row>
    <row r="115" spans="11:23" ht="12.75" customHeight="1" x14ac:dyDescent="0.15">
      <c r="K115" s="388"/>
      <c r="L115" s="388"/>
      <c r="M115" s="388"/>
      <c r="N115" s="388"/>
      <c r="O115" s="388"/>
      <c r="P115" s="388"/>
      <c r="Q115" s="388"/>
      <c r="R115" s="388"/>
      <c r="S115" s="388"/>
      <c r="T115" s="388"/>
      <c r="U115" s="388"/>
      <c r="V115" s="388"/>
      <c r="W115" s="388"/>
    </row>
    <row r="116" spans="11:23" ht="12.75" customHeight="1" x14ac:dyDescent="0.15">
      <c r="K116" s="391"/>
      <c r="L116" s="391"/>
      <c r="M116" s="391"/>
      <c r="N116" s="391"/>
      <c r="O116" s="391"/>
      <c r="P116" s="391"/>
      <c r="Q116" s="391"/>
      <c r="R116" s="391"/>
      <c r="S116" s="391"/>
      <c r="T116" s="391"/>
      <c r="U116" s="391"/>
      <c r="V116" s="391"/>
      <c r="W116" s="391"/>
    </row>
    <row r="117" spans="11:23" ht="12.75" customHeight="1" x14ac:dyDescent="0.15">
      <c r="K117" s="392"/>
      <c r="L117" s="392"/>
      <c r="M117" s="392"/>
      <c r="N117" s="392"/>
      <c r="O117" s="392"/>
      <c r="P117" s="392"/>
      <c r="Q117" s="392"/>
      <c r="R117" s="392"/>
      <c r="S117" s="392"/>
      <c r="T117" s="392"/>
      <c r="U117" s="392"/>
      <c r="V117" s="392"/>
      <c r="W117" s="392"/>
    </row>
    <row r="118" spans="11:23" ht="12.75" customHeight="1" x14ac:dyDescent="0.15">
      <c r="K118" s="391"/>
      <c r="L118" s="391"/>
      <c r="M118" s="391"/>
      <c r="N118" s="391"/>
      <c r="O118" s="391"/>
      <c r="P118" s="391"/>
      <c r="Q118" s="391"/>
      <c r="R118" s="391"/>
      <c r="S118" s="391"/>
      <c r="T118" s="391"/>
      <c r="U118" s="391"/>
      <c r="V118" s="391"/>
      <c r="W118" s="391"/>
    </row>
    <row r="119" spans="11:23" ht="12.75" customHeight="1" x14ac:dyDescent="0.15">
      <c r="K119" s="391"/>
      <c r="L119" s="391"/>
      <c r="M119" s="391"/>
      <c r="N119" s="391"/>
      <c r="O119" s="391"/>
      <c r="P119" s="391"/>
      <c r="Q119" s="391"/>
      <c r="R119" s="391"/>
      <c r="S119" s="391"/>
      <c r="T119" s="391"/>
      <c r="U119" s="391"/>
      <c r="V119" s="391"/>
      <c r="W119" s="391"/>
    </row>
    <row r="120" spans="11:23" ht="12.75" customHeight="1" x14ac:dyDescent="0.15"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</row>
    <row r="121" spans="11:23" ht="12.75" customHeight="1" x14ac:dyDescent="0.15"/>
    <row r="122" spans="11:23" ht="12.75" customHeight="1" x14ac:dyDescent="0.15"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</row>
    <row r="123" spans="11:23" ht="12.75" customHeight="1" x14ac:dyDescent="0.15">
      <c r="K123" s="393"/>
      <c r="L123" s="393"/>
      <c r="M123" s="393"/>
      <c r="N123" s="393"/>
      <c r="O123" s="393"/>
      <c r="P123" s="393"/>
      <c r="Q123" s="393"/>
      <c r="R123" s="393"/>
      <c r="S123" s="393"/>
      <c r="T123" s="393"/>
      <c r="U123" s="393"/>
      <c r="V123" s="393"/>
      <c r="W123" s="393"/>
    </row>
    <row r="124" spans="11:23" ht="12.75" customHeight="1" x14ac:dyDescent="0.15">
      <c r="K124" s="393"/>
      <c r="L124" s="393"/>
      <c r="M124" s="393"/>
      <c r="N124" s="393"/>
      <c r="O124" s="393"/>
      <c r="P124" s="393"/>
      <c r="Q124" s="393"/>
      <c r="R124" s="393"/>
      <c r="S124" s="393"/>
      <c r="T124" s="393"/>
      <c r="U124" s="393"/>
      <c r="V124" s="393"/>
      <c r="W124" s="393"/>
    </row>
    <row r="125" spans="11:23" ht="12.75" customHeight="1" x14ac:dyDescent="0.15"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</row>
    <row r="126" spans="11:23" ht="12.75" customHeight="1" x14ac:dyDescent="0.15"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</row>
    <row r="127" spans="11:23" ht="12.75" customHeight="1" x14ac:dyDescent="0.15">
      <c r="K127" s="394"/>
      <c r="L127" s="394"/>
      <c r="M127" s="394"/>
      <c r="N127" s="394"/>
      <c r="O127" s="394"/>
      <c r="P127" s="394"/>
      <c r="Q127" s="394"/>
      <c r="R127" s="394"/>
      <c r="S127" s="394"/>
      <c r="T127" s="394"/>
      <c r="U127" s="394"/>
      <c r="V127" s="394"/>
      <c r="W127" s="394"/>
    </row>
    <row r="128" spans="11:23" ht="12.75" customHeight="1" x14ac:dyDescent="0.15"/>
    <row r="129" spans="10:23" ht="12.75" customHeight="1" x14ac:dyDescent="0.15">
      <c r="J129" s="395"/>
      <c r="K129" s="395"/>
      <c r="L129" s="395"/>
      <c r="M129" s="395"/>
      <c r="N129" s="395"/>
      <c r="O129" s="395"/>
      <c r="P129" s="395"/>
      <c r="Q129" s="395"/>
      <c r="R129" s="395"/>
      <c r="S129" s="395"/>
      <c r="T129" s="395"/>
      <c r="U129" s="395"/>
      <c r="V129" s="395"/>
      <c r="W129" s="395"/>
    </row>
    <row r="130" spans="10:23" ht="12.75" customHeight="1" x14ac:dyDescent="0.15">
      <c r="J130" s="396"/>
      <c r="K130" s="396"/>
      <c r="L130" s="396"/>
      <c r="M130" s="396"/>
      <c r="N130" s="396"/>
      <c r="O130" s="396"/>
      <c r="P130" s="396"/>
      <c r="Q130" s="396"/>
      <c r="R130" s="396"/>
      <c r="S130" s="396"/>
      <c r="T130" s="396"/>
      <c r="U130" s="396"/>
      <c r="V130" s="396"/>
      <c r="W130" s="396"/>
    </row>
    <row r="131" spans="10:23" ht="12.75" customHeight="1" x14ac:dyDescent="0.15"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</row>
  </sheetData>
  <phoneticPr fontId="6" type="noConversion"/>
  <pageMargins left="0.75" right="0.75" top="1" bottom="1" header="0.5" footer="0.5"/>
  <pageSetup paperSize="5" scale="54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W20"/>
  <sheetViews>
    <sheetView workbookViewId="0">
      <selection activeCell="A14" sqref="A14"/>
    </sheetView>
  </sheetViews>
  <sheetFormatPr defaultColWidth="21" defaultRowHeight="12.75" x14ac:dyDescent="0.15"/>
  <cols>
    <col min="1" max="16384" width="21" style="239"/>
  </cols>
  <sheetData>
    <row r="2" spans="1:23" x14ac:dyDescent="0.1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3" x14ac:dyDescent="0.1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3" x14ac:dyDescent="0.1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3" x14ac:dyDescent="0.1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3" x14ac:dyDescent="0.15">
      <c r="A6" s="239" t="s">
        <v>372</v>
      </c>
    </row>
    <row r="9" spans="1:23" x14ac:dyDescent="0.15">
      <c r="A9" s="239" t="s">
        <v>215</v>
      </c>
      <c r="B9" s="239" t="s">
        <v>216</v>
      </c>
      <c r="C9" s="239" t="s">
        <v>227</v>
      </c>
      <c r="D9" s="239" t="s">
        <v>217</v>
      </c>
      <c r="E9" s="243" t="s">
        <v>206</v>
      </c>
      <c r="F9" s="239" t="s">
        <v>207</v>
      </c>
      <c r="G9" s="239" t="s">
        <v>208</v>
      </c>
      <c r="H9" s="243" t="s">
        <v>209</v>
      </c>
      <c r="I9" s="242" t="s">
        <v>222</v>
      </c>
      <c r="J9" s="239" t="s">
        <v>157</v>
      </c>
    </row>
    <row r="11" spans="1:23" x14ac:dyDescent="0.15">
      <c r="A11" s="239" t="s">
        <v>218</v>
      </c>
      <c r="B11" s="239" t="s">
        <v>373</v>
      </c>
      <c r="C11" s="239" t="s">
        <v>228</v>
      </c>
      <c r="D11" s="239" t="s">
        <v>362</v>
      </c>
      <c r="G11" s="423">
        <v>36800</v>
      </c>
      <c r="I11" s="242">
        <v>75000</v>
      </c>
      <c r="J11" s="239">
        <v>0.02</v>
      </c>
      <c r="T11" s="239">
        <f>$I11*$J11*T2</f>
        <v>46500</v>
      </c>
      <c r="U11" s="239">
        <f>$I11*$J11*U2</f>
        <v>45000</v>
      </c>
      <c r="V11" s="239">
        <f>$I11*$J11*V2</f>
        <v>46500</v>
      </c>
      <c r="W11" s="239">
        <f>SUM(T11:V11)</f>
        <v>138000</v>
      </c>
    </row>
    <row r="19" spans="2:23" x14ac:dyDescent="0.15">
      <c r="W19" s="449"/>
    </row>
    <row r="20" spans="2:23" x14ac:dyDescent="0.15">
      <c r="B20" s="239" t="s">
        <v>176</v>
      </c>
      <c r="W20" s="239">
        <f>SUM(W11:W19)</f>
        <v>138000</v>
      </c>
    </row>
  </sheetData>
  <phoneticPr fontId="6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Y82"/>
  <sheetViews>
    <sheetView topLeftCell="F1" zoomScale="75" workbookViewId="0">
      <selection activeCell="S16" sqref="S16"/>
    </sheetView>
  </sheetViews>
  <sheetFormatPr defaultColWidth="21" defaultRowHeight="12.75" x14ac:dyDescent="0.15"/>
  <cols>
    <col min="1" max="1" width="21" style="239" customWidth="1"/>
    <col min="2" max="2" width="4.796875" style="239" customWidth="1"/>
    <col min="3" max="3" width="21" style="239" customWidth="1"/>
    <col min="4" max="4" width="4.3984375" style="239" customWidth="1"/>
    <col min="5" max="5" width="21" style="239" customWidth="1"/>
    <col min="6" max="6" width="5.19921875" style="239" customWidth="1"/>
    <col min="7" max="7" width="24.59765625" style="239" customWidth="1"/>
    <col min="8" max="8" width="5.3984375" style="239" customWidth="1"/>
    <col min="9" max="9" width="21" style="239" customWidth="1"/>
    <col min="10" max="10" width="5.19921875" style="239" customWidth="1"/>
    <col min="11" max="11" width="21.19921875" style="239" customWidth="1"/>
    <col min="12" max="12" width="5.19921875" style="239" customWidth="1"/>
    <col min="13" max="13" width="21" style="239" customWidth="1"/>
    <col min="14" max="14" width="6.3984375" style="239" customWidth="1"/>
    <col min="15" max="15" width="21" style="239" customWidth="1"/>
    <col min="16" max="16" width="6.59765625" style="239" customWidth="1"/>
    <col min="17" max="17" width="23.3984375" style="239" customWidth="1"/>
    <col min="18" max="18" width="4.59765625" style="239" customWidth="1"/>
    <col min="19" max="19" width="21" style="239" customWidth="1"/>
    <col min="20" max="20" width="5.796875" style="239" customWidth="1"/>
    <col min="21" max="21" width="21" style="239" customWidth="1"/>
    <col min="22" max="22" width="8" style="239" customWidth="1"/>
    <col min="23" max="23" width="21" style="239" customWidth="1"/>
    <col min="24" max="24" width="3.3984375" style="239" customWidth="1"/>
    <col min="25" max="25" width="21" style="239" hidden="1" customWidth="1"/>
    <col min="26" max="16384" width="21" style="239"/>
  </cols>
  <sheetData>
    <row r="1" spans="1:25" ht="18" x14ac:dyDescent="0.25">
      <c r="A1" s="324" t="s">
        <v>1</v>
      </c>
      <c r="B1" s="325"/>
      <c r="C1" s="325"/>
      <c r="D1" s="325"/>
      <c r="E1" s="325"/>
      <c r="F1" s="326"/>
      <c r="G1" s="324"/>
      <c r="H1" s="325"/>
      <c r="I1" s="324"/>
      <c r="J1" s="325"/>
      <c r="K1" s="325"/>
      <c r="L1" s="325"/>
      <c r="M1" s="325"/>
      <c r="N1" s="325"/>
      <c r="O1" s="325"/>
      <c r="P1" s="325"/>
      <c r="Q1" s="325"/>
      <c r="R1" s="325"/>
      <c r="S1" s="325"/>
      <c r="T1" s="325"/>
      <c r="U1" s="324"/>
      <c r="V1" s="325"/>
      <c r="W1" s="324"/>
      <c r="X1" s="325"/>
      <c r="Y1" s="325"/>
    </row>
    <row r="2" spans="1:25" ht="18" x14ac:dyDescent="0.25">
      <c r="A2" s="324" t="s">
        <v>338</v>
      </c>
      <c r="B2" s="325"/>
      <c r="C2" s="325"/>
      <c r="D2" s="325"/>
      <c r="E2" s="325"/>
      <c r="F2" s="326"/>
      <c r="G2" s="324"/>
      <c r="H2" s="325"/>
      <c r="I2" s="324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4"/>
      <c r="V2" s="325"/>
      <c r="W2" s="324"/>
      <c r="X2" s="325"/>
      <c r="Y2" s="325"/>
    </row>
    <row r="3" spans="1:25" ht="18" x14ac:dyDescent="0.25">
      <c r="A3" s="324" t="s">
        <v>321</v>
      </c>
      <c r="B3" s="325"/>
      <c r="C3" s="325"/>
      <c r="D3" s="325"/>
      <c r="E3" s="325"/>
      <c r="F3" s="326"/>
      <c r="G3" s="324"/>
      <c r="H3" s="325"/>
      <c r="I3" s="324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4"/>
      <c r="V3" s="325"/>
      <c r="W3" s="324"/>
      <c r="X3" s="325"/>
      <c r="Y3" s="325"/>
    </row>
    <row r="4" spans="1:25" ht="18" x14ac:dyDescent="0.25">
      <c r="A4" s="325" t="s">
        <v>322</v>
      </c>
      <c r="B4" s="325"/>
      <c r="C4" s="325"/>
      <c r="D4" s="325"/>
      <c r="E4" s="325"/>
      <c r="F4" s="326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4"/>
      <c r="W4" s="325"/>
      <c r="X4" s="324"/>
      <c r="Y4" s="324"/>
    </row>
    <row r="5" spans="1:25" x14ac:dyDescent="0.2">
      <c r="A5" s="327"/>
      <c r="B5" s="327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7"/>
      <c r="P5" s="327"/>
      <c r="Q5" s="327"/>
      <c r="R5" s="327"/>
      <c r="S5" s="327"/>
      <c r="T5" s="327"/>
      <c r="U5" s="327"/>
      <c r="V5" s="327"/>
      <c r="W5" s="327"/>
      <c r="X5" s="327"/>
      <c r="Y5" s="327"/>
    </row>
    <row r="6" spans="1:25" x14ac:dyDescent="0.2">
      <c r="A6" s="327"/>
      <c r="B6" s="327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7"/>
      <c r="P6" s="327"/>
      <c r="Q6" s="327"/>
      <c r="R6" s="327"/>
      <c r="S6" s="327"/>
      <c r="T6" s="327"/>
      <c r="U6" s="327"/>
      <c r="V6" s="327"/>
      <c r="W6" s="327"/>
      <c r="X6" s="327"/>
      <c r="Y6" s="327"/>
    </row>
    <row r="7" spans="1:25" x14ac:dyDescent="0.2">
      <c r="A7" s="327"/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7"/>
      <c r="T7" s="327"/>
      <c r="U7" s="327"/>
      <c r="V7" s="327"/>
      <c r="W7" s="327"/>
      <c r="X7" s="327"/>
      <c r="Y7" s="327"/>
    </row>
    <row r="8" spans="1:25" ht="15.75" x14ac:dyDescent="0.2">
      <c r="A8" s="327"/>
      <c r="B8" s="327"/>
      <c r="C8" s="328"/>
      <c r="D8" s="328"/>
      <c r="E8"/>
      <c r="F8" s="329"/>
      <c r="G8" s="325" t="s">
        <v>339</v>
      </c>
      <c r="H8" s="325"/>
      <c r="I8" s="326"/>
      <c r="J8" s="325"/>
      <c r="K8" s="325"/>
      <c r="L8" s="325"/>
      <c r="M8" s="325"/>
      <c r="N8" s="325"/>
      <c r="O8" s="325"/>
      <c r="P8" s="325"/>
      <c r="Q8" s="325"/>
      <c r="R8" s="325"/>
      <c r="S8" s="325"/>
      <c r="T8" s="325"/>
      <c r="U8" s="325"/>
      <c r="V8" s="325"/>
      <c r="W8" s="325"/>
      <c r="X8" s="330"/>
      <c r="Y8" s="331"/>
    </row>
    <row r="9" spans="1:25" x14ac:dyDescent="0.2">
      <c r="A9" s="327"/>
      <c r="B9" s="327"/>
      <c r="C9" s="327"/>
      <c r="D9" s="327"/>
      <c r="E9" s="332"/>
      <c r="F9" s="327"/>
      <c r="G9" s="325"/>
      <c r="H9" s="325"/>
      <c r="I9" s="325"/>
      <c r="J9" s="325"/>
      <c r="K9" s="325"/>
      <c r="L9" s="325"/>
      <c r="M9" s="325"/>
      <c r="N9" s="325"/>
      <c r="O9" s="325"/>
      <c r="P9" s="325"/>
      <c r="Q9" s="325"/>
      <c r="R9" s="325"/>
      <c r="S9" s="325"/>
      <c r="T9" s="325"/>
      <c r="U9" s="325"/>
      <c r="V9" s="325"/>
      <c r="W9" s="325"/>
      <c r="X9" s="325"/>
      <c r="Y9" s="327"/>
    </row>
    <row r="10" spans="1:25" x14ac:dyDescent="0.2">
      <c r="A10" s="327"/>
      <c r="B10" s="327"/>
      <c r="C10" s="327"/>
      <c r="D10" s="327"/>
      <c r="E10" s="332"/>
      <c r="F10" s="327"/>
      <c r="G10" s="333"/>
      <c r="H10" s="334"/>
      <c r="I10" s="334"/>
      <c r="J10" s="334"/>
      <c r="K10" s="334"/>
      <c r="L10" s="334"/>
      <c r="M10" s="334"/>
      <c r="N10" s="334"/>
      <c r="O10" s="334"/>
      <c r="P10" s="334"/>
      <c r="Q10" s="334"/>
      <c r="R10" s="334"/>
      <c r="S10" s="334"/>
      <c r="T10" s="334"/>
      <c r="U10" s="335"/>
      <c r="V10" s="336"/>
      <c r="W10" s="327"/>
      <c r="X10" s="336"/>
      <c r="Y10" s="327"/>
    </row>
    <row r="11" spans="1:25" ht="15" x14ac:dyDescent="0.35">
      <c r="A11" s="327"/>
      <c r="B11" s="327"/>
      <c r="C11" s="325" t="s">
        <v>323</v>
      </c>
      <c r="D11" s="327"/>
      <c r="E11" s="325" t="s">
        <v>3</v>
      </c>
      <c r="F11" s="327"/>
      <c r="G11" s="337"/>
      <c r="H11" s="338"/>
      <c r="I11" s="338"/>
      <c r="J11" s="338"/>
      <c r="K11" s="338"/>
      <c r="L11" s="338"/>
      <c r="M11" s="338"/>
      <c r="N11" s="338"/>
      <c r="O11" s="338"/>
      <c r="P11" s="338"/>
      <c r="Q11" s="345"/>
      <c r="R11" s="338"/>
      <c r="S11" s="338"/>
      <c r="T11" s="338"/>
      <c r="U11" s="339"/>
      <c r="V11" s="340"/>
      <c r="W11" s="341" t="s">
        <v>3</v>
      </c>
      <c r="X11" s="340"/>
      <c r="Y11" s="341" t="s">
        <v>341</v>
      </c>
    </row>
    <row r="12" spans="1:25" x14ac:dyDescent="0.2">
      <c r="A12" s="327"/>
      <c r="B12" s="327"/>
      <c r="C12" s="342" t="s">
        <v>324</v>
      </c>
      <c r="D12" s="343"/>
      <c r="E12" s="342" t="s">
        <v>327</v>
      </c>
      <c r="F12" s="327"/>
      <c r="G12" s="344" t="s">
        <v>325</v>
      </c>
      <c r="H12" s="345" t="s">
        <v>256</v>
      </c>
      <c r="I12" s="345" t="s">
        <v>326</v>
      </c>
      <c r="J12" s="345"/>
      <c r="K12" s="345" t="s">
        <v>350</v>
      </c>
      <c r="L12" s="345"/>
      <c r="M12" s="345" t="s">
        <v>393</v>
      </c>
      <c r="N12" s="345"/>
      <c r="O12" s="345" t="s">
        <v>396</v>
      </c>
      <c r="P12" s="345"/>
      <c r="Q12" s="345" t="s">
        <v>395</v>
      </c>
      <c r="R12" s="345"/>
      <c r="S12" s="345"/>
      <c r="T12" s="345" t="s">
        <v>256</v>
      </c>
      <c r="U12" s="346"/>
      <c r="V12" s="338" t="s">
        <v>256</v>
      </c>
      <c r="W12" s="373" t="s">
        <v>340</v>
      </c>
      <c r="X12" s="338"/>
      <c r="Y12" s="373" t="s">
        <v>340</v>
      </c>
    </row>
    <row r="13" spans="1:25" x14ac:dyDescent="0.2">
      <c r="A13" s="327"/>
      <c r="B13" s="327" t="s">
        <v>256</v>
      </c>
      <c r="C13" s="347" t="s">
        <v>328</v>
      </c>
      <c r="D13" s="327" t="s">
        <v>256</v>
      </c>
      <c r="E13" s="348" t="s">
        <v>329</v>
      </c>
      <c r="F13" s="327"/>
      <c r="G13" s="349" t="s">
        <v>330</v>
      </c>
      <c r="H13" s="350"/>
      <c r="I13" s="351" t="s">
        <v>331</v>
      </c>
      <c r="J13" s="350"/>
      <c r="K13" s="351" t="s">
        <v>343</v>
      </c>
      <c r="L13" s="350"/>
      <c r="M13" s="351" t="s">
        <v>394</v>
      </c>
      <c r="N13" s="350"/>
      <c r="O13" s="351" t="s">
        <v>397</v>
      </c>
      <c r="P13" s="350"/>
      <c r="Q13" s="351" t="s">
        <v>332</v>
      </c>
      <c r="R13" s="350"/>
      <c r="S13" s="351" t="s">
        <v>333</v>
      </c>
      <c r="T13" s="352"/>
      <c r="U13" s="353" t="s">
        <v>334</v>
      </c>
      <c r="V13" s="354"/>
      <c r="W13" s="374" t="s">
        <v>335</v>
      </c>
      <c r="X13" s="354"/>
      <c r="Y13" s="374" t="s">
        <v>335</v>
      </c>
    </row>
    <row r="14" spans="1:25" x14ac:dyDescent="0.2">
      <c r="A14" s="327"/>
      <c r="B14" s="327"/>
      <c r="C14" s="327"/>
      <c r="D14" s="327"/>
      <c r="E14" s="325"/>
      <c r="F14" s="327"/>
      <c r="G14" s="337"/>
      <c r="H14" s="338"/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9"/>
      <c r="V14" s="338"/>
      <c r="W14" s="327"/>
      <c r="X14" s="338"/>
      <c r="Y14" s="327"/>
    </row>
    <row r="15" spans="1:25" x14ac:dyDescent="0.2">
      <c r="A15" s="327"/>
      <c r="B15" s="327"/>
      <c r="C15" s="327"/>
      <c r="D15" s="327"/>
      <c r="E15" s="355"/>
      <c r="F15" s="356"/>
      <c r="G15" s="357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9"/>
      <c r="V15" s="358"/>
      <c r="W15" s="356"/>
      <c r="X15" s="358"/>
      <c r="Y15" s="356"/>
    </row>
    <row r="16" spans="1:25" x14ac:dyDescent="0.2">
      <c r="A16" s="327" t="s">
        <v>7</v>
      </c>
      <c r="B16" s="327"/>
      <c r="C16" s="360">
        <v>114.24209999999999</v>
      </c>
      <c r="D16" s="360"/>
      <c r="E16" s="360">
        <f>105.236+17.8976</f>
        <v>123.1336</v>
      </c>
      <c r="F16" s="360"/>
      <c r="G16" s="361">
        <f>Terminations!W17/1000000*-1</f>
        <v>-1.80728</v>
      </c>
      <c r="H16" s="362"/>
      <c r="I16" s="363">
        <f>Resubscriptions!W16/1000000</f>
        <v>1.7060999999999999</v>
      </c>
      <c r="J16" s="362"/>
      <c r="K16" s="362">
        <v>-2</v>
      </c>
      <c r="L16" s="362"/>
      <c r="M16" s="362">
        <v>1.56</v>
      </c>
      <c r="N16" s="362"/>
      <c r="O16" s="491">
        <v>-0.7</v>
      </c>
      <c r="P16" s="362"/>
      <c r="Q16" s="362">
        <v>3.03</v>
      </c>
      <c r="R16" s="358"/>
      <c r="S16" s="362">
        <f>Capital!W20/1000000+0.4+2.8</f>
        <v>3.3380000000000001</v>
      </c>
      <c r="T16" s="362"/>
      <c r="U16" s="364">
        <f>0.3945-0.128</f>
        <v>0.26650000000000001</v>
      </c>
      <c r="V16" s="362"/>
      <c r="W16" s="360">
        <f>+E16+SUM(G16:U16)</f>
        <v>128.52691999999999</v>
      </c>
      <c r="X16" s="362">
        <f>Forecast01!N220/1000+Forecast01!N281/1000</f>
        <v>136.76538480049999</v>
      </c>
      <c r="Y16" s="397">
        <v>125.3181</v>
      </c>
    </row>
    <row r="17" spans="1:25" x14ac:dyDescent="0.2">
      <c r="A17" s="327"/>
      <c r="B17" s="327"/>
      <c r="C17" s="360"/>
      <c r="D17" s="360"/>
      <c r="E17" s="360"/>
      <c r="F17" s="360"/>
      <c r="G17" s="361"/>
      <c r="H17" s="362"/>
      <c r="I17" s="362"/>
      <c r="J17" s="362"/>
      <c r="K17" s="362"/>
      <c r="L17" s="362"/>
      <c r="M17" s="362"/>
      <c r="N17" s="362"/>
      <c r="O17" s="491"/>
      <c r="P17" s="362"/>
      <c r="Q17" s="362"/>
      <c r="R17" s="358"/>
      <c r="S17" s="362"/>
      <c r="T17" s="362"/>
      <c r="U17" s="364"/>
      <c r="V17" s="362"/>
      <c r="W17" s="360"/>
      <c r="X17" s="362"/>
      <c r="Y17" s="360"/>
    </row>
    <row r="18" spans="1:25" x14ac:dyDescent="0.2">
      <c r="A18" s="327" t="s">
        <v>23</v>
      </c>
      <c r="B18" s="327"/>
      <c r="C18" s="360">
        <v>19.466100000000001</v>
      </c>
      <c r="D18" s="360"/>
      <c r="E18" s="360">
        <v>16.0321</v>
      </c>
      <c r="F18" s="360"/>
      <c r="G18" s="361">
        <f>Terminations!W26/1000000*-1</f>
        <v>-1.0063500000000001</v>
      </c>
      <c r="H18" s="362"/>
      <c r="I18" s="362">
        <f>Resubscriptions!W25/1000000</f>
        <v>0.3115</v>
      </c>
      <c r="J18" s="362"/>
      <c r="K18" s="362"/>
      <c r="L18" s="362"/>
      <c r="M18" s="362"/>
      <c r="N18" s="362"/>
      <c r="O18" s="491">
        <v>-2.4E-2</v>
      </c>
      <c r="P18" s="362"/>
      <c r="Q18" s="362">
        <v>-2.2000000000000002</v>
      </c>
      <c r="R18" s="362"/>
      <c r="S18" s="362"/>
      <c r="T18" s="362"/>
      <c r="U18" s="364">
        <f>1.282-0.122</f>
        <v>1.1600000000000001</v>
      </c>
      <c r="V18" s="362"/>
      <c r="W18" s="360">
        <f>+E18+SUM(G18:U18)</f>
        <v>14.273249999999999</v>
      </c>
      <c r="X18" s="362">
        <f>Forecast01!N253/1000</f>
        <v>18.576577568000001</v>
      </c>
      <c r="Y18" s="360">
        <v>15.383100000000001</v>
      </c>
    </row>
    <row r="19" spans="1:25" x14ac:dyDescent="0.2">
      <c r="A19" s="327"/>
      <c r="B19" s="327"/>
      <c r="C19" s="360"/>
      <c r="D19" s="360"/>
      <c r="E19" s="360"/>
      <c r="F19" s="360"/>
      <c r="G19" s="361"/>
      <c r="H19" s="362"/>
      <c r="I19" s="362"/>
      <c r="J19" s="362"/>
      <c r="K19" s="362"/>
      <c r="L19" s="362"/>
      <c r="M19" s="362"/>
      <c r="N19" s="362"/>
      <c r="O19" s="491"/>
      <c r="P19" s="362"/>
      <c r="Q19" s="362"/>
      <c r="R19" s="362"/>
      <c r="S19" s="362"/>
      <c r="T19" s="362"/>
      <c r="U19" s="364"/>
      <c r="V19" s="362"/>
      <c r="W19" s="360"/>
      <c r="X19" s="362"/>
      <c r="Y19" s="360"/>
    </row>
    <row r="20" spans="1:25" x14ac:dyDescent="0.2">
      <c r="A20" s="327" t="s">
        <v>347</v>
      </c>
      <c r="B20" s="327"/>
      <c r="C20" s="360">
        <v>8.4255999999999993</v>
      </c>
      <c r="D20" s="360"/>
      <c r="E20" s="365">
        <v>9.1686999999999994</v>
      </c>
      <c r="F20" s="360"/>
      <c r="G20" s="361">
        <f>Terminations!W37/1000000*-1</f>
        <v>-2.3184624999999999</v>
      </c>
      <c r="H20" s="362"/>
      <c r="I20" s="362">
        <f>Resubscriptions!W37/1000000</f>
        <v>1.9780205</v>
      </c>
      <c r="J20" s="362"/>
      <c r="K20" s="362"/>
      <c r="L20" s="362"/>
      <c r="M20" s="362"/>
      <c r="N20" s="362"/>
      <c r="O20" s="362"/>
      <c r="P20" s="362"/>
      <c r="Q20" s="362">
        <v>-0.5</v>
      </c>
      <c r="R20" s="362"/>
      <c r="S20" s="362">
        <v>0</v>
      </c>
      <c r="T20" s="362"/>
      <c r="U20" s="364">
        <v>0.34</v>
      </c>
      <c r="V20" s="362"/>
      <c r="W20" s="360">
        <f>+E20+SUM(G20:U20)</f>
        <v>8.6682579999999998</v>
      </c>
      <c r="X20" s="362">
        <f>Forecast01!N271/1000</f>
        <v>11.228090609999999</v>
      </c>
      <c r="Y20" s="360">
        <v>8.3804999999999996</v>
      </c>
    </row>
    <row r="21" spans="1:25" x14ac:dyDescent="0.2">
      <c r="A21" s="327"/>
      <c r="B21" s="327"/>
      <c r="C21" s="360"/>
      <c r="D21" s="360"/>
      <c r="E21" s="360"/>
      <c r="F21" s="360"/>
      <c r="G21" s="361"/>
      <c r="H21" s="362"/>
      <c r="I21" s="362"/>
      <c r="J21" s="362"/>
      <c r="K21" s="370"/>
      <c r="L21" s="362"/>
      <c r="M21" s="362"/>
      <c r="N21" s="362"/>
      <c r="O21" s="362"/>
      <c r="P21" s="362"/>
      <c r="Q21" s="362"/>
      <c r="R21" s="362"/>
      <c r="S21" s="362"/>
      <c r="T21" s="362"/>
      <c r="U21" s="364"/>
      <c r="V21" s="362"/>
      <c r="W21" s="360"/>
      <c r="X21" s="370"/>
      <c r="Y21" s="360"/>
    </row>
    <row r="22" spans="1:25" x14ac:dyDescent="0.2">
      <c r="A22" s="366" t="s">
        <v>336</v>
      </c>
      <c r="B22" s="338"/>
      <c r="C22" s="367">
        <f>SUM(C16:C21)</f>
        <v>142.13380000000001</v>
      </c>
      <c r="D22" s="362"/>
      <c r="E22" s="367">
        <f>SUM(E16:E21)</f>
        <v>148.33440000000002</v>
      </c>
      <c r="F22" s="362"/>
      <c r="G22" s="368">
        <f>SUM(G16:G21)</f>
        <v>-5.1320924999999997</v>
      </c>
      <c r="H22" s="362"/>
      <c r="I22" s="367">
        <f>SUM(I16:I21)</f>
        <v>3.9956204999999998</v>
      </c>
      <c r="J22" s="362"/>
      <c r="K22" s="367">
        <f>SUM(K16:K21)</f>
        <v>-2</v>
      </c>
      <c r="L22" s="362"/>
      <c r="M22" s="367">
        <f>SUM(M16:M21)</f>
        <v>1.56</v>
      </c>
      <c r="N22" s="362"/>
      <c r="O22" s="492">
        <f>SUM(O16:O21)</f>
        <v>-0.72399999999999998</v>
      </c>
      <c r="P22" s="362"/>
      <c r="Q22" s="367">
        <f>SUM(Q16:Q21)</f>
        <v>0.32999999999999963</v>
      </c>
      <c r="R22" s="362"/>
      <c r="S22" s="367">
        <f>SUM(S16:S21)</f>
        <v>3.3380000000000001</v>
      </c>
      <c r="T22" s="362"/>
      <c r="U22" s="369">
        <f>SUM(U16:U21)</f>
        <v>1.7665000000000002</v>
      </c>
      <c r="V22" s="362"/>
      <c r="W22" s="367">
        <f>+E22+SUM(G22:U22)</f>
        <v>151.46842800000002</v>
      </c>
      <c r="X22" s="362">
        <f>SUM(X16:X21)</f>
        <v>166.5700529785</v>
      </c>
      <c r="Y22" s="367">
        <f>SUM(Y16:Y21)</f>
        <v>149.08170000000001</v>
      </c>
    </row>
    <row r="23" spans="1:25" x14ac:dyDescent="0.2">
      <c r="A23" s="327"/>
      <c r="B23" s="327"/>
      <c r="C23" s="360"/>
      <c r="D23" s="360"/>
      <c r="E23" s="360"/>
      <c r="F23" s="360"/>
      <c r="G23" s="361"/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4"/>
      <c r="V23" s="362"/>
      <c r="W23" s="360"/>
      <c r="X23" s="362"/>
      <c r="Y23" s="360"/>
    </row>
    <row r="24" spans="1:25" x14ac:dyDescent="0.2">
      <c r="A24" s="327" t="s">
        <v>337</v>
      </c>
      <c r="B24" s="327"/>
      <c r="C24" s="360">
        <v>16.756699999999999</v>
      </c>
      <c r="D24" s="360"/>
      <c r="E24" s="360">
        <v>24.2</v>
      </c>
      <c r="F24" s="360"/>
      <c r="G24" s="361" t="e">
        <f>Terminations!W118/1000*-1</f>
        <v>#REF!</v>
      </c>
      <c r="H24" s="362"/>
      <c r="I24" s="362" t="e">
        <f>Resubscriptions!W118/1000</f>
        <v>#REF!</v>
      </c>
      <c r="J24" s="362"/>
      <c r="K24" s="362"/>
      <c r="L24" s="362"/>
      <c r="M24" s="362"/>
      <c r="N24" s="362"/>
      <c r="O24" s="362"/>
      <c r="P24" s="362"/>
      <c r="Q24" s="362">
        <v>4.2</v>
      </c>
      <c r="R24" s="362"/>
      <c r="S24" s="362"/>
      <c r="T24" s="362"/>
      <c r="U24" s="364"/>
      <c r="V24" s="362"/>
      <c r="W24" s="367" t="e">
        <f>+E24+SUM(G24:U24)</f>
        <v>#REF!</v>
      </c>
      <c r="X24" s="362"/>
      <c r="Y24" s="360">
        <v>22.279</v>
      </c>
    </row>
    <row r="25" spans="1:25" x14ac:dyDescent="0.2">
      <c r="A25" s="327"/>
      <c r="B25" s="327"/>
      <c r="C25" s="370"/>
      <c r="D25" s="360"/>
      <c r="E25" s="370"/>
      <c r="F25" s="360"/>
      <c r="G25" s="371"/>
      <c r="H25" s="362"/>
      <c r="I25" s="370"/>
      <c r="J25" s="362"/>
      <c r="K25" s="370"/>
      <c r="L25" s="362"/>
      <c r="M25" s="370"/>
      <c r="N25" s="362"/>
      <c r="O25" s="370"/>
      <c r="P25" s="362"/>
      <c r="Q25" s="370"/>
      <c r="R25" s="362"/>
      <c r="S25" s="370"/>
      <c r="T25" s="362"/>
      <c r="U25" s="372"/>
      <c r="V25" s="362"/>
      <c r="W25" s="370"/>
      <c r="X25" s="362"/>
      <c r="Y25" s="370"/>
    </row>
    <row r="26" spans="1:25" x14ac:dyDescent="0.2">
      <c r="A26" s="327" t="s">
        <v>3</v>
      </c>
      <c r="B26" s="327"/>
      <c r="C26" s="360">
        <f>SUM(C16:C24)-C22</f>
        <v>158.89050000000003</v>
      </c>
      <c r="D26" s="360"/>
      <c r="E26" s="360">
        <f>SUM(E16:E24)-E22</f>
        <v>172.53440000000001</v>
      </c>
      <c r="F26" s="360"/>
      <c r="G26" s="371" t="e">
        <f>SUM(G16:G24)-G22</f>
        <v>#REF!</v>
      </c>
      <c r="H26" s="370"/>
      <c r="I26" s="370" t="e">
        <f>SUM(I16:I24)-I22</f>
        <v>#REF!</v>
      </c>
      <c r="J26" s="370"/>
      <c r="K26" s="370">
        <f>SUM(K16:K24)-K22</f>
        <v>-2</v>
      </c>
      <c r="L26" s="370"/>
      <c r="M26" s="370">
        <f>SUM(M16:M24)-M22</f>
        <v>1.56</v>
      </c>
      <c r="N26" s="370"/>
      <c r="O26" s="370">
        <f>SUM(O16:O24)-O22</f>
        <v>-0.72399999999999998</v>
      </c>
      <c r="P26" s="370"/>
      <c r="Q26" s="370">
        <f>SUM(Q16:Q24)-Q22</f>
        <v>4.5299999999999994</v>
      </c>
      <c r="R26" s="370"/>
      <c r="S26" s="370">
        <f>SUM(S16:S24)-S22</f>
        <v>3.3380000000000001</v>
      </c>
      <c r="T26" s="370"/>
      <c r="U26" s="372">
        <f>SUM(U16:U24)-U22</f>
        <v>1.7665000000000002</v>
      </c>
      <c r="V26" s="362"/>
      <c r="W26" s="360" t="e">
        <f>SUM(W16:W24)-W22</f>
        <v>#REF!</v>
      </c>
      <c r="X26" s="362"/>
      <c r="Y26" s="360">
        <f>SUM(Y16:Y24)-Y22</f>
        <v>171.36070000000001</v>
      </c>
    </row>
    <row r="27" spans="1:25" x14ac:dyDescent="0.2">
      <c r="A27" s="327"/>
      <c r="B27" s="327"/>
      <c r="C27" s="327"/>
      <c r="D27" s="327"/>
      <c r="E27" s="356"/>
      <c r="F27" s="356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  <c r="W27" s="356"/>
      <c r="X27" s="358"/>
      <c r="Y27" s="356"/>
    </row>
    <row r="29" spans="1:25" x14ac:dyDescent="0.15">
      <c r="A29" s="239" t="s">
        <v>377</v>
      </c>
    </row>
    <row r="30" spans="1:25" x14ac:dyDescent="0.15">
      <c r="A30" s="239" t="s">
        <v>378</v>
      </c>
      <c r="U30" s="239" t="s">
        <v>256</v>
      </c>
    </row>
    <row r="31" spans="1:25" x14ac:dyDescent="0.15">
      <c r="U31" s="239" t="s">
        <v>256</v>
      </c>
    </row>
    <row r="35" spans="1:17" x14ac:dyDescent="0.15">
      <c r="G35" s="680" t="s">
        <v>342</v>
      </c>
      <c r="H35" s="680"/>
      <c r="I35" s="680"/>
      <c r="J35" s="680"/>
      <c r="K35" s="680"/>
      <c r="L35" s="680"/>
      <c r="M35" s="680"/>
      <c r="N35" s="680"/>
      <c r="O35" s="680"/>
      <c r="P35" s="680"/>
      <c r="Q35" s="680"/>
    </row>
    <row r="37" spans="1:17" x14ac:dyDescent="0.15">
      <c r="E37" s="239" t="s">
        <v>3</v>
      </c>
      <c r="G37" s="301"/>
      <c r="H37" s="302"/>
      <c r="I37" s="302"/>
      <c r="J37" s="302"/>
      <c r="K37" s="302"/>
      <c r="L37" s="302"/>
      <c r="M37" s="399"/>
      <c r="O37" s="241" t="s">
        <v>3</v>
      </c>
    </row>
    <row r="38" spans="1:17" x14ac:dyDescent="0.2">
      <c r="E38" s="493">
        <v>2001</v>
      </c>
      <c r="G38" s="494" t="s">
        <v>325</v>
      </c>
      <c r="H38" s="298"/>
      <c r="I38" s="345" t="s">
        <v>326</v>
      </c>
      <c r="J38" s="298"/>
      <c r="K38" s="345" t="s">
        <v>350</v>
      </c>
      <c r="L38" s="298"/>
      <c r="M38" s="498"/>
      <c r="O38" s="241">
        <v>2002</v>
      </c>
    </row>
    <row r="39" spans="1:17" x14ac:dyDescent="0.2">
      <c r="E39" s="239" t="s">
        <v>335</v>
      </c>
      <c r="G39" s="495" t="s">
        <v>330</v>
      </c>
      <c r="H39" s="298"/>
      <c r="I39" s="351" t="s">
        <v>331</v>
      </c>
      <c r="J39" s="298"/>
      <c r="K39" s="351" t="s">
        <v>343</v>
      </c>
      <c r="L39" s="298"/>
      <c r="M39" s="353" t="s">
        <v>333</v>
      </c>
      <c r="O39" s="241" t="s">
        <v>335</v>
      </c>
    </row>
    <row r="40" spans="1:17" x14ac:dyDescent="0.15">
      <c r="G40" s="297"/>
      <c r="H40" s="298"/>
      <c r="I40" s="298"/>
      <c r="J40" s="298"/>
      <c r="K40" s="298"/>
      <c r="L40" s="298"/>
      <c r="M40" s="400"/>
    </row>
    <row r="41" spans="1:17" x14ac:dyDescent="0.15">
      <c r="G41" s="297"/>
      <c r="H41" s="298"/>
      <c r="I41" s="298"/>
      <c r="J41" s="298"/>
      <c r="K41" s="298"/>
      <c r="L41" s="298"/>
      <c r="M41" s="400"/>
    </row>
    <row r="42" spans="1:17" x14ac:dyDescent="0.15">
      <c r="G42" s="297"/>
      <c r="H42" s="298"/>
      <c r="I42" s="298"/>
      <c r="J42" s="298"/>
      <c r="K42" s="298"/>
      <c r="L42" s="298"/>
      <c r="M42" s="400"/>
    </row>
    <row r="43" spans="1:17" x14ac:dyDescent="0.2">
      <c r="A43" s="239" t="s">
        <v>7</v>
      </c>
      <c r="E43" s="398">
        <f>W16</f>
        <v>128.52691999999999</v>
      </c>
      <c r="G43" s="496">
        <v>-2.95</v>
      </c>
      <c r="H43" s="497"/>
      <c r="I43" s="497">
        <v>2.95</v>
      </c>
      <c r="J43" s="497"/>
      <c r="K43" s="497">
        <v>-9.8490000000000002</v>
      </c>
      <c r="L43" s="497"/>
      <c r="M43" s="401">
        <v>42.5</v>
      </c>
      <c r="N43" s="290"/>
      <c r="O43" s="360">
        <f>+E43+SUM(G43:M43)</f>
        <v>161.17791999999997</v>
      </c>
    </row>
    <row r="44" spans="1:17" x14ac:dyDescent="0.15">
      <c r="G44" s="496"/>
      <c r="H44" s="497"/>
      <c r="I44" s="497"/>
      <c r="J44" s="497"/>
      <c r="K44" s="497"/>
      <c r="L44" s="497"/>
      <c r="M44" s="401"/>
      <c r="N44" s="290"/>
      <c r="O44" s="290"/>
    </row>
    <row r="45" spans="1:17" x14ac:dyDescent="0.2">
      <c r="A45" s="239" t="s">
        <v>23</v>
      </c>
      <c r="E45" s="398">
        <f>W18</f>
        <v>14.273249999999999</v>
      </c>
      <c r="G45" s="496">
        <v>0</v>
      </c>
      <c r="H45" s="497"/>
      <c r="I45" s="497">
        <v>0</v>
      </c>
      <c r="J45" s="497"/>
      <c r="K45" s="497"/>
      <c r="L45" s="497"/>
      <c r="M45" s="401">
        <v>0.2</v>
      </c>
      <c r="N45" s="290"/>
      <c r="O45" s="360">
        <f>+E45+SUM(G45:M45)</f>
        <v>14.473249999999998</v>
      </c>
    </row>
    <row r="46" spans="1:17" x14ac:dyDescent="0.15">
      <c r="G46" s="496"/>
      <c r="H46" s="497"/>
      <c r="I46" s="497"/>
      <c r="J46" s="497"/>
      <c r="K46" s="497"/>
      <c r="L46" s="497"/>
      <c r="M46" s="401"/>
      <c r="N46" s="290"/>
      <c r="O46" s="290"/>
    </row>
    <row r="47" spans="1:17" x14ac:dyDescent="0.2">
      <c r="A47" s="239" t="s">
        <v>347</v>
      </c>
      <c r="E47" s="398">
        <f>W20</f>
        <v>8.6682579999999998</v>
      </c>
      <c r="G47" s="496">
        <v>0</v>
      </c>
      <c r="H47" s="497"/>
      <c r="I47" s="497">
        <v>0</v>
      </c>
      <c r="J47" s="497"/>
      <c r="K47" s="497"/>
      <c r="L47" s="497"/>
      <c r="M47" s="401">
        <v>0.24</v>
      </c>
      <c r="N47" s="290"/>
      <c r="O47" s="360">
        <f>+E47+SUM(G47:M47)</f>
        <v>8.908258</v>
      </c>
    </row>
    <row r="48" spans="1:17" x14ac:dyDescent="0.15">
      <c r="G48" s="402"/>
      <c r="H48" s="306"/>
      <c r="I48" s="403"/>
      <c r="J48" s="306"/>
      <c r="K48" s="403"/>
      <c r="L48" s="306"/>
      <c r="M48" s="404"/>
      <c r="N48" s="290"/>
      <c r="O48" s="290"/>
    </row>
    <row r="49" spans="1:19" x14ac:dyDescent="0.2">
      <c r="A49" s="239" t="s">
        <v>336</v>
      </c>
      <c r="E49" s="398">
        <f>SUM(E43:E48)</f>
        <v>151.46842799999999</v>
      </c>
      <c r="G49" s="368">
        <f>SUM(G43:G48)</f>
        <v>-2.95</v>
      </c>
      <c r="H49" s="362"/>
      <c r="I49" s="367">
        <f>SUM(I43:I48)</f>
        <v>2.95</v>
      </c>
      <c r="J49" s="362"/>
      <c r="K49" s="362">
        <f>SUM(K43:K48)</f>
        <v>-9.8490000000000002</v>
      </c>
      <c r="L49" s="362"/>
      <c r="M49" s="369">
        <f>SUM(M43:M48)</f>
        <v>42.940000000000005</v>
      </c>
      <c r="N49" s="290"/>
      <c r="O49" s="360">
        <f>+E49+SUM(G49:M49)</f>
        <v>184.559428</v>
      </c>
    </row>
    <row r="50" spans="1:19" x14ac:dyDescent="0.15">
      <c r="G50" s="305"/>
      <c r="H50" s="306"/>
      <c r="I50" s="306"/>
      <c r="J50" s="306"/>
      <c r="K50" s="306"/>
      <c r="L50" s="306"/>
      <c r="M50" s="401"/>
      <c r="N50" s="290"/>
      <c r="O50" s="290"/>
    </row>
    <row r="51" spans="1:19" x14ac:dyDescent="0.2">
      <c r="A51" s="239" t="s">
        <v>337</v>
      </c>
      <c r="E51" s="398" t="e">
        <f>W24</f>
        <v>#REF!</v>
      </c>
      <c r="G51" s="305">
        <v>-8.3000000000000007</v>
      </c>
      <c r="H51" s="306"/>
      <c r="I51" s="306">
        <v>0</v>
      </c>
      <c r="J51" s="306"/>
      <c r="K51" s="306"/>
      <c r="L51" s="306"/>
      <c r="M51" s="401">
        <v>0</v>
      </c>
      <c r="N51" s="290"/>
      <c r="O51" s="360" t="e">
        <f>+E51+SUM(G51:M51)</f>
        <v>#REF!</v>
      </c>
    </row>
    <row r="52" spans="1:19" x14ac:dyDescent="0.15">
      <c r="G52" s="305"/>
      <c r="H52" s="306"/>
      <c r="I52" s="306"/>
      <c r="J52" s="306"/>
      <c r="K52" s="306"/>
      <c r="L52" s="306"/>
      <c r="M52" s="401"/>
      <c r="N52" s="290"/>
      <c r="O52" s="290"/>
    </row>
    <row r="53" spans="1:19" x14ac:dyDescent="0.2">
      <c r="A53" s="239" t="s">
        <v>3</v>
      </c>
      <c r="E53" s="398" t="e">
        <f>SUM(E49:E52)</f>
        <v>#REF!</v>
      </c>
      <c r="G53" s="371">
        <f>SUM(G43:G51)-G49</f>
        <v>-11.25</v>
      </c>
      <c r="H53" s="370"/>
      <c r="I53" s="370">
        <f>SUM(I43:I51)-I49</f>
        <v>2.95</v>
      </c>
      <c r="J53" s="370"/>
      <c r="K53" s="370">
        <f>SUM(K43:K51)-K49</f>
        <v>-9.8490000000000002</v>
      </c>
      <c r="L53" s="370"/>
      <c r="M53" s="372">
        <f>SUM(M43:M51)-M49</f>
        <v>42.940000000000005</v>
      </c>
      <c r="N53" s="290"/>
      <c r="O53" s="360" t="e">
        <f>+E53+SUM(G53:M53)</f>
        <v>#REF!</v>
      </c>
    </row>
    <row r="59" spans="1:19" x14ac:dyDescent="0.15">
      <c r="G59" s="680" t="s">
        <v>346</v>
      </c>
      <c r="H59" s="680"/>
      <c r="I59" s="680"/>
      <c r="J59" s="680"/>
      <c r="K59" s="680"/>
      <c r="L59" s="680"/>
      <c r="M59" s="680"/>
      <c r="N59" s="680"/>
      <c r="O59" s="680"/>
      <c r="P59" s="680"/>
      <c r="Q59" s="680"/>
    </row>
    <row r="61" spans="1:19" x14ac:dyDescent="0.15">
      <c r="E61" s="239" t="s">
        <v>3</v>
      </c>
      <c r="G61" s="301"/>
      <c r="H61" s="302"/>
      <c r="I61" s="302"/>
      <c r="J61" s="302"/>
      <c r="K61" s="302"/>
      <c r="L61" s="302"/>
      <c r="M61" s="302"/>
      <c r="N61" s="302"/>
      <c r="O61" s="302"/>
      <c r="P61" s="302"/>
      <c r="Q61" s="399"/>
      <c r="S61" s="241" t="s">
        <v>3</v>
      </c>
    </row>
    <row r="62" spans="1:19" x14ac:dyDescent="0.2">
      <c r="E62" s="493">
        <v>2002</v>
      </c>
      <c r="G62" s="494" t="s">
        <v>325</v>
      </c>
      <c r="H62" s="298"/>
      <c r="I62" s="345" t="s">
        <v>326</v>
      </c>
      <c r="J62" s="298"/>
      <c r="K62" s="345"/>
      <c r="L62" s="298"/>
      <c r="M62" s="345"/>
      <c r="N62" s="298"/>
      <c r="O62" s="298"/>
      <c r="P62" s="298"/>
      <c r="Q62" s="400"/>
      <c r="S62" s="241">
        <v>2003</v>
      </c>
    </row>
    <row r="63" spans="1:19" x14ac:dyDescent="0.2">
      <c r="E63" s="239" t="s">
        <v>335</v>
      </c>
      <c r="G63" s="495" t="s">
        <v>330</v>
      </c>
      <c r="H63" s="298"/>
      <c r="I63" s="351" t="s">
        <v>331</v>
      </c>
      <c r="J63" s="298"/>
      <c r="K63" s="351"/>
      <c r="L63" s="298"/>
      <c r="M63" s="351"/>
      <c r="N63" s="298"/>
      <c r="O63" s="351" t="s">
        <v>333</v>
      </c>
      <c r="P63" s="298"/>
      <c r="Q63" s="353" t="s">
        <v>334</v>
      </c>
      <c r="S63" s="241" t="s">
        <v>335</v>
      </c>
    </row>
    <row r="64" spans="1:19" x14ac:dyDescent="0.15">
      <c r="G64" s="297"/>
      <c r="H64" s="298"/>
      <c r="I64" s="298"/>
      <c r="J64" s="298"/>
      <c r="K64" s="298"/>
      <c r="L64" s="298"/>
      <c r="M64" s="298"/>
      <c r="N64" s="298"/>
      <c r="O64" s="298"/>
      <c r="P64" s="298"/>
      <c r="Q64" s="400"/>
    </row>
    <row r="65" spans="1:19" x14ac:dyDescent="0.15">
      <c r="G65" s="297"/>
      <c r="H65" s="298"/>
      <c r="I65" s="298"/>
      <c r="J65" s="298"/>
      <c r="K65" s="298"/>
      <c r="L65" s="298"/>
      <c r="M65" s="298"/>
      <c r="N65" s="298"/>
      <c r="O65" s="298"/>
      <c r="P65" s="298"/>
      <c r="Q65" s="400"/>
    </row>
    <row r="66" spans="1:19" x14ac:dyDescent="0.15">
      <c r="G66" s="305"/>
      <c r="H66" s="306"/>
      <c r="I66" s="306"/>
      <c r="J66" s="306"/>
      <c r="K66" s="306"/>
      <c r="L66" s="306"/>
      <c r="M66" s="306"/>
      <c r="N66" s="306"/>
      <c r="O66" s="306"/>
      <c r="P66" s="306"/>
      <c r="Q66" s="401"/>
    </row>
    <row r="67" spans="1:19" x14ac:dyDescent="0.2">
      <c r="A67" s="239" t="s">
        <v>7</v>
      </c>
      <c r="E67" s="398">
        <f>O43</f>
        <v>161.17791999999997</v>
      </c>
      <c r="G67" s="305"/>
      <c r="H67" s="306"/>
      <c r="I67" s="306"/>
      <c r="J67" s="306"/>
      <c r="K67" s="306"/>
      <c r="L67" s="306"/>
      <c r="M67" s="306"/>
      <c r="N67" s="306"/>
      <c r="O67" s="306">
        <v>125.9</v>
      </c>
      <c r="P67" s="306"/>
      <c r="Q67" s="401"/>
      <c r="S67" s="360">
        <f>+E67+SUM(G67:Q67)</f>
        <v>287.07791999999995</v>
      </c>
    </row>
    <row r="68" spans="1:19" x14ac:dyDescent="0.15">
      <c r="G68" s="305"/>
      <c r="H68" s="306"/>
      <c r="I68" s="306"/>
      <c r="J68" s="306"/>
      <c r="K68" s="306"/>
      <c r="L68" s="306"/>
      <c r="M68" s="306"/>
      <c r="N68" s="306"/>
      <c r="O68" s="306"/>
      <c r="P68" s="306"/>
      <c r="Q68" s="401"/>
      <c r="S68" s="290"/>
    </row>
    <row r="69" spans="1:19" x14ac:dyDescent="0.2">
      <c r="A69" s="239" t="s">
        <v>23</v>
      </c>
      <c r="E69" s="398">
        <f>O45</f>
        <v>14.473249999999998</v>
      </c>
      <c r="G69" s="305"/>
      <c r="H69" s="306"/>
      <c r="I69" s="306"/>
      <c r="J69" s="306"/>
      <c r="K69" s="306"/>
      <c r="L69" s="306"/>
      <c r="M69" s="306"/>
      <c r="N69" s="306"/>
      <c r="O69" s="306">
        <v>0.4</v>
      </c>
      <c r="P69" s="306"/>
      <c r="Q69" s="401"/>
      <c r="S69" s="360">
        <f>+E69+SUM(G69:Q69)</f>
        <v>14.873249999999999</v>
      </c>
    </row>
    <row r="70" spans="1:19" x14ac:dyDescent="0.15">
      <c r="G70" s="305"/>
      <c r="H70" s="306"/>
      <c r="I70" s="306"/>
      <c r="J70" s="306"/>
      <c r="K70" s="306"/>
      <c r="L70" s="306"/>
      <c r="M70" s="306"/>
      <c r="N70" s="306"/>
      <c r="O70" s="306"/>
      <c r="P70" s="306"/>
      <c r="Q70" s="401"/>
      <c r="S70" s="290"/>
    </row>
    <row r="71" spans="1:19" x14ac:dyDescent="0.2">
      <c r="A71" s="239" t="s">
        <v>347</v>
      </c>
      <c r="E71" s="398">
        <f>O47</f>
        <v>8.908258</v>
      </c>
      <c r="G71" s="305"/>
      <c r="H71" s="306"/>
      <c r="I71" s="306"/>
      <c r="J71" s="306"/>
      <c r="K71" s="306"/>
      <c r="L71" s="306"/>
      <c r="M71" s="306"/>
      <c r="N71" s="306"/>
      <c r="O71" s="306"/>
      <c r="P71" s="306"/>
      <c r="Q71" s="401"/>
      <c r="S71" s="360">
        <f>+E71+SUM(G71:Q71)</f>
        <v>8.908258</v>
      </c>
    </row>
    <row r="72" spans="1:19" x14ac:dyDescent="0.15">
      <c r="G72" s="402"/>
      <c r="H72" s="306"/>
      <c r="I72" s="403"/>
      <c r="J72" s="306"/>
      <c r="K72" s="403"/>
      <c r="L72" s="306"/>
      <c r="M72" s="403"/>
      <c r="N72" s="306"/>
      <c r="O72" s="403"/>
      <c r="P72" s="306"/>
      <c r="Q72" s="404"/>
      <c r="R72" s="290"/>
      <c r="S72" s="290"/>
    </row>
    <row r="73" spans="1:19" x14ac:dyDescent="0.2">
      <c r="A73" s="239" t="s">
        <v>336</v>
      </c>
      <c r="E73" s="398">
        <f>SUM(E67:E72)</f>
        <v>184.55942799999997</v>
      </c>
      <c r="G73" s="368">
        <f>SUM(G67:G72)</f>
        <v>0</v>
      </c>
      <c r="H73" s="362"/>
      <c r="I73" s="367">
        <f>SUM(I67:I72)</f>
        <v>0</v>
      </c>
      <c r="J73" s="362"/>
      <c r="K73" s="362">
        <f>SUM(K67:K72)</f>
        <v>0</v>
      </c>
      <c r="L73" s="362"/>
      <c r="M73" s="367">
        <f>SUM(M67:M72)</f>
        <v>0</v>
      </c>
      <c r="N73" s="362"/>
      <c r="O73" s="369">
        <f>SUM(O67:O72)</f>
        <v>126.30000000000001</v>
      </c>
      <c r="P73" s="362"/>
      <c r="Q73" s="369"/>
      <c r="R73" s="290"/>
      <c r="S73" s="360">
        <f>+E73+SUM(G73:Q73)</f>
        <v>310.85942799999998</v>
      </c>
    </row>
    <row r="74" spans="1:19" x14ac:dyDescent="0.15">
      <c r="G74" s="305"/>
      <c r="H74" s="306"/>
      <c r="I74" s="306"/>
      <c r="J74" s="306"/>
      <c r="K74" s="306"/>
      <c r="L74" s="306"/>
      <c r="M74" s="306"/>
      <c r="N74" s="306"/>
      <c r="O74" s="306"/>
      <c r="P74" s="306"/>
      <c r="Q74" s="401"/>
      <c r="R74" s="290"/>
      <c r="S74" s="290"/>
    </row>
    <row r="75" spans="1:19" x14ac:dyDescent="0.2">
      <c r="A75" s="239" t="s">
        <v>337</v>
      </c>
      <c r="E75" s="398" t="e">
        <f>O51</f>
        <v>#REF!</v>
      </c>
      <c r="G75" s="305"/>
      <c r="H75" s="306"/>
      <c r="I75" s="306">
        <v>0</v>
      </c>
      <c r="J75" s="306"/>
      <c r="K75" s="306"/>
      <c r="L75" s="306"/>
      <c r="M75" s="306"/>
      <c r="N75" s="306"/>
      <c r="O75" s="306">
        <v>9.3000000000000007</v>
      </c>
      <c r="P75" s="306"/>
      <c r="Q75" s="401"/>
      <c r="R75" s="290"/>
      <c r="S75" s="360" t="e">
        <f>+E75+SUM(G75:Q75)</f>
        <v>#REF!</v>
      </c>
    </row>
    <row r="76" spans="1:19" x14ac:dyDescent="0.15">
      <c r="G76" s="305"/>
      <c r="H76" s="306"/>
      <c r="I76" s="306"/>
      <c r="J76" s="306"/>
      <c r="K76" s="306"/>
      <c r="L76" s="306"/>
      <c r="M76" s="306"/>
      <c r="N76" s="306"/>
      <c r="O76" s="306"/>
      <c r="P76" s="306"/>
      <c r="Q76" s="401"/>
      <c r="R76" s="290"/>
      <c r="S76" s="290"/>
    </row>
    <row r="77" spans="1:19" x14ac:dyDescent="0.2">
      <c r="A77" s="239" t="s">
        <v>3</v>
      </c>
      <c r="E77" s="398" t="e">
        <f>E73+E75</f>
        <v>#REF!</v>
      </c>
      <c r="G77" s="371">
        <f>SUM(G67:G75)-G73</f>
        <v>0</v>
      </c>
      <c r="H77" s="370"/>
      <c r="I77" s="370">
        <f>SUM(I67:I75)-I73</f>
        <v>0</v>
      </c>
      <c r="J77" s="370"/>
      <c r="K77" s="370">
        <f>SUM(K67:K75)-K73</f>
        <v>0</v>
      </c>
      <c r="L77" s="370"/>
      <c r="M77" s="370">
        <f>SUM(M67:M75)-M73</f>
        <v>0</v>
      </c>
      <c r="N77" s="370"/>
      <c r="O77" s="370">
        <f>SUM(O73:O76)</f>
        <v>135.60000000000002</v>
      </c>
      <c r="P77" s="370"/>
      <c r="Q77" s="372"/>
      <c r="R77" s="290"/>
      <c r="S77" s="360" t="e">
        <f>+E77+SUM(G77:Q77)</f>
        <v>#REF!</v>
      </c>
    </row>
    <row r="80" spans="1:19" x14ac:dyDescent="0.15">
      <c r="A80" s="239" t="s">
        <v>344</v>
      </c>
    </row>
    <row r="82" spans="1:1" x14ac:dyDescent="0.15">
      <c r="A82" s="239" t="s">
        <v>345</v>
      </c>
    </row>
  </sheetData>
  <mergeCells count="2">
    <mergeCell ref="G35:Q35"/>
    <mergeCell ref="G59:Q59"/>
  </mergeCells>
  <phoneticPr fontId="6" type="noConversion"/>
  <pageMargins left="0.75" right="0.75" top="1" bottom="1" header="0.5" footer="0.5"/>
  <pageSetup scale="67" fitToHeight="3" orientation="landscape" horizontalDpi="4294967292" r:id="rId1"/>
  <headerFooter alignWithMargins="0"/>
  <rowBreaks count="2" manualBreakCount="2">
    <brk id="33" max="23" man="1"/>
    <brk id="57" max="2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401"/>
  <sheetViews>
    <sheetView view="pageBreakPreview" zoomScale="75" zoomScaleNormal="75" workbookViewId="0">
      <pane xSplit="1" ySplit="10" topLeftCell="B281" activePane="bottomRight" state="frozen"/>
      <selection pane="topRight" activeCell="B1" sqref="B1"/>
      <selection pane="bottomLeft" activeCell="A11" sqref="A11"/>
      <selection pane="bottomRight" activeCell="H301" sqref="H301"/>
    </sheetView>
  </sheetViews>
  <sheetFormatPr defaultRowHeight="12.75" x14ac:dyDescent="0.15"/>
  <cols>
    <col min="1" max="1" width="62.59765625" style="200" customWidth="1"/>
    <col min="2" max="6" width="19.796875" style="8" bestFit="1" customWidth="1"/>
    <col min="7" max="7" width="19.19921875" style="8" bestFit="1" customWidth="1"/>
    <col min="8" max="11" width="15.3984375" style="8" customWidth="1"/>
    <col min="12" max="13" width="19.796875" style="8" bestFit="1" customWidth="1"/>
    <col min="14" max="14" width="21.796875" style="28" bestFit="1" customWidth="1"/>
    <col min="15" max="15" width="17" style="28" customWidth="1"/>
    <col min="16" max="16" width="17" style="8" customWidth="1"/>
    <col min="17" max="17" width="14.796875" style="8" customWidth="1"/>
    <col min="18" max="18" width="15.59765625" style="8" bestFit="1" customWidth="1"/>
    <col min="19" max="19" width="21.796875" style="8" bestFit="1" customWidth="1"/>
    <col min="20" max="21" width="17" style="28" customWidth="1"/>
    <col min="22" max="22" width="16" style="21" customWidth="1"/>
    <col min="23" max="23" width="16.796875" style="8" customWidth="1"/>
    <col min="24" max="24" width="8.796875" style="8" customWidth="1"/>
    <col min="25" max="25" width="6.796875" style="8" customWidth="1"/>
    <col min="26" max="26" width="9" style="8" customWidth="1"/>
    <col min="27" max="27" width="6.796875" style="8" customWidth="1"/>
    <col min="28" max="28" width="9" style="8" customWidth="1"/>
    <col min="29" max="16384" width="9.59765625" style="8"/>
  </cols>
  <sheetData>
    <row r="1" spans="1:24" x14ac:dyDescent="0.15">
      <c r="A1" s="170" t="s">
        <v>0</v>
      </c>
      <c r="B1" s="7">
        <v>31</v>
      </c>
      <c r="C1" s="27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63">
        <f>SUM(B1:M1)</f>
        <v>365</v>
      </c>
      <c r="O1" s="63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63">
        <v>365</v>
      </c>
      <c r="U1" s="63">
        <v>365</v>
      </c>
    </row>
    <row r="2" spans="1:24" ht="0.75" customHeight="1" x14ac:dyDescent="0.1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63"/>
      <c r="O2" s="63"/>
      <c r="P2" s="1"/>
      <c r="Q2" s="1"/>
      <c r="R2" s="1"/>
      <c r="S2" s="1"/>
      <c r="T2" s="63"/>
      <c r="U2" s="63"/>
    </row>
    <row r="3" spans="1:24" s="99" customFormat="1" ht="18" x14ac:dyDescent="0.15">
      <c r="A3" s="36" t="s">
        <v>1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8"/>
      <c r="O3" s="98"/>
      <c r="P3" s="97"/>
      <c r="Q3" s="97"/>
      <c r="R3" s="97"/>
      <c r="S3" s="97"/>
      <c r="T3" s="98"/>
      <c r="U3" s="98"/>
      <c r="V3" s="21"/>
    </row>
    <row r="4" spans="1:24" s="99" customFormat="1" ht="18" x14ac:dyDescent="0.15">
      <c r="A4" s="36" t="s">
        <v>470</v>
      </c>
      <c r="B4" s="100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101"/>
      <c r="O4" s="101"/>
      <c r="P4" s="97"/>
      <c r="Q4" s="97"/>
      <c r="R4" s="97"/>
      <c r="S4" s="97"/>
      <c r="T4" s="101"/>
      <c r="U4" s="101"/>
      <c r="V4" s="21"/>
    </row>
    <row r="5" spans="1:24" s="99" customFormat="1" ht="18" x14ac:dyDescent="0.15">
      <c r="A5" s="36" t="s">
        <v>2</v>
      </c>
      <c r="B5" s="102"/>
      <c r="C5" s="97"/>
      <c r="D5" s="97"/>
      <c r="E5" s="97"/>
      <c r="F5" s="97"/>
      <c r="G5" s="97"/>
      <c r="H5" s="97"/>
      <c r="I5" s="97"/>
      <c r="J5" s="97"/>
      <c r="K5" s="97"/>
      <c r="L5" s="103"/>
      <c r="M5" s="97"/>
      <c r="N5" s="104"/>
      <c r="O5" s="104"/>
      <c r="P5" s="97"/>
      <c r="Q5" s="97"/>
      <c r="R5" s="97"/>
      <c r="S5" s="97"/>
      <c r="T5" s="104"/>
      <c r="U5" s="104"/>
      <c r="V5" s="21"/>
    </row>
    <row r="6" spans="1:24" s="99" customFormat="1" ht="18" x14ac:dyDescent="0.15">
      <c r="A6" s="36"/>
      <c r="B6" s="102"/>
      <c r="C6" s="97"/>
      <c r="D6" s="97"/>
      <c r="E6" s="97"/>
      <c r="F6" s="97"/>
      <c r="G6" s="97"/>
      <c r="H6" s="97"/>
      <c r="I6" s="97"/>
      <c r="J6" s="97"/>
      <c r="K6" s="97"/>
      <c r="L6" s="103"/>
      <c r="M6" s="97"/>
      <c r="N6" s="104"/>
      <c r="O6" s="104"/>
      <c r="P6" s="97"/>
      <c r="Q6" s="97"/>
      <c r="R6" s="97"/>
      <c r="S6" s="97"/>
      <c r="T6" s="104"/>
      <c r="U6" s="104"/>
      <c r="V6" s="21"/>
    </row>
    <row r="7" spans="1:24" x14ac:dyDescent="0.15">
      <c r="A7" s="171" t="str">
        <f ca="1">CELL("FILENAME")</f>
        <v>C:\Users\Felienne\Enron\EnronSpreadsheets\[tracy_geaccone__40543__CE 3-2001.xls]Model_source_data</v>
      </c>
      <c r="B7" s="12"/>
      <c r="C7" s="11"/>
      <c r="D7" s="11"/>
      <c r="E7" s="11"/>
      <c r="F7" s="11"/>
      <c r="G7" s="11"/>
      <c r="H7" s="11"/>
      <c r="I7" s="11"/>
      <c r="J7"/>
      <c r="K7" s="11"/>
      <c r="L7" s="13"/>
      <c r="M7" s="11"/>
      <c r="N7"/>
      <c r="O7"/>
      <c r="P7" s="11"/>
      <c r="Q7" s="11"/>
      <c r="R7" s="11"/>
      <c r="S7" s="11"/>
      <c r="T7"/>
      <c r="U7"/>
    </row>
    <row r="8" spans="1:24" x14ac:dyDescent="0.15">
      <c r="A8" s="111">
        <f ca="1">NOW()</f>
        <v>41887.55140300926</v>
      </c>
      <c r="B8" s="12"/>
      <c r="C8" s="11"/>
      <c r="D8" s="11"/>
      <c r="E8" s="11"/>
      <c r="F8" s="15"/>
      <c r="G8" s="15"/>
      <c r="H8" s="15"/>
      <c r="I8" s="15"/>
      <c r="J8" s="15"/>
      <c r="K8" s="15"/>
      <c r="L8" s="15"/>
      <c r="M8" s="15"/>
      <c r="N8" s="15"/>
      <c r="O8" s="15"/>
      <c r="P8" s="11"/>
      <c r="Q8" s="11"/>
      <c r="R8" s="11"/>
      <c r="S8" s="11"/>
      <c r="T8"/>
      <c r="U8"/>
    </row>
    <row r="9" spans="1:24" x14ac:dyDescent="0.15">
      <c r="A9" s="172"/>
      <c r="B9" s="15" t="s">
        <v>469</v>
      </c>
      <c r="C9" s="15" t="s">
        <v>469</v>
      </c>
      <c r="D9" s="15" t="s">
        <v>469</v>
      </c>
      <c r="E9" s="15" t="s">
        <v>469</v>
      </c>
      <c r="F9" s="15" t="s">
        <v>469</v>
      </c>
      <c r="G9" s="15" t="s">
        <v>469</v>
      </c>
      <c r="H9" s="15" t="s">
        <v>469</v>
      </c>
      <c r="I9" s="15" t="s">
        <v>469</v>
      </c>
      <c r="J9" s="579" t="s">
        <v>523</v>
      </c>
      <c r="K9" s="579" t="s">
        <v>467</v>
      </c>
      <c r="L9" s="579" t="s">
        <v>467</v>
      </c>
      <c r="M9" s="579" t="s">
        <v>467</v>
      </c>
      <c r="N9" s="579" t="s">
        <v>467</v>
      </c>
      <c r="O9" s="579" t="s">
        <v>474</v>
      </c>
      <c r="P9" s="579" t="s">
        <v>466</v>
      </c>
      <c r="Q9" s="579" t="s">
        <v>475</v>
      </c>
      <c r="R9" s="579" t="s">
        <v>476</v>
      </c>
      <c r="S9" s="186" t="s">
        <v>477</v>
      </c>
      <c r="T9" s="64"/>
      <c r="U9" s="64"/>
    </row>
    <row r="10" spans="1:24" x14ac:dyDescent="0.15">
      <c r="A10" s="173"/>
      <c r="B10" s="16" t="s">
        <v>497</v>
      </c>
      <c r="C10" s="16" t="s">
        <v>498</v>
      </c>
      <c r="D10" s="16" t="s">
        <v>210</v>
      </c>
      <c r="E10" s="16" t="s">
        <v>211</v>
      </c>
      <c r="F10" s="16" t="s">
        <v>168</v>
      </c>
      <c r="G10" s="16" t="s">
        <v>212</v>
      </c>
      <c r="H10" s="16" t="s">
        <v>213</v>
      </c>
      <c r="I10" s="16" t="s">
        <v>499</v>
      </c>
      <c r="J10" s="16" t="s">
        <v>500</v>
      </c>
      <c r="K10" s="16" t="s">
        <v>501</v>
      </c>
      <c r="L10" s="16" t="s">
        <v>502</v>
      </c>
      <c r="M10" s="16" t="s">
        <v>503</v>
      </c>
      <c r="N10" s="65" t="s">
        <v>3</v>
      </c>
      <c r="O10" s="17" t="s">
        <v>467</v>
      </c>
      <c r="P10" s="17" t="s">
        <v>467</v>
      </c>
      <c r="Q10" s="17" t="str">
        <f>P10</f>
        <v>Forecast</v>
      </c>
      <c r="R10" s="17" t="str">
        <f>P10</f>
        <v>Forecast</v>
      </c>
      <c r="S10" s="17" t="s">
        <v>467</v>
      </c>
      <c r="T10" s="485">
        <v>2002</v>
      </c>
      <c r="U10" s="485">
        <v>2003</v>
      </c>
    </row>
    <row r="11" spans="1:24" ht="15.75" x14ac:dyDescent="0.15">
      <c r="A11" s="174" t="s">
        <v>6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7"/>
      <c r="P11" s="66"/>
      <c r="Q11" s="66"/>
      <c r="R11" s="66"/>
      <c r="S11" s="66"/>
      <c r="T11" s="67"/>
      <c r="U11" s="67"/>
    </row>
    <row r="12" spans="1:24" ht="15.75" x14ac:dyDescent="0.15">
      <c r="A12" s="175" t="s">
        <v>7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7"/>
      <c r="P12" s="66"/>
      <c r="Q12" s="66"/>
      <c r="R12" s="66"/>
      <c r="S12" s="66"/>
      <c r="T12" s="67"/>
      <c r="U12" s="67"/>
    </row>
    <row r="13" spans="1:24" x14ac:dyDescent="0.15">
      <c r="A13" s="176" t="s">
        <v>8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70"/>
      <c r="O13" s="70"/>
      <c r="P13" s="69"/>
      <c r="Q13" s="69"/>
      <c r="R13" s="69"/>
      <c r="S13" s="69"/>
      <c r="T13" s="70"/>
      <c r="U13" s="70"/>
    </row>
    <row r="14" spans="1:24" x14ac:dyDescent="0.15">
      <c r="A14" s="177" t="s">
        <v>9</v>
      </c>
      <c r="B14" s="213">
        <v>265</v>
      </c>
      <c r="C14" s="213">
        <f>Detail!O125/Detail!O1/1000</f>
        <v>265</v>
      </c>
      <c r="D14" s="213">
        <v>265</v>
      </c>
      <c r="E14" s="213">
        <f>Detail!Q125/Detail!Q1/1000</f>
        <v>265</v>
      </c>
      <c r="F14" s="213">
        <f>265+1.3</f>
        <v>266.3</v>
      </c>
      <c r="G14" s="213">
        <f>262+1.3</f>
        <v>263.3</v>
      </c>
      <c r="H14" s="213">
        <f>240+1.3</f>
        <v>241.3</v>
      </c>
      <c r="I14" s="213">
        <f>240+1.3</f>
        <v>241.3</v>
      </c>
      <c r="J14" s="213">
        <f>Detail!V125/Detail!V1/1000</f>
        <v>266.3</v>
      </c>
      <c r="K14" s="213">
        <f>Detail!W125/Detail!W1/1000</f>
        <v>266.3</v>
      </c>
      <c r="L14" s="213">
        <f>Detail!X125/Detail!X1/1000</f>
        <v>266.3</v>
      </c>
      <c r="M14" s="213">
        <f>Detail!Y125/Detail!Y1/1000</f>
        <v>266.3</v>
      </c>
      <c r="N14" s="21">
        <f>SUM(B14:M14)/12</f>
        <v>261.45000000000005</v>
      </c>
      <c r="O14" s="71">
        <f>AVERAGE(B14:D14)</f>
        <v>265</v>
      </c>
      <c r="P14" s="71">
        <f>AVERAGE(E14:G14)</f>
        <v>264.86666666666662</v>
      </c>
      <c r="Q14" s="71">
        <f>AVERAGE(H14:J14)</f>
        <v>249.63333333333335</v>
      </c>
      <c r="R14" s="71">
        <f>AVERAGE(K14:M14)</f>
        <v>266.3</v>
      </c>
      <c r="S14" s="71">
        <f>AVERAGE(B14:M14)</f>
        <v>261.45000000000005</v>
      </c>
      <c r="T14" s="21">
        <v>265</v>
      </c>
      <c r="U14" s="21">
        <v>265</v>
      </c>
      <c r="W14" s="254">
        <v>60</v>
      </c>
      <c r="X14" s="254">
        <f>W14*0.85</f>
        <v>51</v>
      </c>
    </row>
    <row r="15" spans="1:24" x14ac:dyDescent="0.15">
      <c r="A15" s="177" t="s">
        <v>10</v>
      </c>
      <c r="B15" s="213">
        <v>421.06400000000002</v>
      </c>
      <c r="C15" s="213">
        <v>423.36900000000003</v>
      </c>
      <c r="D15" s="213">
        <f>420.1+0.5</f>
        <v>420.6</v>
      </c>
      <c r="E15" s="213">
        <v>396.3</v>
      </c>
      <c r="F15" s="213">
        <f>333.1+0.8</f>
        <v>333.90000000000003</v>
      </c>
      <c r="G15" s="213">
        <f>332+0.9</f>
        <v>332.9</v>
      </c>
      <c r="H15" s="213">
        <f>301.6+1.2</f>
        <v>302.8</v>
      </c>
      <c r="I15" s="213">
        <f>296.7+1.2</f>
        <v>297.89999999999998</v>
      </c>
      <c r="J15" s="213">
        <v>419.8</v>
      </c>
      <c r="K15" s="213">
        <f>Detail!W139/Detail!W1/1000</f>
        <v>382.67580645161291</v>
      </c>
      <c r="L15" s="213">
        <f>Detail!X139/Detail!X1/1000</f>
        <v>289.5893333333334</v>
      </c>
      <c r="M15" s="213">
        <f>Detail!Y139/Detail!Y1/1000</f>
        <v>316.89699999999999</v>
      </c>
      <c r="N15" s="21">
        <f>SUM(B15:M15)/12</f>
        <v>361.48292831541221</v>
      </c>
      <c r="O15" s="71">
        <f>AVERAGE(B15:D15)</f>
        <v>421.67766666666665</v>
      </c>
      <c r="P15" s="71">
        <f>AVERAGE(E15:G15)</f>
        <v>354.36666666666662</v>
      </c>
      <c r="Q15" s="71">
        <f>AVERAGE(H15:J15)</f>
        <v>340.16666666666669</v>
      </c>
      <c r="R15" s="71">
        <f>AVERAGE(K15:M15)</f>
        <v>329.72071326164877</v>
      </c>
      <c r="S15" s="71">
        <f>AVERAGE(B15:M15)</f>
        <v>361.48292831541221</v>
      </c>
      <c r="T15" s="21">
        <v>376.97916666666669</v>
      </c>
      <c r="U15" s="21">
        <v>376.97916666666669</v>
      </c>
      <c r="W15" s="254">
        <v>60</v>
      </c>
      <c r="X15" s="254">
        <f t="shared" ref="X15:X25" si="0">W15*0.85</f>
        <v>51</v>
      </c>
    </row>
    <row r="16" spans="1:24" x14ac:dyDescent="0.15">
      <c r="A16" s="177" t="s">
        <v>11</v>
      </c>
      <c r="B16" s="213">
        <v>16.411000000000001</v>
      </c>
      <c r="C16" s="213">
        <v>14.117000000000001</v>
      </c>
      <c r="D16" s="213">
        <v>12.3</v>
      </c>
      <c r="E16" s="213">
        <v>9.6999999999999993</v>
      </c>
      <c r="F16" s="213">
        <f>57.6</f>
        <v>57.6</v>
      </c>
      <c r="G16" s="213">
        <v>100</v>
      </c>
      <c r="H16" s="213">
        <v>148.4</v>
      </c>
      <c r="I16" s="213">
        <v>164.1</v>
      </c>
      <c r="J16" s="213">
        <v>0</v>
      </c>
      <c r="K16" s="213">
        <v>0</v>
      </c>
      <c r="L16" s="213">
        <v>0</v>
      </c>
      <c r="M16" s="213">
        <v>0</v>
      </c>
      <c r="N16" s="21">
        <f>SUM(B16:M16)/12</f>
        <v>43.552333333333337</v>
      </c>
      <c r="O16" s="71">
        <f>AVERAGE(B16:D16)</f>
        <v>14.276000000000002</v>
      </c>
      <c r="P16" s="71">
        <f>AVERAGE(E16:G16)</f>
        <v>55.766666666666673</v>
      </c>
      <c r="Q16" s="71">
        <f>AVERAGE(H16:J16)</f>
        <v>104.16666666666667</v>
      </c>
      <c r="R16" s="71">
        <f>AVERAGE(K16:M16)</f>
        <v>0</v>
      </c>
      <c r="S16" s="71">
        <f>AVERAGE(B16:M16)</f>
        <v>43.552333333333337</v>
      </c>
      <c r="T16" s="21">
        <v>0</v>
      </c>
      <c r="U16" s="21">
        <v>0</v>
      </c>
      <c r="W16" s="254">
        <v>60</v>
      </c>
      <c r="X16" s="254">
        <f t="shared" si="0"/>
        <v>51</v>
      </c>
    </row>
    <row r="17" spans="1:24" x14ac:dyDescent="0.15">
      <c r="A17" s="178" t="s">
        <v>12</v>
      </c>
      <c r="B17" s="214">
        <v>1.1200000000000001</v>
      </c>
      <c r="C17" s="214">
        <f>12.307+2.276</f>
        <v>14.583</v>
      </c>
      <c r="D17" s="214">
        <v>4.3</v>
      </c>
      <c r="E17" s="214">
        <v>171.5</v>
      </c>
      <c r="F17" s="214">
        <v>125.6</v>
      </c>
      <c r="G17" s="214">
        <v>56.9</v>
      </c>
      <c r="H17" s="214">
        <v>34</v>
      </c>
      <c r="I17" s="214">
        <v>33</v>
      </c>
      <c r="J17" s="214">
        <v>30</v>
      </c>
      <c r="K17" s="214">
        <v>0</v>
      </c>
      <c r="L17" s="214">
        <v>0</v>
      </c>
      <c r="M17" s="214">
        <v>0</v>
      </c>
      <c r="N17" s="115">
        <f>SUM(B17:M17)/12</f>
        <v>39.250249999999994</v>
      </c>
      <c r="O17" s="71">
        <f>AVERAGE(B17:D17)</f>
        <v>6.6676666666666664</v>
      </c>
      <c r="P17" s="71">
        <f>AVERAGE(E17:G17)</f>
        <v>118</v>
      </c>
      <c r="Q17" s="71">
        <f>AVERAGE(H17:J17)</f>
        <v>32.333333333333336</v>
      </c>
      <c r="R17" s="71">
        <f>AVERAGE(K17:M17)</f>
        <v>0</v>
      </c>
      <c r="S17" s="71">
        <f>AVERAGE(B17:M17)</f>
        <v>39.250249999999994</v>
      </c>
      <c r="T17" s="112">
        <v>0</v>
      </c>
      <c r="U17" s="112">
        <v>0</v>
      </c>
      <c r="W17" s="254">
        <v>60</v>
      </c>
      <c r="X17" s="254">
        <f t="shared" si="0"/>
        <v>51</v>
      </c>
    </row>
    <row r="18" spans="1:24" s="28" customFormat="1" x14ac:dyDescent="0.15">
      <c r="A18" s="176" t="s">
        <v>13</v>
      </c>
      <c r="B18" s="21">
        <f>SUM(B15:B17)</f>
        <v>438.59500000000003</v>
      </c>
      <c r="C18" s="21">
        <f t="shared" ref="C18:M18" si="1">SUM(C15:C17)</f>
        <v>452.06900000000007</v>
      </c>
      <c r="D18" s="21">
        <f t="shared" si="1"/>
        <v>437.20000000000005</v>
      </c>
      <c r="E18" s="21">
        <f t="shared" si="1"/>
        <v>577.5</v>
      </c>
      <c r="F18" s="21">
        <f t="shared" si="1"/>
        <v>517.1</v>
      </c>
      <c r="G18" s="21">
        <f t="shared" si="1"/>
        <v>489.79999999999995</v>
      </c>
      <c r="H18" s="21">
        <f t="shared" si="1"/>
        <v>485.20000000000005</v>
      </c>
      <c r="I18" s="21">
        <f t="shared" si="1"/>
        <v>495</v>
      </c>
      <c r="J18" s="21">
        <f t="shared" si="1"/>
        <v>449.8</v>
      </c>
      <c r="K18" s="21">
        <f t="shared" si="1"/>
        <v>382.67580645161291</v>
      </c>
      <c r="L18" s="21">
        <f t="shared" si="1"/>
        <v>289.5893333333334</v>
      </c>
      <c r="M18" s="21">
        <f t="shared" si="1"/>
        <v>316.89699999999999</v>
      </c>
      <c r="N18" s="580">
        <f t="shared" ref="N18:U18" si="2">SUM(N15:N17)</f>
        <v>444.28551164874551</v>
      </c>
      <c r="O18" s="580">
        <f t="shared" si="2"/>
        <v>442.62133333333333</v>
      </c>
      <c r="P18" s="580">
        <f t="shared" si="2"/>
        <v>528.13333333333321</v>
      </c>
      <c r="Q18" s="580">
        <f t="shared" si="2"/>
        <v>476.66666666666669</v>
      </c>
      <c r="R18" s="580">
        <f t="shared" si="2"/>
        <v>329.72071326164877</v>
      </c>
      <c r="S18" s="581">
        <f t="shared" si="2"/>
        <v>444.28551164874551</v>
      </c>
      <c r="T18" s="21">
        <f t="shared" si="2"/>
        <v>376.97916666666669</v>
      </c>
      <c r="U18" s="21">
        <f t="shared" si="2"/>
        <v>376.97916666666669</v>
      </c>
      <c r="V18" s="21"/>
      <c r="W18" s="254">
        <v>60</v>
      </c>
      <c r="X18" s="254">
        <f t="shared" si="0"/>
        <v>51</v>
      </c>
    </row>
    <row r="19" spans="1:24" s="28" customFormat="1" x14ac:dyDescent="0.15">
      <c r="A19" s="17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70"/>
      <c r="Q19" s="70"/>
      <c r="R19" s="70"/>
      <c r="S19" s="70"/>
      <c r="T19" s="21"/>
      <c r="U19" s="21"/>
      <c r="V19" s="21"/>
      <c r="W19" s="254">
        <v>60</v>
      </c>
      <c r="X19" s="254">
        <f t="shared" si="0"/>
        <v>51</v>
      </c>
    </row>
    <row r="20" spans="1:24" x14ac:dyDescent="0.15">
      <c r="A20" s="176" t="s">
        <v>14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21"/>
      <c r="O20" s="21"/>
      <c r="P20" s="69"/>
      <c r="Q20" s="69"/>
      <c r="R20" s="69"/>
      <c r="S20" s="69"/>
      <c r="T20" s="21"/>
      <c r="U20" s="21"/>
      <c r="W20" s="254">
        <v>60</v>
      </c>
      <c r="X20" s="254">
        <f t="shared" si="0"/>
        <v>51</v>
      </c>
    </row>
    <row r="21" spans="1:24" x14ac:dyDescent="0.15">
      <c r="A21" s="177" t="s">
        <v>9</v>
      </c>
      <c r="B21" s="213">
        <v>598.02700000000004</v>
      </c>
      <c r="C21" s="213">
        <v>614.31399999999996</v>
      </c>
      <c r="D21" s="213">
        <v>604.5</v>
      </c>
      <c r="E21" s="213">
        <v>578.5</v>
      </c>
      <c r="F21" s="213">
        <v>581.9</v>
      </c>
      <c r="G21" s="213">
        <v>591.6</v>
      </c>
      <c r="H21" s="213">
        <v>578.5</v>
      </c>
      <c r="I21" s="213">
        <v>578.79999999999995</v>
      </c>
      <c r="J21" s="213">
        <v>578.5</v>
      </c>
      <c r="K21" s="213">
        <f>Detail!W28/Detail!W1/1000</f>
        <v>578</v>
      </c>
      <c r="L21" s="213">
        <f>Detail!X28/Detail!X1/1000</f>
        <v>598</v>
      </c>
      <c r="M21" s="213">
        <f>Detail!Y28/Detail!Y1/1000</f>
        <v>584.5</v>
      </c>
      <c r="N21" s="21">
        <f>SUM(B21:M21)/12</f>
        <v>588.76175000000001</v>
      </c>
      <c r="O21" s="71">
        <f>AVERAGE(B21:D21)</f>
        <v>605.61366666666663</v>
      </c>
      <c r="P21" s="71">
        <f>AVERAGE(E21:G21)</f>
        <v>584</v>
      </c>
      <c r="Q21" s="71">
        <f>AVERAGE(H21:J21)</f>
        <v>578.6</v>
      </c>
      <c r="R21" s="71">
        <f>AVERAGE(K21:M21)</f>
        <v>586.83333333333337</v>
      </c>
      <c r="S21" s="71">
        <f>AVERAGE(B21:M21)</f>
        <v>588.76175000000001</v>
      </c>
      <c r="T21" s="21">
        <v>603</v>
      </c>
      <c r="U21" s="21">
        <v>678</v>
      </c>
      <c r="W21" s="254">
        <v>60</v>
      </c>
      <c r="X21" s="254">
        <f t="shared" si="0"/>
        <v>51</v>
      </c>
    </row>
    <row r="22" spans="1:24" x14ac:dyDescent="0.15">
      <c r="A22" s="177" t="s">
        <v>10</v>
      </c>
      <c r="B22" s="213">
        <v>399.67899999999997</v>
      </c>
      <c r="C22" s="213">
        <v>404.06099999999998</v>
      </c>
      <c r="D22" s="213">
        <v>407.3</v>
      </c>
      <c r="E22" s="213">
        <v>312</v>
      </c>
      <c r="F22" s="213">
        <v>335.9</v>
      </c>
      <c r="G22" s="213">
        <v>356.5</v>
      </c>
      <c r="H22" s="213">
        <v>365.3</v>
      </c>
      <c r="I22" s="213">
        <v>383.4</v>
      </c>
      <c r="J22" s="213">
        <f>348.9+15</f>
        <v>363.9</v>
      </c>
      <c r="K22" s="213">
        <f>Detail!W51/Detail!W1/1000</f>
        <v>357.29399999999998</v>
      </c>
      <c r="L22" s="213">
        <f>Detail!X51/Detail!X1/1000</f>
        <v>427.58</v>
      </c>
      <c r="M22" s="213">
        <f>Detail!Y51/Detail!Y1/1000</f>
        <v>357.25</v>
      </c>
      <c r="N22" s="21">
        <f>SUM(B22:M22)/12</f>
        <v>372.51366666666672</v>
      </c>
      <c r="O22" s="71">
        <f>AVERAGE(B22:D22)</f>
        <v>403.68</v>
      </c>
      <c r="P22" s="71">
        <f>AVERAGE(E22:G22)</f>
        <v>334.8</v>
      </c>
      <c r="Q22" s="71">
        <f>AVERAGE(H22:J22)</f>
        <v>370.86666666666662</v>
      </c>
      <c r="R22" s="71">
        <f>AVERAGE(K22:M22)</f>
        <v>380.70800000000003</v>
      </c>
      <c r="S22" s="71">
        <f>AVERAGE(B22:M22)</f>
        <v>372.51366666666672</v>
      </c>
      <c r="T22" s="21">
        <f>312.957+45.9</f>
        <v>358.85699999999997</v>
      </c>
      <c r="U22" s="21">
        <f>351.9+45.9</f>
        <v>397.79999999999995</v>
      </c>
      <c r="W22" s="254">
        <v>60</v>
      </c>
      <c r="X22" s="254">
        <f t="shared" si="0"/>
        <v>51</v>
      </c>
    </row>
    <row r="23" spans="1:24" x14ac:dyDescent="0.15">
      <c r="A23" s="177" t="s">
        <v>11</v>
      </c>
      <c r="B23" s="213">
        <v>9.4280000000000008</v>
      </c>
      <c r="C23" s="213">
        <v>9.8810000000000002</v>
      </c>
      <c r="D23" s="213">
        <v>9</v>
      </c>
      <c r="E23" s="213">
        <v>6.4</v>
      </c>
      <c r="F23" s="213">
        <v>7.5</v>
      </c>
      <c r="G23" s="213">
        <v>6.9</v>
      </c>
      <c r="H23" s="213">
        <v>4.5999999999999996</v>
      </c>
      <c r="I23" s="213">
        <v>4.5</v>
      </c>
      <c r="J23" s="213">
        <v>0</v>
      </c>
      <c r="K23" s="213">
        <v>0</v>
      </c>
      <c r="L23" s="213">
        <v>0</v>
      </c>
      <c r="M23" s="213">
        <v>0</v>
      </c>
      <c r="N23" s="21">
        <f>SUM(B23:M23)/12</f>
        <v>4.8507500000000006</v>
      </c>
      <c r="O23" s="71">
        <f>AVERAGE(B23:D23)</f>
        <v>9.4363333333333337</v>
      </c>
      <c r="P23" s="71">
        <f>AVERAGE(E23:G23)</f>
        <v>6.9333333333333336</v>
      </c>
      <c r="Q23" s="71">
        <f>AVERAGE(H23:J23)</f>
        <v>3.0333333333333332</v>
      </c>
      <c r="R23" s="71">
        <f>AVERAGE(K23:M23)</f>
        <v>0</v>
      </c>
      <c r="S23" s="71">
        <f>AVERAGE(B23:M23)</f>
        <v>4.8507500000000006</v>
      </c>
      <c r="T23" s="21">
        <v>0</v>
      </c>
      <c r="U23" s="21">
        <v>0</v>
      </c>
      <c r="W23" s="486">
        <v>560</v>
      </c>
      <c r="X23" s="254">
        <f t="shared" si="0"/>
        <v>476</v>
      </c>
    </row>
    <row r="24" spans="1:24" x14ac:dyDescent="0.15">
      <c r="A24" s="178" t="s">
        <v>15</v>
      </c>
      <c r="B24" s="213">
        <v>19.978000000000002</v>
      </c>
      <c r="C24" s="213"/>
      <c r="D24" s="213"/>
      <c r="E24" s="213">
        <v>0</v>
      </c>
      <c r="F24" s="213">
        <v>0</v>
      </c>
      <c r="G24" s="213">
        <v>0</v>
      </c>
      <c r="H24" s="213">
        <v>0</v>
      </c>
      <c r="I24" s="213">
        <v>0</v>
      </c>
      <c r="J24" s="213">
        <v>0</v>
      </c>
      <c r="K24" s="213">
        <f>Detail!W99/1000</f>
        <v>35</v>
      </c>
      <c r="L24" s="213">
        <f>Detail!X99/1000</f>
        <v>35</v>
      </c>
      <c r="M24" s="213">
        <f>Detail!Y99/1000</f>
        <v>65</v>
      </c>
      <c r="N24" s="116">
        <f>SUM(B24:M24)/12</f>
        <v>12.914833333333334</v>
      </c>
      <c r="O24" s="71">
        <f>AVERAGE(B24:D24)</f>
        <v>19.978000000000002</v>
      </c>
      <c r="P24" s="71">
        <f>AVERAGE(E24:G24)</f>
        <v>0</v>
      </c>
      <c r="Q24" s="71">
        <f>AVERAGE(H24:J24)</f>
        <v>0</v>
      </c>
      <c r="R24" s="71">
        <f>AVERAGE(K24:M24)</f>
        <v>45</v>
      </c>
      <c r="S24" s="71">
        <f>AVERAGE(B24:M24)</f>
        <v>15.497800000000002</v>
      </c>
      <c r="T24" s="112">
        <v>18.75</v>
      </c>
      <c r="U24" s="112">
        <v>18.75</v>
      </c>
      <c r="W24" s="254">
        <v>560</v>
      </c>
      <c r="X24" s="254">
        <f t="shared" si="0"/>
        <v>476</v>
      </c>
    </row>
    <row r="25" spans="1:24" x14ac:dyDescent="0.15">
      <c r="A25" s="176" t="s">
        <v>16</v>
      </c>
      <c r="B25" s="21">
        <f>SUM(B22:B24)</f>
        <v>429.08499999999998</v>
      </c>
      <c r="C25" s="21">
        <f t="shared" ref="C25:M25" si="3">SUM(C22:C24)</f>
        <v>413.94200000000001</v>
      </c>
      <c r="D25" s="21">
        <f t="shared" si="3"/>
        <v>416.3</v>
      </c>
      <c r="E25" s="21">
        <f t="shared" si="3"/>
        <v>318.39999999999998</v>
      </c>
      <c r="F25" s="21">
        <f t="shared" si="3"/>
        <v>343.4</v>
      </c>
      <c r="G25" s="21">
        <f t="shared" si="3"/>
        <v>363.4</v>
      </c>
      <c r="H25" s="21">
        <f t="shared" si="3"/>
        <v>369.90000000000003</v>
      </c>
      <c r="I25" s="21">
        <f t="shared" si="3"/>
        <v>387.9</v>
      </c>
      <c r="J25" s="21">
        <f t="shared" si="3"/>
        <v>363.9</v>
      </c>
      <c r="K25" s="21">
        <f t="shared" si="3"/>
        <v>392.29399999999998</v>
      </c>
      <c r="L25" s="21">
        <f t="shared" si="3"/>
        <v>462.58</v>
      </c>
      <c r="M25" s="21">
        <f t="shared" si="3"/>
        <v>422.25</v>
      </c>
      <c r="N25" s="580">
        <f t="shared" ref="N25:U25" si="4">SUM(N22:N24)</f>
        <v>390.27925000000005</v>
      </c>
      <c r="O25" s="580">
        <f t="shared" si="4"/>
        <v>433.09433333333334</v>
      </c>
      <c r="P25" s="580">
        <f t="shared" si="4"/>
        <v>341.73333333333335</v>
      </c>
      <c r="Q25" s="580">
        <f t="shared" si="4"/>
        <v>373.9</v>
      </c>
      <c r="R25" s="580">
        <f t="shared" si="4"/>
        <v>425.70800000000003</v>
      </c>
      <c r="S25" s="581">
        <f t="shared" si="4"/>
        <v>392.86221666666671</v>
      </c>
      <c r="T25" s="21">
        <f t="shared" si="4"/>
        <v>377.60699999999997</v>
      </c>
      <c r="U25" s="21">
        <f t="shared" si="4"/>
        <v>416.54999999999995</v>
      </c>
      <c r="W25" s="254">
        <v>560</v>
      </c>
      <c r="X25" s="254">
        <f t="shared" si="0"/>
        <v>476</v>
      </c>
    </row>
    <row r="26" spans="1:24" x14ac:dyDescent="0.15">
      <c r="A26" s="17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70"/>
      <c r="Q26" s="70"/>
      <c r="R26" s="70"/>
      <c r="S26" s="70"/>
      <c r="T26" s="21"/>
      <c r="U26" s="21"/>
      <c r="W26" s="254"/>
    </row>
    <row r="27" spans="1:24" x14ac:dyDescent="0.15">
      <c r="A27" s="176" t="s">
        <v>17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21"/>
      <c r="O27" s="21"/>
      <c r="P27" s="69"/>
      <c r="Q27" s="69"/>
      <c r="R27" s="69"/>
      <c r="S27" s="69"/>
      <c r="T27" s="21"/>
      <c r="U27" s="21"/>
      <c r="W27" s="486">
        <v>678</v>
      </c>
      <c r="X27" s="254">
        <f>W27*0.519</f>
        <v>351.88200000000001</v>
      </c>
    </row>
    <row r="28" spans="1:24" x14ac:dyDescent="0.15">
      <c r="A28" s="177" t="s">
        <v>9</v>
      </c>
      <c r="B28" s="213">
        <f>[2]Detail!N226/[2]Detail!N1/1000</f>
        <v>60</v>
      </c>
      <c r="C28" s="213">
        <f>Detail!O255/Detail!O1/1000</f>
        <v>60</v>
      </c>
      <c r="D28" s="213">
        <v>60</v>
      </c>
      <c r="E28" s="213">
        <v>52</v>
      </c>
      <c r="F28" s="213">
        <f>Detail!R255/Detail!R1/1000</f>
        <v>60</v>
      </c>
      <c r="G28" s="213">
        <f>Detail!S255/Detail!S1/1000</f>
        <v>60</v>
      </c>
      <c r="H28" s="213">
        <f>Detail!T255/Detail!T1/1000</f>
        <v>60</v>
      </c>
      <c r="I28" s="217">
        <v>60</v>
      </c>
      <c r="J28" s="213">
        <f>Detail!V255/Detail!V1/1000</f>
        <v>60</v>
      </c>
      <c r="K28" s="213">
        <f>Detail!W255/Detail!W1/1000</f>
        <v>60</v>
      </c>
      <c r="L28" s="213">
        <f>Detail!X255/Detail!X1/1000</f>
        <v>60</v>
      </c>
      <c r="M28" s="213">
        <f>Detail!Y255/Detail!Y1/1000</f>
        <v>60</v>
      </c>
      <c r="N28" s="21">
        <f>SUM(B28:M28)/12</f>
        <v>59.333333333333336</v>
      </c>
      <c r="O28" s="71">
        <f>AVERAGE(B28:D28)</f>
        <v>60</v>
      </c>
      <c r="P28" s="71">
        <f>AVERAGE(E28:G28)</f>
        <v>57.333333333333336</v>
      </c>
      <c r="Q28" s="71">
        <f>AVERAGE(H28:J28)</f>
        <v>60</v>
      </c>
      <c r="R28" s="71">
        <f>AVERAGE(K28:M28)</f>
        <v>60</v>
      </c>
      <c r="S28" s="71">
        <f>AVERAGE(B28:M28)</f>
        <v>59.333333333333336</v>
      </c>
      <c r="T28" s="21">
        <v>185</v>
      </c>
      <c r="U28" s="21">
        <v>560</v>
      </c>
      <c r="W28" s="486">
        <v>678</v>
      </c>
      <c r="X28" s="254">
        <f t="shared" ref="X28:X38" si="5">W28*0.519</f>
        <v>351.88200000000001</v>
      </c>
    </row>
    <row r="29" spans="1:24" x14ac:dyDescent="0.15">
      <c r="A29" s="177" t="s">
        <v>10</v>
      </c>
      <c r="B29" s="213">
        <v>59.594000000000001</v>
      </c>
      <c r="C29" s="213">
        <v>58.695</v>
      </c>
      <c r="D29" s="213">
        <v>58.4</v>
      </c>
      <c r="E29" s="213">
        <v>44.3</v>
      </c>
      <c r="F29" s="213">
        <v>55.3</v>
      </c>
      <c r="G29" s="213">
        <v>55.9</v>
      </c>
      <c r="H29" s="213">
        <v>57.9</v>
      </c>
      <c r="I29" s="217">
        <v>57.4</v>
      </c>
      <c r="J29" s="213">
        <v>53.9</v>
      </c>
      <c r="K29" s="213">
        <f>Detail!W262/Detail!W1/1000</f>
        <v>51</v>
      </c>
      <c r="L29" s="213">
        <f>Detail!X262/Detail!X1/1000</f>
        <v>51</v>
      </c>
      <c r="M29" s="213">
        <f>Detail!Y262/Detail!Y1/1000</f>
        <v>51</v>
      </c>
      <c r="N29" s="21">
        <f>SUM(B29:M29)/12</f>
        <v>54.532416666666656</v>
      </c>
      <c r="O29" s="71">
        <f>AVERAGE(B29:D29)</f>
        <v>58.896333333333331</v>
      </c>
      <c r="P29" s="71">
        <f>AVERAGE(E29:G29)</f>
        <v>51.833333333333336</v>
      </c>
      <c r="Q29" s="71">
        <f>AVERAGE(H29:J29)</f>
        <v>56.4</v>
      </c>
      <c r="R29" s="71">
        <f>AVERAGE(K29:M29)</f>
        <v>51</v>
      </c>
      <c r="S29" s="71">
        <f>AVERAGE(B29:M29)</f>
        <v>54.532416666666656</v>
      </c>
      <c r="T29" s="21">
        <v>157.25</v>
      </c>
      <c r="U29" s="21">
        <v>476</v>
      </c>
      <c r="W29" s="486">
        <v>678</v>
      </c>
      <c r="X29" s="254">
        <f t="shared" si="5"/>
        <v>351.88200000000001</v>
      </c>
    </row>
    <row r="30" spans="1:24" x14ac:dyDescent="0.15">
      <c r="A30" s="234"/>
      <c r="B30" s="213">
        <v>0</v>
      </c>
      <c r="C30" s="213">
        <v>0</v>
      </c>
      <c r="D30" s="213">
        <v>0</v>
      </c>
      <c r="E30" s="213">
        <v>0</v>
      </c>
      <c r="F30" s="213">
        <v>0</v>
      </c>
      <c r="G30" s="213">
        <v>0</v>
      </c>
      <c r="H30" s="213">
        <v>0</v>
      </c>
      <c r="I30" s="213">
        <v>0</v>
      </c>
      <c r="J30" s="213">
        <v>0</v>
      </c>
      <c r="K30" s="213">
        <v>0</v>
      </c>
      <c r="L30" s="213">
        <f>9.3-9.3</f>
        <v>0</v>
      </c>
      <c r="M30" s="213">
        <f>9.5-9.5</f>
        <v>0</v>
      </c>
      <c r="N30" s="21">
        <f>SUM(B30:M30)/12</f>
        <v>0</v>
      </c>
      <c r="O30" s="71">
        <f>AVERAGE(B30:D30)</f>
        <v>0</v>
      </c>
      <c r="P30" s="71">
        <f>AVERAGE(E30:G30)</f>
        <v>0</v>
      </c>
      <c r="Q30" s="71">
        <f>AVERAGE(H30:J30)</f>
        <v>0</v>
      </c>
      <c r="R30" s="71">
        <f>AVERAGE(K30:M30)</f>
        <v>0</v>
      </c>
      <c r="S30" s="71">
        <f>AVERAGE(B30:M30)</f>
        <v>0</v>
      </c>
      <c r="T30" s="21">
        <v>0</v>
      </c>
      <c r="U30" s="21">
        <v>0</v>
      </c>
      <c r="W30" s="486">
        <v>678</v>
      </c>
      <c r="X30" s="254">
        <f t="shared" si="5"/>
        <v>351.88200000000001</v>
      </c>
    </row>
    <row r="31" spans="1:24" x14ac:dyDescent="0.15">
      <c r="A31" s="178" t="s">
        <v>15</v>
      </c>
      <c r="B31" s="213">
        <v>0</v>
      </c>
      <c r="C31" s="213">
        <v>0</v>
      </c>
      <c r="D31" s="213">
        <v>0</v>
      </c>
      <c r="E31" s="213">
        <v>0</v>
      </c>
      <c r="F31" s="213">
        <v>0</v>
      </c>
      <c r="G31" s="213">
        <v>0</v>
      </c>
      <c r="H31" s="213">
        <v>0</v>
      </c>
      <c r="I31" s="213">
        <v>0</v>
      </c>
      <c r="J31" s="213">
        <v>0</v>
      </c>
      <c r="K31" s="213">
        <v>0</v>
      </c>
      <c r="L31" s="213">
        <v>0</v>
      </c>
      <c r="M31" s="213">
        <v>0</v>
      </c>
      <c r="N31" s="116">
        <f>SUM(B31:M31)/12</f>
        <v>0</v>
      </c>
      <c r="O31" s="71">
        <f>AVERAGE(B31:D31)</f>
        <v>0</v>
      </c>
      <c r="P31" s="71">
        <f>AVERAGE(E31:G31)</f>
        <v>0</v>
      </c>
      <c r="Q31" s="71">
        <f>AVERAGE(H31:J31)</f>
        <v>0</v>
      </c>
      <c r="R31" s="71">
        <f>AVERAGE(K31:M31)</f>
        <v>0</v>
      </c>
      <c r="S31" s="71">
        <f>AVERAGE(B31:M31)</f>
        <v>0</v>
      </c>
      <c r="T31" s="112">
        <v>0</v>
      </c>
      <c r="U31" s="112">
        <v>0</v>
      </c>
      <c r="W31" s="486">
        <v>678</v>
      </c>
      <c r="X31" s="254">
        <f t="shared" si="5"/>
        <v>351.88200000000001</v>
      </c>
    </row>
    <row r="32" spans="1:24" x14ac:dyDescent="0.15">
      <c r="A32" s="176" t="s">
        <v>18</v>
      </c>
      <c r="B32" s="21">
        <f>SUM(B29:B31)</f>
        <v>59.594000000000001</v>
      </c>
      <c r="C32" s="21">
        <f>SUM(C29:C31)</f>
        <v>58.695</v>
      </c>
      <c r="D32" s="21">
        <f t="shared" ref="D32:M32" si="6">SUM(D29:D31)</f>
        <v>58.4</v>
      </c>
      <c r="E32" s="21">
        <f t="shared" si="6"/>
        <v>44.3</v>
      </c>
      <c r="F32" s="21">
        <f t="shared" si="6"/>
        <v>55.3</v>
      </c>
      <c r="G32" s="21">
        <f t="shared" si="6"/>
        <v>55.9</v>
      </c>
      <c r="H32" s="21">
        <f t="shared" si="6"/>
        <v>57.9</v>
      </c>
      <c r="I32" s="21">
        <f t="shared" si="6"/>
        <v>57.4</v>
      </c>
      <c r="J32" s="21">
        <f t="shared" si="6"/>
        <v>53.9</v>
      </c>
      <c r="K32" s="21">
        <f t="shared" si="6"/>
        <v>51</v>
      </c>
      <c r="L32" s="21">
        <f t="shared" si="6"/>
        <v>51</v>
      </c>
      <c r="M32" s="21">
        <f t="shared" si="6"/>
        <v>51</v>
      </c>
      <c r="N32" s="580">
        <f t="shared" ref="N32:U32" si="7">SUM(N29:N31)</f>
        <v>54.532416666666656</v>
      </c>
      <c r="O32" s="580">
        <f t="shared" si="7"/>
        <v>58.896333333333331</v>
      </c>
      <c r="P32" s="580">
        <f t="shared" si="7"/>
        <v>51.833333333333336</v>
      </c>
      <c r="Q32" s="580">
        <f t="shared" si="7"/>
        <v>56.4</v>
      </c>
      <c r="R32" s="580">
        <f t="shared" si="7"/>
        <v>51</v>
      </c>
      <c r="S32" s="581">
        <f t="shared" si="7"/>
        <v>54.532416666666656</v>
      </c>
      <c r="T32" s="21">
        <f t="shared" si="7"/>
        <v>157.25</v>
      </c>
      <c r="U32" s="21">
        <f t="shared" si="7"/>
        <v>476</v>
      </c>
      <c r="W32" s="486">
        <v>678</v>
      </c>
      <c r="X32" s="254">
        <f t="shared" si="5"/>
        <v>351.88200000000001</v>
      </c>
    </row>
    <row r="33" spans="1:24" x14ac:dyDescent="0.15">
      <c r="A33" s="17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70"/>
      <c r="Q33" s="70"/>
      <c r="R33" s="70"/>
      <c r="S33" s="70"/>
      <c r="T33" s="21"/>
      <c r="U33" s="21"/>
      <c r="W33" s="486">
        <v>678</v>
      </c>
      <c r="X33" s="254">
        <f t="shared" si="5"/>
        <v>351.88200000000001</v>
      </c>
    </row>
    <row r="34" spans="1:24" x14ac:dyDescent="0.15">
      <c r="A34" s="176" t="s">
        <v>19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21"/>
      <c r="O34" s="21"/>
      <c r="P34" s="69"/>
      <c r="Q34" s="69"/>
      <c r="R34" s="69"/>
      <c r="S34" s="69"/>
      <c r="T34" s="21"/>
      <c r="U34" s="21"/>
      <c r="W34" s="486">
        <v>678</v>
      </c>
      <c r="X34" s="254">
        <f t="shared" si="5"/>
        <v>351.88200000000001</v>
      </c>
    </row>
    <row r="35" spans="1:24" x14ac:dyDescent="0.15">
      <c r="A35" s="177" t="s">
        <v>9</v>
      </c>
      <c r="B35" s="213">
        <v>183.6</v>
      </c>
      <c r="C35" s="213">
        <v>193.6</v>
      </c>
      <c r="D35" s="213">
        <v>192.6</v>
      </c>
      <c r="E35" s="213">
        <v>191.6</v>
      </c>
      <c r="F35" s="213">
        <v>180.2</v>
      </c>
      <c r="G35" s="213">
        <f>Detail!S202/Detail!S1/1000</f>
        <v>183.6</v>
      </c>
      <c r="H35" s="213">
        <v>173.9</v>
      </c>
      <c r="I35" s="213">
        <v>183.3</v>
      </c>
      <c r="J35" s="213">
        <f>Detail!V202/Detail!V1/1000</f>
        <v>183.6</v>
      </c>
      <c r="K35" s="213">
        <f>Detail!W202/Detail!W1/1000</f>
        <v>183.6</v>
      </c>
      <c r="L35" s="213">
        <f>Detail!X202/Detail!X1/1000</f>
        <v>198.6</v>
      </c>
      <c r="M35" s="213">
        <f>Detail!Y202/Detail!Y1/1000</f>
        <v>212.1</v>
      </c>
      <c r="N35" s="21">
        <f>SUM(B35:M35)/12</f>
        <v>188.35833333333332</v>
      </c>
      <c r="O35" s="71">
        <f>AVERAGE(B35:D35)</f>
        <v>189.93333333333331</v>
      </c>
      <c r="P35" s="71">
        <f>AVERAGE(E35:G35)</f>
        <v>185.13333333333333</v>
      </c>
      <c r="Q35" s="71">
        <f>AVERAGE(H35:J35)</f>
        <v>180.26666666666668</v>
      </c>
      <c r="R35" s="71">
        <f>AVERAGE(K35:M35)</f>
        <v>198.1</v>
      </c>
      <c r="S35" s="71">
        <f t="shared" ref="S35:S42" si="8">AVERAGE(B35:M35)</f>
        <v>188.35833333333332</v>
      </c>
      <c r="T35" s="21">
        <v>183.6</v>
      </c>
      <c r="U35" s="21">
        <v>183.6</v>
      </c>
      <c r="W35" s="486">
        <v>678</v>
      </c>
      <c r="X35" s="254">
        <f t="shared" si="5"/>
        <v>351.88200000000001</v>
      </c>
    </row>
    <row r="36" spans="1:24" x14ac:dyDescent="0.15">
      <c r="A36" s="177" t="s">
        <v>10</v>
      </c>
      <c r="B36" s="213">
        <v>180.06</v>
      </c>
      <c r="C36" s="213">
        <v>194.553</v>
      </c>
      <c r="D36" s="213">
        <v>198</v>
      </c>
      <c r="E36" s="213">
        <v>163.5</v>
      </c>
      <c r="F36" s="213">
        <v>159.30000000000001</v>
      </c>
      <c r="G36" s="213">
        <v>172.2</v>
      </c>
      <c r="H36" s="213">
        <v>177.5</v>
      </c>
      <c r="I36" s="213">
        <v>166.5</v>
      </c>
      <c r="J36" s="213">
        <v>152.6</v>
      </c>
      <c r="K36" s="213">
        <f>Detail!W217/Detail!W1/1000</f>
        <v>174.42</v>
      </c>
      <c r="L36" s="213">
        <f>Detail!X217/Detail!X1/1000</f>
        <v>198.6</v>
      </c>
      <c r="M36" s="213">
        <f>Detail!Y217/Detail!Y1/1000</f>
        <v>208.15799999999999</v>
      </c>
      <c r="N36" s="21">
        <f>SUM(B36:M36)/12</f>
        <v>178.78258333333335</v>
      </c>
      <c r="O36" s="71">
        <f>AVERAGE(B36:D36)</f>
        <v>190.87100000000001</v>
      </c>
      <c r="P36" s="71">
        <f>AVERAGE(E36:G36)</f>
        <v>165</v>
      </c>
      <c r="Q36" s="71">
        <f>AVERAGE(H36:J36)</f>
        <v>165.53333333333333</v>
      </c>
      <c r="R36" s="71">
        <f>AVERAGE(K36:M36)</f>
        <v>193.726</v>
      </c>
      <c r="S36" s="71">
        <f t="shared" si="8"/>
        <v>178.78258333333335</v>
      </c>
      <c r="T36" s="21">
        <f>163.098+9.1</f>
        <v>172.19800000000001</v>
      </c>
      <c r="U36" s="21">
        <f>163.098+9.1</f>
        <v>172.19800000000001</v>
      </c>
      <c r="W36" s="486">
        <v>678</v>
      </c>
      <c r="X36" s="254">
        <f t="shared" si="5"/>
        <v>351.88200000000001</v>
      </c>
    </row>
    <row r="37" spans="1:24" x14ac:dyDescent="0.15">
      <c r="A37" s="177" t="s">
        <v>11</v>
      </c>
      <c r="B37" s="213">
        <v>0</v>
      </c>
      <c r="C37" s="213">
        <v>0</v>
      </c>
      <c r="D37" s="213">
        <v>0</v>
      </c>
      <c r="E37" s="213">
        <v>0</v>
      </c>
      <c r="F37" s="213">
        <v>0</v>
      </c>
      <c r="G37" s="213">
        <v>0</v>
      </c>
      <c r="H37" s="213">
        <v>0</v>
      </c>
      <c r="I37" s="213">
        <v>0</v>
      </c>
      <c r="J37" s="213">
        <v>0</v>
      </c>
      <c r="K37" s="213">
        <v>0</v>
      </c>
      <c r="L37" s="213">
        <v>0</v>
      </c>
      <c r="M37" s="213">
        <v>0</v>
      </c>
      <c r="N37" s="21">
        <f>SUM(B37:M37)/12</f>
        <v>0</v>
      </c>
      <c r="O37" s="71">
        <f>AVERAGE(B37:D37)</f>
        <v>0</v>
      </c>
      <c r="P37" s="71">
        <f>AVERAGE(E37:G37)</f>
        <v>0</v>
      </c>
      <c r="Q37" s="71">
        <f>AVERAGE(H37:J37)</f>
        <v>0</v>
      </c>
      <c r="R37" s="71">
        <f>AVERAGE(K37:M37)</f>
        <v>0</v>
      </c>
      <c r="S37" s="71">
        <f t="shared" si="8"/>
        <v>0</v>
      </c>
      <c r="T37" s="21">
        <v>0</v>
      </c>
      <c r="U37" s="21">
        <v>0</v>
      </c>
      <c r="W37" s="486">
        <v>678</v>
      </c>
      <c r="X37" s="254">
        <f t="shared" si="5"/>
        <v>351.88200000000001</v>
      </c>
    </row>
    <row r="38" spans="1:24" x14ac:dyDescent="0.15">
      <c r="A38" s="177" t="s">
        <v>201</v>
      </c>
      <c r="B38" s="213">
        <v>1.29</v>
      </c>
      <c r="C38" s="213">
        <v>0</v>
      </c>
      <c r="D38" s="213"/>
      <c r="E38" s="213">
        <v>0</v>
      </c>
      <c r="F38" s="213">
        <v>0</v>
      </c>
      <c r="G38" s="213">
        <v>0</v>
      </c>
      <c r="H38" s="213">
        <v>0</v>
      </c>
      <c r="I38" s="213">
        <v>0</v>
      </c>
      <c r="J38" s="213">
        <v>0</v>
      </c>
      <c r="K38" s="213">
        <v>0</v>
      </c>
      <c r="L38" s="213">
        <v>0</v>
      </c>
      <c r="M38" s="213">
        <v>0</v>
      </c>
      <c r="N38" s="21">
        <f>SUM(B38:M38)/12</f>
        <v>0.1075</v>
      </c>
      <c r="O38" s="71">
        <f>AVERAGE(B38:D38)</f>
        <v>0.64500000000000002</v>
      </c>
      <c r="P38" s="71">
        <f>AVERAGE(E38:G38)</f>
        <v>0</v>
      </c>
      <c r="Q38" s="71">
        <f>AVERAGE(H38:J38)</f>
        <v>0</v>
      </c>
      <c r="R38" s="71">
        <f>AVERAGE(K38:M38)</f>
        <v>0</v>
      </c>
      <c r="S38" s="71">
        <f t="shared" si="8"/>
        <v>0.11727272727272728</v>
      </c>
      <c r="T38" s="21"/>
      <c r="U38" s="21"/>
      <c r="W38" s="486">
        <v>678</v>
      </c>
      <c r="X38" s="254">
        <f t="shared" si="5"/>
        <v>351.88200000000001</v>
      </c>
    </row>
    <row r="39" spans="1:24" x14ac:dyDescent="0.15">
      <c r="A39" s="178" t="s">
        <v>15</v>
      </c>
      <c r="B39" s="214">
        <v>0</v>
      </c>
      <c r="C39" s="214">
        <v>0</v>
      </c>
      <c r="D39" s="214">
        <v>0</v>
      </c>
      <c r="E39" s="214">
        <v>0</v>
      </c>
      <c r="F39" s="214">
        <v>0</v>
      </c>
      <c r="G39" s="214">
        <v>-8.6</v>
      </c>
      <c r="H39" s="214">
        <v>0</v>
      </c>
      <c r="I39" s="214">
        <v>0</v>
      </c>
      <c r="J39" s="214">
        <v>0</v>
      </c>
      <c r="K39" s="214">
        <v>0</v>
      </c>
      <c r="L39" s="214">
        <v>0</v>
      </c>
      <c r="M39" s="214">
        <v>0</v>
      </c>
      <c r="N39" s="115">
        <f>SUM(B39:M39)/12</f>
        <v>-0.71666666666666667</v>
      </c>
      <c r="O39" s="71">
        <f>AVERAGE(B39:D39)</f>
        <v>0</v>
      </c>
      <c r="P39" s="71">
        <f>AVERAGE(E39:G39)</f>
        <v>-2.8666666666666667</v>
      </c>
      <c r="Q39" s="71">
        <f>AVERAGE(H39:J39)</f>
        <v>0</v>
      </c>
      <c r="R39" s="71">
        <f>AVERAGE(K39:M39)</f>
        <v>0</v>
      </c>
      <c r="S39" s="71">
        <f t="shared" si="8"/>
        <v>-0.71666666666666667</v>
      </c>
      <c r="T39" s="112">
        <v>0</v>
      </c>
      <c r="U39" s="112">
        <v>0</v>
      </c>
      <c r="X39" s="29"/>
    </row>
    <row r="40" spans="1:24" x14ac:dyDescent="0.15">
      <c r="A40" s="176" t="s">
        <v>20</v>
      </c>
      <c r="B40" s="21">
        <f>SUM(B36:B39)</f>
        <v>181.35</v>
      </c>
      <c r="C40" s="21">
        <f t="shared" ref="C40:M40" si="9">SUM(C36:C39)</f>
        <v>194.553</v>
      </c>
      <c r="D40" s="21">
        <f t="shared" si="9"/>
        <v>198</v>
      </c>
      <c r="E40" s="21">
        <f t="shared" si="9"/>
        <v>163.5</v>
      </c>
      <c r="F40" s="21">
        <f t="shared" si="9"/>
        <v>159.30000000000001</v>
      </c>
      <c r="G40" s="21">
        <f t="shared" si="9"/>
        <v>163.6</v>
      </c>
      <c r="H40" s="21">
        <f t="shared" si="9"/>
        <v>177.5</v>
      </c>
      <c r="I40" s="21">
        <f t="shared" si="9"/>
        <v>166.5</v>
      </c>
      <c r="J40" s="21">
        <f t="shared" si="9"/>
        <v>152.6</v>
      </c>
      <c r="K40" s="21">
        <f t="shared" si="9"/>
        <v>174.42</v>
      </c>
      <c r="L40" s="21">
        <f t="shared" si="9"/>
        <v>198.6</v>
      </c>
      <c r="M40" s="21">
        <f t="shared" si="9"/>
        <v>208.15799999999999</v>
      </c>
      <c r="N40" s="21">
        <f>SUM(N36:N39)</f>
        <v>178.17341666666667</v>
      </c>
      <c r="O40" s="21">
        <f>SUM(O36:O39)</f>
        <v>191.51600000000002</v>
      </c>
      <c r="P40" s="21">
        <f>SUM(P36:P39)</f>
        <v>162.13333333333333</v>
      </c>
      <c r="Q40" s="21">
        <f>SUM(Q36:Q39)</f>
        <v>165.53333333333333</v>
      </c>
      <c r="R40" s="21">
        <f>SUM(R36:R39)</f>
        <v>193.726</v>
      </c>
      <c r="S40" s="71">
        <f t="shared" si="8"/>
        <v>178.17341666666664</v>
      </c>
      <c r="T40" s="21">
        <f>SUM(T36:T39)</f>
        <v>172.19800000000001</v>
      </c>
      <c r="U40" s="21">
        <f>SUM(U36:U39)</f>
        <v>172.19800000000001</v>
      </c>
      <c r="W40" s="30"/>
    </row>
    <row r="41" spans="1:24" s="28" customFormat="1" x14ac:dyDescent="0.15">
      <c r="A41" s="179" t="s">
        <v>21</v>
      </c>
      <c r="B41" s="113">
        <f>B18+B25+B32+B40</f>
        <v>1108.624</v>
      </c>
      <c r="C41" s="113">
        <f>C18+C25+C32+C40</f>
        <v>1119.259</v>
      </c>
      <c r="D41" s="113">
        <f t="shared" ref="D41:R41" si="10">D18+D25+D32+D40</f>
        <v>1109.9000000000001</v>
      </c>
      <c r="E41" s="113">
        <f t="shared" si="10"/>
        <v>1103.6999999999998</v>
      </c>
      <c r="F41" s="113">
        <f t="shared" si="10"/>
        <v>1075.0999999999999</v>
      </c>
      <c r="G41" s="113">
        <f t="shared" si="10"/>
        <v>1072.6999999999998</v>
      </c>
      <c r="H41" s="113">
        <f t="shared" si="10"/>
        <v>1090.5</v>
      </c>
      <c r="I41" s="113">
        <f t="shared" si="10"/>
        <v>1106.8</v>
      </c>
      <c r="J41" s="113">
        <f t="shared" si="10"/>
        <v>1020.2</v>
      </c>
      <c r="K41" s="113">
        <f t="shared" si="10"/>
        <v>1000.3898064516128</v>
      </c>
      <c r="L41" s="113">
        <f t="shared" si="10"/>
        <v>1001.7693333333334</v>
      </c>
      <c r="M41" s="113">
        <f t="shared" si="10"/>
        <v>998.30499999999995</v>
      </c>
      <c r="N41" s="167">
        <f t="shared" si="10"/>
        <v>1067.270594982079</v>
      </c>
      <c r="O41" s="167">
        <f t="shared" si="10"/>
        <v>1126.1280000000002</v>
      </c>
      <c r="P41" s="167">
        <f t="shared" si="10"/>
        <v>1083.8333333333333</v>
      </c>
      <c r="Q41" s="167">
        <f t="shared" si="10"/>
        <v>1072.5</v>
      </c>
      <c r="R41" s="167">
        <f t="shared" si="10"/>
        <v>1000.1547132616488</v>
      </c>
      <c r="S41" s="71">
        <f t="shared" si="8"/>
        <v>1067.270594982079</v>
      </c>
      <c r="T41" s="167">
        <f>T18+T25+T32+T40</f>
        <v>1084.0341666666668</v>
      </c>
      <c r="U41" s="167">
        <f>U18+U25+U32+U40</f>
        <v>1441.7271666666668</v>
      </c>
      <c r="V41" s="21"/>
      <c r="W41" s="31"/>
      <c r="X41" s="31"/>
    </row>
    <row r="42" spans="1:24" s="28" customFormat="1" x14ac:dyDescent="0.15">
      <c r="A42" s="179" t="s">
        <v>22</v>
      </c>
      <c r="B42" s="113">
        <f>+B14+B21+B28+B35</f>
        <v>1106.627</v>
      </c>
      <c r="C42" s="113">
        <f>+C14+C21+C28+C35</f>
        <v>1132.914</v>
      </c>
      <c r="D42" s="113">
        <f t="shared" ref="D42:P42" si="11">+D14+D21+D28+D35</f>
        <v>1122.0999999999999</v>
      </c>
      <c r="E42" s="113">
        <f t="shared" si="11"/>
        <v>1087.0999999999999</v>
      </c>
      <c r="F42" s="113">
        <f t="shared" si="11"/>
        <v>1088.4000000000001</v>
      </c>
      <c r="G42" s="113">
        <f t="shared" si="11"/>
        <v>1098.5</v>
      </c>
      <c r="H42" s="113">
        <f t="shared" si="11"/>
        <v>1053.7</v>
      </c>
      <c r="I42" s="113">
        <f t="shared" si="11"/>
        <v>1063.3999999999999</v>
      </c>
      <c r="J42" s="113">
        <f t="shared" si="11"/>
        <v>1088.3999999999999</v>
      </c>
      <c r="K42" s="113">
        <f t="shared" si="11"/>
        <v>1087.8999999999999</v>
      </c>
      <c r="L42" s="113">
        <f t="shared" si="11"/>
        <v>1122.8999999999999</v>
      </c>
      <c r="M42" s="113">
        <f t="shared" si="11"/>
        <v>1122.8999999999999</v>
      </c>
      <c r="N42" s="167">
        <f t="shared" si="11"/>
        <v>1097.9034166666668</v>
      </c>
      <c r="O42" s="167">
        <f>+O14+O21+O28+O35</f>
        <v>1120.547</v>
      </c>
      <c r="P42" s="167">
        <f t="shared" si="11"/>
        <v>1091.3333333333333</v>
      </c>
      <c r="Q42" s="167">
        <f>+Q14+Q21+Q28+Q35</f>
        <v>1068.5</v>
      </c>
      <c r="R42" s="167">
        <f>+R14+R21+R28+R35</f>
        <v>1111.2333333333333</v>
      </c>
      <c r="S42" s="71">
        <f t="shared" si="8"/>
        <v>1097.9034166666665</v>
      </c>
      <c r="T42" s="167">
        <f>+T14+T21+T28+T35</f>
        <v>1236.5999999999999</v>
      </c>
      <c r="U42" s="167">
        <f>+U14+U21+U28+U35</f>
        <v>1686.6</v>
      </c>
      <c r="V42" s="21"/>
    </row>
    <row r="43" spans="1:24" x14ac:dyDescent="0.15">
      <c r="A43" s="180" t="s">
        <v>314</v>
      </c>
      <c r="B43" s="569">
        <f t="shared" ref="B43:G43" si="12">B41/B42</f>
        <v>1.0018045827546229</v>
      </c>
      <c r="C43" s="569">
        <f t="shared" si="12"/>
        <v>0.98794701098229876</v>
      </c>
      <c r="D43" s="569">
        <f t="shared" si="12"/>
        <v>0.98912752874075416</v>
      </c>
      <c r="E43" s="569">
        <f t="shared" si="12"/>
        <v>1.0152699843620641</v>
      </c>
      <c r="F43" s="569">
        <f t="shared" si="12"/>
        <v>0.98778022785740516</v>
      </c>
      <c r="G43" s="569">
        <f t="shared" si="12"/>
        <v>0.97651342740100122</v>
      </c>
      <c r="H43" s="569">
        <f t="shared" ref="H43:N43" si="13">H41/H42</f>
        <v>1.0349245515801462</v>
      </c>
      <c r="I43" s="569">
        <f t="shared" si="13"/>
        <v>1.0408124882452512</v>
      </c>
      <c r="J43" s="569">
        <f t="shared" si="13"/>
        <v>0.93733921352443972</v>
      </c>
      <c r="K43" s="569">
        <f t="shared" si="13"/>
        <v>0.91956044347055144</v>
      </c>
      <c r="L43" s="569">
        <f t="shared" si="13"/>
        <v>0.89212693323834136</v>
      </c>
      <c r="M43" s="569">
        <f t="shared" si="13"/>
        <v>0.88904176685368252</v>
      </c>
      <c r="N43" s="569">
        <f t="shared" si="13"/>
        <v>0.97209880102423607</v>
      </c>
      <c r="O43" s="21"/>
      <c r="P43" s="71"/>
      <c r="Q43" s="71"/>
      <c r="R43" s="71"/>
      <c r="S43" s="71"/>
      <c r="T43" s="21"/>
      <c r="U43" s="21"/>
    </row>
    <row r="44" spans="1:24" ht="15.75" x14ac:dyDescent="0.15">
      <c r="A44" s="175" t="s">
        <v>23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14"/>
      <c r="O44" s="114"/>
      <c r="P44" s="66"/>
      <c r="Q44" s="66"/>
      <c r="R44" s="66"/>
      <c r="S44" s="66"/>
      <c r="T44" s="114"/>
      <c r="U44" s="114"/>
    </row>
    <row r="45" spans="1:24" x14ac:dyDescent="0.15">
      <c r="A45" s="176" t="s">
        <v>195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21"/>
      <c r="O45" s="21"/>
      <c r="P45" s="69"/>
      <c r="Q45" s="69"/>
      <c r="R45" s="69"/>
      <c r="S45" s="69"/>
      <c r="T45" s="21"/>
      <c r="U45" s="21"/>
    </row>
    <row r="46" spans="1:24" x14ac:dyDescent="0.15">
      <c r="A46" s="177" t="s">
        <v>9</v>
      </c>
      <c r="B46" s="213">
        <v>80</v>
      </c>
      <c r="C46" s="213">
        <v>80</v>
      </c>
      <c r="D46" s="213">
        <v>72.3</v>
      </c>
      <c r="E46" s="213">
        <v>80</v>
      </c>
      <c r="F46" s="213">
        <v>80</v>
      </c>
      <c r="G46" s="213">
        <v>80</v>
      </c>
      <c r="H46" s="213">
        <v>80</v>
      </c>
      <c r="I46" s="213">
        <v>80</v>
      </c>
      <c r="J46" s="213">
        <v>80</v>
      </c>
      <c r="K46" s="213">
        <v>0</v>
      </c>
      <c r="L46" s="213">
        <v>0</v>
      </c>
      <c r="M46" s="213">
        <v>0</v>
      </c>
      <c r="N46" s="21">
        <f>SUM(B46:M46)/12</f>
        <v>59.358333333333327</v>
      </c>
      <c r="O46" s="71">
        <f>AVERAGE(B46:D46)</f>
        <v>77.433333333333337</v>
      </c>
      <c r="P46" s="71">
        <f>AVERAGE(E46:G46)</f>
        <v>80</v>
      </c>
      <c r="Q46" s="71">
        <f>AVERAGE(H46:J46)</f>
        <v>80</v>
      </c>
      <c r="R46" s="71">
        <f>AVERAGE(K46:M46)</f>
        <v>0</v>
      </c>
      <c r="S46" s="71">
        <f>AVERAGE(B46:M46)</f>
        <v>59.358333333333327</v>
      </c>
      <c r="T46" s="21">
        <v>0</v>
      </c>
      <c r="U46" s="21">
        <v>0</v>
      </c>
    </row>
    <row r="47" spans="1:24" x14ac:dyDescent="0.15">
      <c r="A47" s="177" t="s">
        <v>10</v>
      </c>
      <c r="B47" s="213">
        <v>7.1989999999999998</v>
      </c>
      <c r="C47" s="213">
        <v>9.0440000000000005</v>
      </c>
      <c r="D47" s="213">
        <v>10.4</v>
      </c>
      <c r="E47" s="213">
        <v>14.7</v>
      </c>
      <c r="F47" s="213">
        <v>22.6</v>
      </c>
      <c r="G47" s="213">
        <v>18.3</v>
      </c>
      <c r="H47" s="213">
        <v>1</v>
      </c>
      <c r="I47" s="213">
        <v>0.2</v>
      </c>
      <c r="J47" s="213">
        <v>0</v>
      </c>
      <c r="K47" s="213">
        <v>0</v>
      </c>
      <c r="L47" s="213">
        <v>0</v>
      </c>
      <c r="M47" s="213">
        <v>0</v>
      </c>
      <c r="N47" s="21">
        <f>SUM(B47:M47)/12</f>
        <v>6.9535833333333343</v>
      </c>
      <c r="O47" s="71">
        <f>AVERAGE(B47:D47)</f>
        <v>8.8810000000000002</v>
      </c>
      <c r="P47" s="71">
        <f>AVERAGE(E47:G47)</f>
        <v>18.533333333333331</v>
      </c>
      <c r="Q47" s="71">
        <f>AVERAGE(H47:J47)</f>
        <v>0.39999999999999997</v>
      </c>
      <c r="R47" s="71">
        <f>AVERAGE(K47:M47)</f>
        <v>0</v>
      </c>
      <c r="S47" s="71">
        <f>AVERAGE(B47:M47)</f>
        <v>6.9535833333333343</v>
      </c>
      <c r="T47" s="21">
        <v>0</v>
      </c>
      <c r="U47" s="21">
        <v>0</v>
      </c>
    </row>
    <row r="48" spans="1:24" x14ac:dyDescent="0.15">
      <c r="A48" s="177" t="s">
        <v>11</v>
      </c>
      <c r="B48" s="213">
        <v>0</v>
      </c>
      <c r="C48" s="213">
        <v>0</v>
      </c>
      <c r="D48" s="213">
        <v>0</v>
      </c>
      <c r="E48" s="213">
        <v>0</v>
      </c>
      <c r="F48" s="213">
        <v>0</v>
      </c>
      <c r="G48" s="213">
        <v>0</v>
      </c>
      <c r="H48" s="213">
        <v>0</v>
      </c>
      <c r="I48" s="213">
        <v>0</v>
      </c>
      <c r="J48" s="213">
        <v>0</v>
      </c>
      <c r="K48" s="213">
        <v>0</v>
      </c>
      <c r="L48" s="213">
        <v>0</v>
      </c>
      <c r="M48" s="213">
        <v>0</v>
      </c>
      <c r="N48" s="21">
        <f>SUM(B48:M48)/12</f>
        <v>0</v>
      </c>
      <c r="O48" s="71">
        <f>AVERAGE(B48:D48)</f>
        <v>0</v>
      </c>
      <c r="P48" s="71">
        <f>AVERAGE(E48:G48)</f>
        <v>0</v>
      </c>
      <c r="Q48" s="71">
        <f>AVERAGE(H48:J48)</f>
        <v>0</v>
      </c>
      <c r="R48" s="71">
        <f>AVERAGE(K48:M48)</f>
        <v>0</v>
      </c>
      <c r="S48" s="71">
        <f>AVERAGE(B48:M48)</f>
        <v>0</v>
      </c>
      <c r="T48" s="21">
        <v>0</v>
      </c>
      <c r="U48" s="21">
        <v>0</v>
      </c>
    </row>
    <row r="49" spans="1:21" x14ac:dyDescent="0.15">
      <c r="A49" s="178" t="s">
        <v>15</v>
      </c>
      <c r="B49" s="214"/>
      <c r="C49" s="214">
        <v>0</v>
      </c>
      <c r="D49" s="214">
        <v>3.3</v>
      </c>
      <c r="E49" s="214">
        <f>0.8+0.04</f>
        <v>0.84000000000000008</v>
      </c>
      <c r="F49" s="214">
        <v>0</v>
      </c>
      <c r="G49" s="214">
        <v>11.7</v>
      </c>
      <c r="H49" s="214">
        <v>1.8</v>
      </c>
      <c r="I49" s="214">
        <v>0</v>
      </c>
      <c r="J49" s="214">
        <v>0</v>
      </c>
      <c r="K49" s="214">
        <v>0</v>
      </c>
      <c r="L49" s="214">
        <v>0</v>
      </c>
      <c r="M49" s="214">
        <v>0</v>
      </c>
      <c r="N49" s="115">
        <f>SUM(B49:M49)/12</f>
        <v>1.47</v>
      </c>
      <c r="O49" s="71">
        <f>AVERAGE(B49:D49)</f>
        <v>1.65</v>
      </c>
      <c r="P49" s="71">
        <f>AVERAGE(E49:G49)</f>
        <v>4.18</v>
      </c>
      <c r="Q49" s="71">
        <f>AVERAGE(H49:J49)</f>
        <v>0.6</v>
      </c>
      <c r="R49" s="71">
        <f>AVERAGE(K49:M49)</f>
        <v>0</v>
      </c>
      <c r="S49" s="71">
        <f>AVERAGE(B49:M49)</f>
        <v>1.6036363636363637</v>
      </c>
      <c r="T49" s="112">
        <v>0</v>
      </c>
      <c r="U49" s="112">
        <v>0</v>
      </c>
    </row>
    <row r="50" spans="1:21" x14ac:dyDescent="0.15">
      <c r="A50" s="176" t="s">
        <v>24</v>
      </c>
      <c r="B50" s="21">
        <f>SUM(B47:B49)</f>
        <v>7.1989999999999998</v>
      </c>
      <c r="C50" s="21">
        <f t="shared" ref="C50:M50" si="14">SUM(C47:C49)</f>
        <v>9.0440000000000005</v>
      </c>
      <c r="D50" s="21">
        <f t="shared" si="14"/>
        <v>13.7</v>
      </c>
      <c r="E50" s="21">
        <f t="shared" si="14"/>
        <v>15.54</v>
      </c>
      <c r="F50" s="21">
        <f t="shared" si="14"/>
        <v>22.6</v>
      </c>
      <c r="G50" s="21">
        <f t="shared" si="14"/>
        <v>30</v>
      </c>
      <c r="H50" s="21">
        <f t="shared" si="14"/>
        <v>2.8</v>
      </c>
      <c r="I50" s="21">
        <f t="shared" si="14"/>
        <v>0.2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21">
        <f t="shared" si="14"/>
        <v>0</v>
      </c>
      <c r="N50" s="21">
        <f t="shared" ref="N50:S50" si="15">SUM(N47:N49)</f>
        <v>8.423583333333335</v>
      </c>
      <c r="O50" s="21">
        <f t="shared" si="15"/>
        <v>10.531000000000001</v>
      </c>
      <c r="P50" s="21">
        <f t="shared" si="15"/>
        <v>22.713333333333331</v>
      </c>
      <c r="Q50" s="21">
        <f t="shared" si="15"/>
        <v>1</v>
      </c>
      <c r="R50" s="21">
        <f t="shared" si="15"/>
        <v>0</v>
      </c>
      <c r="S50" s="70">
        <f t="shared" si="15"/>
        <v>8.5572196969696979</v>
      </c>
      <c r="T50" s="21">
        <v>0</v>
      </c>
      <c r="U50" s="21">
        <v>0</v>
      </c>
    </row>
    <row r="51" spans="1:21" x14ac:dyDescent="0.15">
      <c r="A51" s="176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70"/>
      <c r="Q51" s="70"/>
      <c r="R51" s="70"/>
      <c r="S51" s="70"/>
      <c r="T51" s="21"/>
      <c r="U51" s="21"/>
    </row>
    <row r="52" spans="1:21" x14ac:dyDescent="0.15">
      <c r="A52" s="176" t="s">
        <v>25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21"/>
      <c r="O52" s="21"/>
      <c r="P52" s="69"/>
      <c r="Q52" s="69"/>
      <c r="R52" s="69"/>
      <c r="S52" s="69"/>
      <c r="T52" s="21"/>
      <c r="U52" s="21"/>
    </row>
    <row r="53" spans="1:21" x14ac:dyDescent="0.15">
      <c r="A53" s="177" t="s">
        <v>9</v>
      </c>
      <c r="B53" s="213">
        <v>541.97699999999998</v>
      </c>
      <c r="C53" s="213">
        <v>541.18899999999996</v>
      </c>
      <c r="D53" s="213">
        <v>684.5</v>
      </c>
      <c r="E53" s="213">
        <v>560.79999999999995</v>
      </c>
      <c r="F53" s="213">
        <v>565.4</v>
      </c>
      <c r="G53" s="213">
        <v>569</v>
      </c>
      <c r="H53" s="213">
        <v>576.1</v>
      </c>
      <c r="I53" s="213">
        <v>564.6</v>
      </c>
      <c r="J53" s="213">
        <v>558.6</v>
      </c>
      <c r="K53" s="213">
        <f>Detail!W468/Detail!W1/1000</f>
        <v>609</v>
      </c>
      <c r="L53" s="213">
        <f>Detail!X468/Detail!X1/1000</f>
        <v>654</v>
      </c>
      <c r="M53" s="213">
        <f>Detail!Y468/Detail!Y1/1000</f>
        <v>687.21400000000006</v>
      </c>
      <c r="N53" s="21">
        <f>SUM(B53:M53)/12</f>
        <v>592.69833333333338</v>
      </c>
      <c r="O53" s="71">
        <f>AVERAGE(B53:D53)</f>
        <v>589.22199999999998</v>
      </c>
      <c r="P53" s="71">
        <f>AVERAGE(E53:G53)</f>
        <v>565.06666666666661</v>
      </c>
      <c r="Q53" s="71">
        <f>AVERAGE(H53:J53)</f>
        <v>566.43333333333339</v>
      </c>
      <c r="R53" s="71">
        <f>AVERAGE(K53:M53)</f>
        <v>650.07133333333331</v>
      </c>
      <c r="S53" s="71">
        <f>AVERAGE(B53:M53)</f>
        <v>592.69833333333338</v>
      </c>
      <c r="T53" s="21">
        <v>554.88800000000003</v>
      </c>
      <c r="U53" s="21">
        <v>554.88800000000003</v>
      </c>
    </row>
    <row r="54" spans="1:21" x14ac:dyDescent="0.15">
      <c r="A54" s="177" t="s">
        <v>10</v>
      </c>
      <c r="B54" s="213">
        <v>174.11799999999999</v>
      </c>
      <c r="C54" s="213">
        <v>209.67099999999999</v>
      </c>
      <c r="D54" s="213">
        <v>241.5</v>
      </c>
      <c r="E54" s="213">
        <v>297.8</v>
      </c>
      <c r="F54" s="213">
        <v>303.10000000000002</v>
      </c>
      <c r="G54" s="213">
        <v>294</v>
      </c>
      <c r="H54" s="213">
        <v>319.89999999999998</v>
      </c>
      <c r="I54" s="213">
        <v>322.60000000000002</v>
      </c>
      <c r="J54" s="213">
        <v>281.39999999999998</v>
      </c>
      <c r="K54" s="213">
        <f>Detail!W494/Detail!W1/1000</f>
        <v>267.49</v>
      </c>
      <c r="L54" s="213">
        <f>Detail!X494/Detail!X1/1000</f>
        <v>297.48</v>
      </c>
      <c r="M54" s="213">
        <f>Detail!Y494/Detail!Y1/1000</f>
        <v>324.67860200000001</v>
      </c>
      <c r="N54" s="21">
        <f>SUM(B54:M54)/12</f>
        <v>277.81146683333333</v>
      </c>
      <c r="O54" s="71">
        <f>AVERAGE(B54:D54)</f>
        <v>208.42966666666666</v>
      </c>
      <c r="P54" s="71">
        <f>AVERAGE(E54:G54)</f>
        <v>298.3</v>
      </c>
      <c r="Q54" s="71">
        <f>AVERAGE(H54:J54)</f>
        <v>307.96666666666664</v>
      </c>
      <c r="R54" s="71">
        <f>AVERAGE(K54:M54)</f>
        <v>296.54953399999999</v>
      </c>
      <c r="S54" s="71">
        <f>AVERAGE(B54:M54)</f>
        <v>277.81146683333333</v>
      </c>
      <c r="T54" s="21">
        <v>272.33185416666669</v>
      </c>
      <c r="U54" s="21">
        <v>272.33185416666669</v>
      </c>
    </row>
    <row r="55" spans="1:21" x14ac:dyDescent="0.15">
      <c r="A55" s="177" t="s">
        <v>11</v>
      </c>
      <c r="B55" s="213">
        <v>0</v>
      </c>
      <c r="C55" s="213">
        <v>0</v>
      </c>
      <c r="D55" s="213">
        <v>0</v>
      </c>
      <c r="E55" s="213">
        <v>0</v>
      </c>
      <c r="F55" s="213">
        <v>0</v>
      </c>
      <c r="G55" s="213">
        <v>0</v>
      </c>
      <c r="H55" s="213">
        <v>0</v>
      </c>
      <c r="I55" s="213">
        <v>0</v>
      </c>
      <c r="J55" s="213">
        <v>0</v>
      </c>
      <c r="K55" s="213">
        <v>0</v>
      </c>
      <c r="L55" s="213">
        <v>0</v>
      </c>
      <c r="M55" s="213">
        <v>0</v>
      </c>
      <c r="N55" s="21">
        <f>SUM(B55:M55)/12</f>
        <v>0</v>
      </c>
      <c r="O55" s="71">
        <f>AVERAGE(B55:D55)</f>
        <v>0</v>
      </c>
      <c r="P55" s="71">
        <f>AVERAGE(E55:G55)</f>
        <v>0</v>
      </c>
      <c r="Q55" s="71">
        <f>AVERAGE(H55:J55)</f>
        <v>0</v>
      </c>
      <c r="R55" s="71">
        <f>AVERAGE(K55:M55)</f>
        <v>0</v>
      </c>
      <c r="S55" s="71">
        <f>AVERAGE(B55:M55)</f>
        <v>0</v>
      </c>
      <c r="T55" s="21">
        <v>0</v>
      </c>
      <c r="U55" s="21">
        <v>0</v>
      </c>
    </row>
    <row r="56" spans="1:21" x14ac:dyDescent="0.15">
      <c r="A56" s="177" t="s">
        <v>202</v>
      </c>
      <c r="B56" s="213">
        <v>0.68500000000000005</v>
      </c>
      <c r="C56" s="213"/>
      <c r="D56" s="213">
        <v>0.5</v>
      </c>
      <c r="E56" s="213">
        <v>7.0000000000000001E-3</v>
      </c>
      <c r="F56" s="213">
        <v>0</v>
      </c>
      <c r="G56" s="213">
        <v>0</v>
      </c>
      <c r="H56" s="213">
        <v>0</v>
      </c>
      <c r="I56" s="213">
        <v>0</v>
      </c>
      <c r="J56" s="213">
        <v>0</v>
      </c>
      <c r="K56" s="213">
        <v>0</v>
      </c>
      <c r="L56" s="213">
        <v>0</v>
      </c>
      <c r="M56" s="213">
        <v>0</v>
      </c>
      <c r="N56" s="21">
        <f>SUM(B56:M56)/12</f>
        <v>9.9333333333333329E-2</v>
      </c>
      <c r="O56" s="71">
        <f>AVERAGE(B56:D56)</f>
        <v>0.59250000000000003</v>
      </c>
      <c r="P56" s="71">
        <f>AVERAGE(E56:G56)</f>
        <v>2.3333333333333335E-3</v>
      </c>
      <c r="Q56" s="71">
        <f>AVERAGE(H56:J56)</f>
        <v>0</v>
      </c>
      <c r="R56" s="71">
        <f>AVERAGE(K56:M56)</f>
        <v>0</v>
      </c>
      <c r="S56" s="71">
        <f>AVERAGE(B56:M56)</f>
        <v>0.10836363636363636</v>
      </c>
      <c r="T56" s="21"/>
      <c r="U56" s="21"/>
    </row>
    <row r="57" spans="1:21" x14ac:dyDescent="0.15">
      <c r="A57" s="178" t="s">
        <v>15</v>
      </c>
      <c r="B57" s="214">
        <v>44.262</v>
      </c>
      <c r="C57" s="214">
        <v>31.1</v>
      </c>
      <c r="D57" s="214">
        <v>17.899999999999999</v>
      </c>
      <c r="E57" s="214">
        <v>51.9</v>
      </c>
      <c r="F57" s="214">
        <v>19.899999999999999</v>
      </c>
      <c r="G57" s="214">
        <v>24</v>
      </c>
      <c r="H57" s="214">
        <v>29.6</v>
      </c>
      <c r="I57" s="214">
        <v>12.6</v>
      </c>
      <c r="J57" s="214">
        <v>7.9</v>
      </c>
      <c r="K57" s="214">
        <f>Detail!W546/1000</f>
        <v>10.6</v>
      </c>
      <c r="L57" s="214">
        <f>Detail!X546/1000</f>
        <v>13.8</v>
      </c>
      <c r="M57" s="214">
        <f>Detail!Y546/1000</f>
        <v>27.3</v>
      </c>
      <c r="N57" s="115">
        <f>SUM(B57:M57)/12</f>
        <v>24.238500000000002</v>
      </c>
      <c r="O57" s="71">
        <f>AVERAGE(B57:D57)</f>
        <v>31.087333333333333</v>
      </c>
      <c r="P57" s="71">
        <f>AVERAGE(E57:G57)</f>
        <v>31.933333333333334</v>
      </c>
      <c r="Q57" s="71">
        <f>AVERAGE(H57:J57)</f>
        <v>16.7</v>
      </c>
      <c r="R57" s="71">
        <f>AVERAGE(K57:M57)</f>
        <v>17.233333333333334</v>
      </c>
      <c r="S57" s="71">
        <f>AVERAGE(B57:M57)</f>
        <v>24.238500000000002</v>
      </c>
      <c r="T57" s="112">
        <v>21.683333333333334</v>
      </c>
      <c r="U57" s="112">
        <v>21.683333333333334</v>
      </c>
    </row>
    <row r="58" spans="1:21" x14ac:dyDescent="0.15">
      <c r="A58" s="176" t="s">
        <v>26</v>
      </c>
      <c r="B58" s="21">
        <f>SUM(B54:B57)</f>
        <v>219.065</v>
      </c>
      <c r="C58" s="21">
        <f t="shared" ref="C58:M58" si="16">SUM(C54:C57)</f>
        <v>240.77099999999999</v>
      </c>
      <c r="D58" s="21">
        <f t="shared" si="16"/>
        <v>259.89999999999998</v>
      </c>
      <c r="E58" s="21">
        <f t="shared" si="16"/>
        <v>349.70699999999999</v>
      </c>
      <c r="F58" s="21">
        <f t="shared" si="16"/>
        <v>323</v>
      </c>
      <c r="G58" s="21">
        <f t="shared" si="16"/>
        <v>318</v>
      </c>
      <c r="H58" s="21">
        <f t="shared" si="16"/>
        <v>349.5</v>
      </c>
      <c r="I58" s="21">
        <f t="shared" si="16"/>
        <v>335.20000000000005</v>
      </c>
      <c r="J58" s="21">
        <f t="shared" si="16"/>
        <v>289.29999999999995</v>
      </c>
      <c r="K58" s="21">
        <f t="shared" si="16"/>
        <v>278.09000000000003</v>
      </c>
      <c r="L58" s="21">
        <f t="shared" si="16"/>
        <v>311.28000000000003</v>
      </c>
      <c r="M58" s="21">
        <f t="shared" si="16"/>
        <v>351.97860200000002</v>
      </c>
      <c r="N58" s="21">
        <f t="shared" ref="N58:U58" si="17">SUM(N54:N57)</f>
        <v>302.14930016666665</v>
      </c>
      <c r="O58" s="21">
        <f t="shared" si="17"/>
        <v>240.1095</v>
      </c>
      <c r="P58" s="21">
        <f t="shared" si="17"/>
        <v>330.2356666666667</v>
      </c>
      <c r="Q58" s="21">
        <f t="shared" si="17"/>
        <v>324.66666666666663</v>
      </c>
      <c r="R58" s="21">
        <f t="shared" si="17"/>
        <v>313.78286733333334</v>
      </c>
      <c r="S58" s="70">
        <f t="shared" si="17"/>
        <v>302.15833046969698</v>
      </c>
      <c r="T58" s="21">
        <f t="shared" si="17"/>
        <v>294.01518750000002</v>
      </c>
      <c r="U58" s="21">
        <f t="shared" si="17"/>
        <v>294.01518750000002</v>
      </c>
    </row>
    <row r="59" spans="1:21" x14ac:dyDescent="0.15">
      <c r="A59" s="176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70"/>
      <c r="Q59" s="70"/>
      <c r="R59" s="70"/>
      <c r="S59" s="70"/>
      <c r="T59" s="21"/>
      <c r="U59" s="21"/>
    </row>
    <row r="60" spans="1:21" x14ac:dyDescent="0.15">
      <c r="A60" s="176" t="s">
        <v>27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1"/>
      <c r="O60" s="21"/>
      <c r="P60" s="69"/>
      <c r="Q60" s="69"/>
      <c r="R60" s="69"/>
      <c r="S60" s="69"/>
      <c r="T60" s="21"/>
      <c r="U60" s="21"/>
    </row>
    <row r="61" spans="1:21" x14ac:dyDescent="0.15">
      <c r="A61" s="177" t="s">
        <v>9</v>
      </c>
      <c r="B61" s="213">
        <f>[2]Detail!N505/[2]Detail!N1/1000</f>
        <v>40</v>
      </c>
      <c r="C61" s="213">
        <f>Detail!O564/Detail!O1/1000</f>
        <v>40</v>
      </c>
      <c r="D61" s="213">
        <v>40</v>
      </c>
      <c r="E61" s="213">
        <f>Detail!Q564/Detail!Q1/1000</f>
        <v>40</v>
      </c>
      <c r="F61" s="213">
        <f>Detail!R564/Detail!R1/1000</f>
        <v>40</v>
      </c>
      <c r="G61" s="213">
        <f>Detail!S564/Detail!S1/1000</f>
        <v>40</v>
      </c>
      <c r="H61" s="213">
        <f>Detail!T564/Detail!T1/1000</f>
        <v>40</v>
      </c>
      <c r="I61" s="213">
        <f>Detail!U564/Detail!U1/1000</f>
        <v>40</v>
      </c>
      <c r="J61" s="213">
        <f>Detail!V564/Detail!V1/1000</f>
        <v>40</v>
      </c>
      <c r="K61" s="213">
        <f>Detail!W564/Detail!W1/1000</f>
        <v>40</v>
      </c>
      <c r="L61" s="213">
        <f>Detail!X564/Detail!X1/1000</f>
        <v>40</v>
      </c>
      <c r="M61" s="213">
        <f>Detail!Y564/Detail!Y1/1000</f>
        <v>40</v>
      </c>
      <c r="N61" s="21">
        <f>SUM(B61:M61)/12</f>
        <v>40</v>
      </c>
      <c r="O61" s="71">
        <f>AVERAGE(B61:D61)</f>
        <v>40</v>
      </c>
      <c r="P61" s="71">
        <f>AVERAGE(E61:G61)</f>
        <v>40</v>
      </c>
      <c r="Q61" s="71">
        <f>AVERAGE(H61:J61)</f>
        <v>40</v>
      </c>
      <c r="R61" s="71">
        <f>AVERAGE(K61:M61)</f>
        <v>40</v>
      </c>
      <c r="S61" s="71">
        <f>AVERAGE(B61:M61)</f>
        <v>40</v>
      </c>
      <c r="T61" s="21">
        <v>40</v>
      </c>
      <c r="U61" s="21">
        <v>40</v>
      </c>
    </row>
    <row r="62" spans="1:21" x14ac:dyDescent="0.15">
      <c r="A62" s="177" t="s">
        <v>10</v>
      </c>
      <c r="B62" s="213">
        <v>16.792999999999999</v>
      </c>
      <c r="C62" s="213">
        <v>10.526999999999999</v>
      </c>
      <c r="D62" s="213">
        <v>17.8</v>
      </c>
      <c r="E62" s="213">
        <v>30.4</v>
      </c>
      <c r="F62" s="213">
        <v>19.7</v>
      </c>
      <c r="G62" s="213">
        <v>21</v>
      </c>
      <c r="H62" s="213">
        <v>38.1</v>
      </c>
      <c r="I62" s="213">
        <v>36</v>
      </c>
      <c r="J62" s="213">
        <v>31.2</v>
      </c>
      <c r="K62" s="213">
        <f>Detail!W571/Detail!W1/1000</f>
        <v>17.2</v>
      </c>
      <c r="L62" s="213">
        <f>Detail!X571/Detail!X1/1000</f>
        <v>25.6</v>
      </c>
      <c r="M62" s="213">
        <f>Detail!Y571/Detail!Y1/1000</f>
        <v>25.6</v>
      </c>
      <c r="N62" s="21">
        <f>SUM(B62:M62)/12</f>
        <v>24.16</v>
      </c>
      <c r="O62" s="71">
        <f>AVERAGE(B62:D62)</f>
        <v>15.040000000000001</v>
      </c>
      <c r="P62" s="71">
        <f>AVERAGE(E62:G62)</f>
        <v>23.7</v>
      </c>
      <c r="Q62" s="71">
        <f>AVERAGE(H62:J62)</f>
        <v>35.1</v>
      </c>
      <c r="R62" s="71">
        <f>AVERAGE(K62:M62)</f>
        <v>22.8</v>
      </c>
      <c r="S62" s="71">
        <f>AVERAGE(B62:M62)</f>
        <v>24.16</v>
      </c>
      <c r="T62" s="21">
        <v>25</v>
      </c>
      <c r="U62" s="21">
        <v>25</v>
      </c>
    </row>
    <row r="63" spans="1:21" x14ac:dyDescent="0.15">
      <c r="A63" s="177" t="s">
        <v>11</v>
      </c>
      <c r="B63" s="213">
        <v>0</v>
      </c>
      <c r="C63" s="213">
        <v>0</v>
      </c>
      <c r="D63" s="213">
        <v>0</v>
      </c>
      <c r="E63" s="213">
        <v>0</v>
      </c>
      <c r="F63" s="213">
        <v>0</v>
      </c>
      <c r="G63" s="213">
        <v>0</v>
      </c>
      <c r="H63" s="213">
        <v>0</v>
      </c>
      <c r="I63" s="213">
        <v>0</v>
      </c>
      <c r="J63" s="213">
        <v>0</v>
      </c>
      <c r="K63" s="213">
        <v>0</v>
      </c>
      <c r="L63" s="213">
        <v>0</v>
      </c>
      <c r="M63" s="213">
        <v>0</v>
      </c>
      <c r="N63" s="21">
        <f>SUM(B63:M63)/12</f>
        <v>0</v>
      </c>
      <c r="O63" s="71">
        <f>AVERAGE(B63:D63)</f>
        <v>0</v>
      </c>
      <c r="P63" s="71">
        <f>AVERAGE(E63:G63)</f>
        <v>0</v>
      </c>
      <c r="Q63" s="71">
        <f>AVERAGE(H63:J63)</f>
        <v>0</v>
      </c>
      <c r="R63" s="71">
        <f>AVERAGE(K63:M63)</f>
        <v>0</v>
      </c>
      <c r="S63" s="71">
        <f>AVERAGE(B63:M63)</f>
        <v>0</v>
      </c>
      <c r="T63" s="21">
        <v>0</v>
      </c>
      <c r="U63" s="21">
        <v>0</v>
      </c>
    </row>
    <row r="64" spans="1:21" x14ac:dyDescent="0.15">
      <c r="A64" s="178" t="s">
        <v>15</v>
      </c>
      <c r="B64" s="214">
        <v>3.548</v>
      </c>
      <c r="C64" s="214">
        <v>2.0710000000000002</v>
      </c>
      <c r="D64" s="214">
        <v>0.1</v>
      </c>
      <c r="E64" s="214">
        <v>0</v>
      </c>
      <c r="F64" s="214">
        <v>4.5</v>
      </c>
      <c r="G64" s="214">
        <v>4.5999999999999996</v>
      </c>
      <c r="H64" s="214">
        <v>1</v>
      </c>
      <c r="I64" s="214">
        <v>0.7</v>
      </c>
      <c r="J64" s="214">
        <v>0</v>
      </c>
      <c r="K64" s="214">
        <v>0</v>
      </c>
      <c r="L64" s="214">
        <v>0</v>
      </c>
      <c r="M64" s="214">
        <v>0</v>
      </c>
      <c r="N64" s="115">
        <f>SUM(B64:M64)/12</f>
        <v>1.3765833333333333</v>
      </c>
      <c r="O64" s="71">
        <f>AVERAGE(B64:D64)</f>
        <v>1.9063333333333332</v>
      </c>
      <c r="P64" s="71">
        <f>AVERAGE(E64:G64)</f>
        <v>3.0333333333333332</v>
      </c>
      <c r="Q64" s="71">
        <f>AVERAGE(H64:J64)</f>
        <v>0.56666666666666665</v>
      </c>
      <c r="R64" s="71">
        <f>AVERAGE(K64:M64)</f>
        <v>0</v>
      </c>
      <c r="S64" s="71">
        <f>AVERAGE(B64:M64)</f>
        <v>1.3765833333333333</v>
      </c>
      <c r="T64" s="112">
        <v>0</v>
      </c>
      <c r="U64" s="112">
        <v>0</v>
      </c>
    </row>
    <row r="65" spans="1:21" x14ac:dyDescent="0.15">
      <c r="A65" s="176" t="s">
        <v>28</v>
      </c>
      <c r="B65" s="21">
        <f>SUM(B62:B64)</f>
        <v>20.341000000000001</v>
      </c>
      <c r="C65" s="21">
        <f>SUM(C62:C64)</f>
        <v>12.597999999999999</v>
      </c>
      <c r="D65" s="21">
        <f t="shared" ref="D65:M65" si="18">SUM(D62:D64)</f>
        <v>17.900000000000002</v>
      </c>
      <c r="E65" s="21">
        <f t="shared" si="18"/>
        <v>30.4</v>
      </c>
      <c r="F65" s="21">
        <f t="shared" si="18"/>
        <v>24.2</v>
      </c>
      <c r="G65" s="21">
        <f t="shared" si="18"/>
        <v>25.6</v>
      </c>
      <c r="H65" s="21">
        <f t="shared" si="18"/>
        <v>39.1</v>
      </c>
      <c r="I65" s="21">
        <f t="shared" si="18"/>
        <v>36.700000000000003</v>
      </c>
      <c r="J65" s="21">
        <f t="shared" si="18"/>
        <v>31.2</v>
      </c>
      <c r="K65" s="21">
        <f t="shared" si="18"/>
        <v>17.2</v>
      </c>
      <c r="L65" s="21">
        <f t="shared" si="18"/>
        <v>25.6</v>
      </c>
      <c r="M65" s="21">
        <f t="shared" si="18"/>
        <v>25.6</v>
      </c>
      <c r="N65" s="21">
        <f t="shared" ref="N65:U65" si="19">SUM(N62:N64)</f>
        <v>25.536583333333333</v>
      </c>
      <c r="O65" s="21">
        <f t="shared" si="19"/>
        <v>16.946333333333335</v>
      </c>
      <c r="P65" s="21">
        <f t="shared" si="19"/>
        <v>26.733333333333334</v>
      </c>
      <c r="Q65" s="21">
        <f t="shared" si="19"/>
        <v>35.666666666666671</v>
      </c>
      <c r="R65" s="21">
        <f t="shared" si="19"/>
        <v>22.8</v>
      </c>
      <c r="S65" s="70">
        <f t="shared" si="19"/>
        <v>25.536583333333333</v>
      </c>
      <c r="T65" s="21">
        <f t="shared" si="19"/>
        <v>25</v>
      </c>
      <c r="U65" s="21">
        <f t="shared" si="19"/>
        <v>25</v>
      </c>
    </row>
    <row r="66" spans="1:21" x14ac:dyDescent="0.15">
      <c r="A66" s="176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70"/>
      <c r="Q66" s="70"/>
      <c r="R66" s="70"/>
      <c r="S66" s="70"/>
      <c r="T66" s="21"/>
      <c r="U66" s="21"/>
    </row>
    <row r="67" spans="1:21" x14ac:dyDescent="0.15">
      <c r="A67" s="176" t="s">
        <v>29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1"/>
      <c r="O67" s="21"/>
      <c r="P67" s="69"/>
      <c r="Q67" s="69"/>
      <c r="R67" s="69"/>
      <c r="S67" s="69"/>
      <c r="T67" s="21"/>
      <c r="U67" s="21"/>
    </row>
    <row r="68" spans="1:21" x14ac:dyDescent="0.15">
      <c r="A68" s="177" t="s">
        <v>9</v>
      </c>
      <c r="B68" s="213">
        <v>110</v>
      </c>
      <c r="C68" s="213">
        <f>Detail!O598/Detail!O1/1000</f>
        <v>100</v>
      </c>
      <c r="D68" s="213">
        <v>100</v>
      </c>
      <c r="E68" s="213">
        <v>100</v>
      </c>
      <c r="F68" s="213">
        <f>Detail!R598/Detail!R1/1000</f>
        <v>100</v>
      </c>
      <c r="G68" s="213">
        <f>Detail!S598/Detail!S1/1000</f>
        <v>100</v>
      </c>
      <c r="H68" s="213">
        <f>Detail!T598/Detail!T1/1000</f>
        <v>100</v>
      </c>
      <c r="I68" s="213">
        <f>Detail!U598/Detail!U1/1000</f>
        <v>100</v>
      </c>
      <c r="J68" s="213">
        <f>Detail!V598/Detail!V1/1000</f>
        <v>100</v>
      </c>
      <c r="K68" s="213">
        <f>Detail!W598/Detail!W1/1000</f>
        <v>100</v>
      </c>
      <c r="L68" s="213">
        <f>Detail!X598/Detail!X1/1000</f>
        <v>100</v>
      </c>
      <c r="M68" s="213">
        <f>Detail!Y598/Detail!Y1/1000</f>
        <v>80</v>
      </c>
      <c r="N68" s="21">
        <f>SUM(B68:M68)/12</f>
        <v>99.166666666666671</v>
      </c>
      <c r="O68" s="71">
        <f>AVERAGE(B68:D68)</f>
        <v>103.33333333333333</v>
      </c>
      <c r="P68" s="71">
        <f>AVERAGE(E68:G68)</f>
        <v>100</v>
      </c>
      <c r="Q68" s="71">
        <f>AVERAGE(H68:J68)</f>
        <v>100</v>
      </c>
      <c r="R68" s="71">
        <f>AVERAGE(K68:M68)</f>
        <v>93.333333333333329</v>
      </c>
      <c r="S68" s="71">
        <f>AVERAGE(B68:M68)</f>
        <v>99.166666666666671</v>
      </c>
      <c r="T68" s="21">
        <v>98.333333333333329</v>
      </c>
      <c r="U68" s="21">
        <v>98.333333333333329</v>
      </c>
    </row>
    <row r="69" spans="1:21" x14ac:dyDescent="0.15">
      <c r="A69" s="177" t="s">
        <v>10</v>
      </c>
      <c r="B69" s="213">
        <v>87.762</v>
      </c>
      <c r="C69" s="213">
        <v>75.906999999999996</v>
      </c>
      <c r="D69" s="213">
        <v>63.5</v>
      </c>
      <c r="E69" s="213">
        <v>139.6</v>
      </c>
      <c r="F69" s="213">
        <v>120.8</v>
      </c>
      <c r="G69" s="213">
        <v>108.8</v>
      </c>
      <c r="H69" s="213">
        <v>100</v>
      </c>
      <c r="I69" s="213">
        <v>98.9</v>
      </c>
      <c r="J69" s="213">
        <v>102.2</v>
      </c>
      <c r="K69" s="213">
        <f>Detail!W604/Detail!W1/1000</f>
        <v>95</v>
      </c>
      <c r="L69" s="213">
        <f>Detail!X604/Detail!X1/1000</f>
        <v>95</v>
      </c>
      <c r="M69" s="213">
        <f>Detail!Y604/Detail!Y1/1000</f>
        <v>75.2</v>
      </c>
      <c r="N69" s="21">
        <f>SUM(B69:M69)/12</f>
        <v>96.889083333333346</v>
      </c>
      <c r="O69" s="71">
        <f>AVERAGE(B69:D69)</f>
        <v>75.722999999999999</v>
      </c>
      <c r="P69" s="71">
        <f>AVERAGE(E69:G69)</f>
        <v>123.06666666666666</v>
      </c>
      <c r="Q69" s="71">
        <f>AVERAGE(H69:J69)</f>
        <v>100.36666666666667</v>
      </c>
      <c r="R69" s="71">
        <f>AVERAGE(K69:M69)</f>
        <v>88.399999999999991</v>
      </c>
      <c r="S69" s="71">
        <f>AVERAGE(B69:M69)</f>
        <v>96.889083333333346</v>
      </c>
      <c r="T69" s="21">
        <v>94.358333333333334</v>
      </c>
      <c r="U69" s="21">
        <v>94.358333333333334</v>
      </c>
    </row>
    <row r="70" spans="1:21" x14ac:dyDescent="0.15">
      <c r="A70" s="177" t="s">
        <v>11</v>
      </c>
      <c r="B70" s="213">
        <v>0</v>
      </c>
      <c r="C70" s="213">
        <v>0</v>
      </c>
      <c r="D70" s="213">
        <v>0</v>
      </c>
      <c r="E70" s="213">
        <v>0</v>
      </c>
      <c r="F70" s="213">
        <v>0</v>
      </c>
      <c r="G70" s="213">
        <v>0</v>
      </c>
      <c r="H70" s="213">
        <v>0</v>
      </c>
      <c r="I70" s="213">
        <v>0</v>
      </c>
      <c r="J70" s="213">
        <v>0</v>
      </c>
      <c r="K70" s="213">
        <v>0</v>
      </c>
      <c r="L70" s="213">
        <v>0</v>
      </c>
      <c r="M70" s="213">
        <v>0</v>
      </c>
      <c r="N70" s="21">
        <f>SUM(B70:M70)/12</f>
        <v>0</v>
      </c>
      <c r="O70" s="71">
        <f>AVERAGE(B70:D70)</f>
        <v>0</v>
      </c>
      <c r="P70" s="71">
        <f>AVERAGE(E70:G70)</f>
        <v>0</v>
      </c>
      <c r="Q70" s="71">
        <f>AVERAGE(H70:J70)</f>
        <v>0</v>
      </c>
      <c r="R70" s="71">
        <f>AVERAGE(K70:M70)</f>
        <v>0</v>
      </c>
      <c r="S70" s="71">
        <f>AVERAGE(B70:M70)</f>
        <v>0</v>
      </c>
      <c r="T70" s="21">
        <v>0</v>
      </c>
      <c r="U70" s="21">
        <v>0</v>
      </c>
    </row>
    <row r="71" spans="1:21" x14ac:dyDescent="0.15">
      <c r="A71" s="178" t="s">
        <v>15</v>
      </c>
      <c r="B71" s="214">
        <v>1.696</v>
      </c>
      <c r="C71" s="214">
        <v>5.5380000000000003</v>
      </c>
      <c r="D71" s="214">
        <v>3.7</v>
      </c>
      <c r="E71" s="214">
        <v>5.2</v>
      </c>
      <c r="F71" s="214">
        <v>3.8</v>
      </c>
      <c r="G71" s="214">
        <v>1.8</v>
      </c>
      <c r="H71" s="214">
        <v>2.4</v>
      </c>
      <c r="I71" s="214">
        <v>0.4</v>
      </c>
      <c r="J71" s="214">
        <v>0</v>
      </c>
      <c r="K71" s="214">
        <f>Detail!W618/1000</f>
        <v>8</v>
      </c>
      <c r="L71" s="214">
        <f>Detail!X618/1000</f>
        <v>7</v>
      </c>
      <c r="M71" s="214">
        <f>Detail!Y618/1000</f>
        <v>20.6</v>
      </c>
      <c r="N71" s="115">
        <f>SUM(B71:M71)/12</f>
        <v>5.011166666666667</v>
      </c>
      <c r="O71" s="71">
        <f>AVERAGE(B71:D71)</f>
        <v>3.6446666666666672</v>
      </c>
      <c r="P71" s="71">
        <f>AVERAGE(E71:G71)</f>
        <v>3.6</v>
      </c>
      <c r="Q71" s="71">
        <f>AVERAGE(H71:J71)</f>
        <v>0.93333333333333324</v>
      </c>
      <c r="R71" s="71">
        <f>AVERAGE(K71:M71)</f>
        <v>11.866666666666667</v>
      </c>
      <c r="S71" s="71">
        <f>AVERAGE(B71:M71)</f>
        <v>5.011166666666667</v>
      </c>
      <c r="T71" s="112">
        <v>6.9666666666666659</v>
      </c>
      <c r="U71" s="112">
        <v>6.9666666666666659</v>
      </c>
    </row>
    <row r="72" spans="1:21" x14ac:dyDescent="0.15">
      <c r="A72" s="176" t="s">
        <v>30</v>
      </c>
      <c r="B72" s="115">
        <f>SUM(B69:B71)</f>
        <v>89.457999999999998</v>
      </c>
      <c r="C72" s="115">
        <f t="shared" ref="C72:M72" si="20">SUM(C69:C71)</f>
        <v>81.444999999999993</v>
      </c>
      <c r="D72" s="115">
        <f t="shared" si="20"/>
        <v>67.2</v>
      </c>
      <c r="E72" s="115">
        <f t="shared" si="20"/>
        <v>144.79999999999998</v>
      </c>
      <c r="F72" s="115">
        <f t="shared" si="20"/>
        <v>124.6</v>
      </c>
      <c r="G72" s="115">
        <f t="shared" si="20"/>
        <v>110.6</v>
      </c>
      <c r="H72" s="115">
        <f t="shared" si="20"/>
        <v>102.4</v>
      </c>
      <c r="I72" s="115">
        <f t="shared" si="20"/>
        <v>99.300000000000011</v>
      </c>
      <c r="J72" s="115">
        <f t="shared" si="20"/>
        <v>102.2</v>
      </c>
      <c r="K72" s="115">
        <f t="shared" si="20"/>
        <v>103</v>
      </c>
      <c r="L72" s="115">
        <f t="shared" si="20"/>
        <v>102</v>
      </c>
      <c r="M72" s="115">
        <f t="shared" si="20"/>
        <v>95.800000000000011</v>
      </c>
      <c r="N72" s="166">
        <f t="shared" ref="N72:U72" si="21">SUM(N69:N71)</f>
        <v>101.90025000000001</v>
      </c>
      <c r="O72" s="166">
        <f t="shared" si="21"/>
        <v>79.367666666666665</v>
      </c>
      <c r="P72" s="166">
        <f t="shared" si="21"/>
        <v>126.66666666666666</v>
      </c>
      <c r="Q72" s="166">
        <f t="shared" si="21"/>
        <v>101.30000000000001</v>
      </c>
      <c r="R72" s="166">
        <f t="shared" si="21"/>
        <v>100.26666666666665</v>
      </c>
      <c r="S72" s="166">
        <f t="shared" si="21"/>
        <v>101.90025000000001</v>
      </c>
      <c r="T72" s="166">
        <f t="shared" si="21"/>
        <v>101.325</v>
      </c>
      <c r="U72" s="166">
        <f t="shared" si="21"/>
        <v>101.325</v>
      </c>
    </row>
    <row r="73" spans="1:21" x14ac:dyDescent="0.15">
      <c r="A73" s="179" t="s">
        <v>31</v>
      </c>
      <c r="B73" s="112">
        <f>B50+B58+B65+B72</f>
        <v>336.06299999999999</v>
      </c>
      <c r="C73" s="112">
        <f t="shared" ref="C73:R73" si="22">C50+C58+C65+C72</f>
        <v>343.858</v>
      </c>
      <c r="D73" s="112">
        <f t="shared" si="22"/>
        <v>358.69999999999993</v>
      </c>
      <c r="E73" s="112">
        <f t="shared" si="22"/>
        <v>540.447</v>
      </c>
      <c r="F73" s="112">
        <f t="shared" si="22"/>
        <v>494.4</v>
      </c>
      <c r="G73" s="112">
        <f t="shared" si="22"/>
        <v>484.20000000000005</v>
      </c>
      <c r="H73" s="112">
        <f t="shared" si="22"/>
        <v>493.80000000000007</v>
      </c>
      <c r="I73" s="112">
        <f t="shared" si="22"/>
        <v>471.40000000000003</v>
      </c>
      <c r="J73" s="112">
        <f t="shared" si="22"/>
        <v>422.69999999999993</v>
      </c>
      <c r="K73" s="112">
        <f t="shared" si="22"/>
        <v>398.29</v>
      </c>
      <c r="L73" s="112">
        <f t="shared" si="22"/>
        <v>438.88000000000005</v>
      </c>
      <c r="M73" s="112">
        <f t="shared" si="22"/>
        <v>473.37860200000006</v>
      </c>
      <c r="N73" s="165">
        <f t="shared" si="22"/>
        <v>438.00971683333336</v>
      </c>
      <c r="O73" s="165">
        <f t="shared" si="22"/>
        <v>346.9545</v>
      </c>
      <c r="P73" s="165">
        <f t="shared" si="22"/>
        <v>506.34900000000005</v>
      </c>
      <c r="Q73" s="165">
        <f t="shared" si="22"/>
        <v>462.63333333333333</v>
      </c>
      <c r="R73" s="165">
        <f t="shared" si="22"/>
        <v>436.84953400000001</v>
      </c>
      <c r="S73" s="165">
        <f>S50+S58+S65+S72</f>
        <v>438.15238350000004</v>
      </c>
      <c r="T73" s="165">
        <f>T50+T58+T65+T72</f>
        <v>420.34018750000001</v>
      </c>
      <c r="U73" s="165">
        <f>U50+U58+U65+U72</f>
        <v>420.34018750000001</v>
      </c>
    </row>
    <row r="74" spans="1:21" x14ac:dyDescent="0.15">
      <c r="A74" s="179" t="s">
        <v>32</v>
      </c>
      <c r="B74" s="112">
        <f>B68+B61+B53+B46</f>
        <v>771.97699999999998</v>
      </c>
      <c r="C74" s="112">
        <f t="shared" ref="C74:O74" si="23">C68+C61+C53+C46</f>
        <v>761.18899999999996</v>
      </c>
      <c r="D74" s="112">
        <f t="shared" si="23"/>
        <v>896.8</v>
      </c>
      <c r="E74" s="112">
        <f t="shared" si="23"/>
        <v>780.8</v>
      </c>
      <c r="F74" s="112">
        <f t="shared" si="23"/>
        <v>785.4</v>
      </c>
      <c r="G74" s="112">
        <f t="shared" si="23"/>
        <v>789</v>
      </c>
      <c r="H74" s="112">
        <f t="shared" si="23"/>
        <v>796.1</v>
      </c>
      <c r="I74" s="112">
        <f t="shared" si="23"/>
        <v>784.6</v>
      </c>
      <c r="J74" s="112">
        <f t="shared" si="23"/>
        <v>778.6</v>
      </c>
      <c r="K74" s="112">
        <f t="shared" si="23"/>
        <v>749</v>
      </c>
      <c r="L74" s="112">
        <f t="shared" si="23"/>
        <v>794</v>
      </c>
      <c r="M74" s="112">
        <f t="shared" si="23"/>
        <v>807.21400000000006</v>
      </c>
      <c r="N74" s="165">
        <f t="shared" si="23"/>
        <v>791.22333333333336</v>
      </c>
      <c r="O74" s="165">
        <f t="shared" si="23"/>
        <v>809.98866666666663</v>
      </c>
      <c r="P74" s="165">
        <f t="shared" ref="P74:U74" si="24">P68+P61+P53+P46</f>
        <v>785.06666666666661</v>
      </c>
      <c r="Q74" s="165">
        <f>Q68+Q61+Q53+Q46</f>
        <v>786.43333333333339</v>
      </c>
      <c r="R74" s="165">
        <f>R68+R61+R53+R46</f>
        <v>783.40466666666657</v>
      </c>
      <c r="S74" s="165">
        <f t="shared" si="24"/>
        <v>791.22333333333336</v>
      </c>
      <c r="T74" s="165">
        <f t="shared" si="24"/>
        <v>693.2213333333334</v>
      </c>
      <c r="U74" s="165">
        <f t="shared" si="24"/>
        <v>693.2213333333334</v>
      </c>
    </row>
    <row r="75" spans="1:21" x14ac:dyDescent="0.15">
      <c r="A75" s="17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71"/>
      <c r="Q75" s="71"/>
      <c r="R75" s="71"/>
      <c r="S75" s="71"/>
      <c r="T75" s="116"/>
      <c r="U75" s="116"/>
    </row>
    <row r="76" spans="1:21" ht="15.75" x14ac:dyDescent="0.15">
      <c r="A76" s="175" t="s">
        <v>33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1"/>
      <c r="O76" s="21"/>
      <c r="P76" s="71"/>
      <c r="Q76" s="71"/>
      <c r="R76" s="71"/>
      <c r="S76" s="71"/>
      <c r="T76" s="21"/>
      <c r="U76" s="21"/>
    </row>
    <row r="77" spans="1:21" x14ac:dyDescent="0.15">
      <c r="A77" s="176" t="s">
        <v>34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21"/>
      <c r="O77" s="21"/>
      <c r="P77" s="69"/>
      <c r="Q77" s="69"/>
      <c r="R77" s="69"/>
      <c r="S77" s="69"/>
      <c r="T77" s="21"/>
      <c r="U77" s="21"/>
    </row>
    <row r="78" spans="1:21" x14ac:dyDescent="0.15">
      <c r="A78" s="177" t="s">
        <v>35</v>
      </c>
      <c r="B78" s="213">
        <v>274</v>
      </c>
      <c r="C78" s="213">
        <f>Detail!O338/Detail!O1/1000</f>
        <v>274</v>
      </c>
      <c r="D78" s="213">
        <v>274</v>
      </c>
      <c r="E78" s="213">
        <v>274</v>
      </c>
      <c r="F78" s="213">
        <f>Detail!R338/Detail!R1/1000</f>
        <v>274</v>
      </c>
      <c r="G78" s="213">
        <f>Detail!S338/Detail!S1/1000</f>
        <v>274</v>
      </c>
      <c r="H78" s="213">
        <v>292.3</v>
      </c>
      <c r="I78" s="213">
        <v>292.3</v>
      </c>
      <c r="J78" s="213">
        <f>Detail!V338/Detail!V1/1000</f>
        <v>289</v>
      </c>
      <c r="K78" s="213">
        <f>Detail!W338/Detail!W1/1000</f>
        <v>274</v>
      </c>
      <c r="L78" s="213">
        <f>Detail!X338/Detail!X1/1000</f>
        <v>274</v>
      </c>
      <c r="M78" s="213">
        <f>Detail!Y338/Detail!Y1/1000</f>
        <v>274</v>
      </c>
      <c r="N78" s="21">
        <f>SUM(B78:M78)/12</f>
        <v>278.3</v>
      </c>
      <c r="O78" s="71">
        <f>AVERAGE(B78:D78)</f>
        <v>274</v>
      </c>
      <c r="P78" s="71">
        <f>AVERAGE(E78:G78)</f>
        <v>274</v>
      </c>
      <c r="Q78" s="71">
        <f>AVERAGE(H78:J78)</f>
        <v>291.2</v>
      </c>
      <c r="R78" s="71">
        <f>AVERAGE(K78:M78)</f>
        <v>274</v>
      </c>
      <c r="S78" s="71">
        <f>AVERAGE(B78:M78)</f>
        <v>278.3</v>
      </c>
      <c r="T78" s="21">
        <v>292</v>
      </c>
      <c r="U78" s="21">
        <v>292</v>
      </c>
    </row>
    <row r="79" spans="1:21" x14ac:dyDescent="0.15">
      <c r="A79" s="177" t="s">
        <v>36</v>
      </c>
      <c r="B79" s="213">
        <v>238.07499999999999</v>
      </c>
      <c r="C79" s="213">
        <v>243.98099999999999</v>
      </c>
      <c r="D79" s="213">
        <v>241.5</v>
      </c>
      <c r="E79" s="213">
        <v>185.1</v>
      </c>
      <c r="F79" s="213">
        <v>208.8</v>
      </c>
      <c r="G79" s="213">
        <v>207.2</v>
      </c>
      <c r="H79" s="213">
        <v>233.8</v>
      </c>
      <c r="I79" s="213">
        <v>253.4</v>
      </c>
      <c r="J79" s="213">
        <v>235.1</v>
      </c>
      <c r="K79" s="213">
        <f>Detail!W350/Detail!W1/1000</f>
        <v>229.06399999999999</v>
      </c>
      <c r="L79" s="213">
        <f>Detail!X350/Detail!X1/1000</f>
        <v>223.858</v>
      </c>
      <c r="M79" s="213">
        <f>Detail!Y350/Detail!Y1/1000</f>
        <v>181.66200000000001</v>
      </c>
      <c r="N79" s="21">
        <f>SUM(B79:M79)/12</f>
        <v>223.46166666666667</v>
      </c>
      <c r="O79" s="71">
        <f>AVERAGE(B79:D79)</f>
        <v>241.18533333333335</v>
      </c>
      <c r="P79" s="71">
        <f>AVERAGE(E79:G79)</f>
        <v>200.36666666666665</v>
      </c>
      <c r="Q79" s="71">
        <f>AVERAGE(H79:J79)</f>
        <v>240.76666666666668</v>
      </c>
      <c r="R79" s="71">
        <f>AVERAGE(K79:M79)</f>
        <v>211.52800000000002</v>
      </c>
      <c r="S79" s="71">
        <f>AVERAGE(B79:M79)</f>
        <v>223.46166666666667</v>
      </c>
      <c r="T79" s="21">
        <v>223.98833333333332</v>
      </c>
      <c r="U79" s="21">
        <v>223.98833333333332</v>
      </c>
    </row>
    <row r="80" spans="1:21" x14ac:dyDescent="0.15">
      <c r="A80" s="177" t="s">
        <v>11</v>
      </c>
      <c r="B80" s="213">
        <v>15</v>
      </c>
      <c r="C80" s="213">
        <v>14.712</v>
      </c>
      <c r="D80" s="213">
        <v>0</v>
      </c>
      <c r="E80" s="213">
        <v>0</v>
      </c>
      <c r="F80" s="213">
        <v>0</v>
      </c>
      <c r="G80" s="213">
        <v>0</v>
      </c>
      <c r="H80" s="213">
        <v>0</v>
      </c>
      <c r="I80" s="213">
        <v>0</v>
      </c>
      <c r="J80" s="213">
        <v>0</v>
      </c>
      <c r="K80" s="213">
        <v>0</v>
      </c>
      <c r="L80" s="213">
        <v>0</v>
      </c>
      <c r="M80" s="213">
        <v>0</v>
      </c>
      <c r="N80" s="21">
        <f>SUM(B80:M80)/12</f>
        <v>2.476</v>
      </c>
      <c r="O80" s="71">
        <f>AVERAGE(B80:D80)</f>
        <v>9.9039999999999999</v>
      </c>
      <c r="P80" s="71">
        <f>AVERAGE(E80:G80)</f>
        <v>0</v>
      </c>
      <c r="Q80" s="71">
        <f>AVERAGE(H80:J80)</f>
        <v>0</v>
      </c>
      <c r="R80" s="71">
        <f>AVERAGE(K80:M80)</f>
        <v>0</v>
      </c>
      <c r="S80" s="71">
        <f>AVERAGE(B80:M80)</f>
        <v>2.476</v>
      </c>
      <c r="T80" s="21">
        <v>0</v>
      </c>
      <c r="U80" s="21">
        <v>0</v>
      </c>
    </row>
    <row r="81" spans="1:22" x14ac:dyDescent="0.15">
      <c r="A81" s="178" t="s">
        <v>37</v>
      </c>
      <c r="B81" s="214">
        <v>45.604999999999997</v>
      </c>
      <c r="C81" s="214">
        <v>31.693000000000001</v>
      </c>
      <c r="D81" s="214">
        <v>3</v>
      </c>
      <c r="E81" s="214">
        <v>3.2</v>
      </c>
      <c r="F81" s="214">
        <v>3.2</v>
      </c>
      <c r="G81" s="214">
        <v>6.9</v>
      </c>
      <c r="H81" s="214">
        <v>117.3</v>
      </c>
      <c r="I81" s="214">
        <v>93.5</v>
      </c>
      <c r="J81" s="214">
        <v>0</v>
      </c>
      <c r="K81" s="214">
        <f>Detail!W376/1000</f>
        <v>43</v>
      </c>
      <c r="L81" s="214">
        <f>Detail!X376/1000</f>
        <v>43</v>
      </c>
      <c r="M81" s="214">
        <f>Detail!Y376/1000</f>
        <v>11.7</v>
      </c>
      <c r="N81" s="115">
        <f>SUM(B81:M81)/12</f>
        <v>33.508166666666668</v>
      </c>
      <c r="O81" s="71">
        <f>AVERAGE(B81:D81)</f>
        <v>26.766000000000002</v>
      </c>
      <c r="P81" s="71">
        <f>AVERAGE(E81:G81)</f>
        <v>4.4333333333333336</v>
      </c>
      <c r="Q81" s="71">
        <f>AVERAGE(H81:J81)</f>
        <v>70.266666666666666</v>
      </c>
      <c r="R81" s="71">
        <f>AVERAGE(K81:M81)</f>
        <v>32.56666666666667</v>
      </c>
      <c r="S81" s="71">
        <f>AVERAGE(B81:M81)</f>
        <v>33.508166666666668</v>
      </c>
      <c r="T81" s="112">
        <v>17.658333333333331</v>
      </c>
      <c r="U81" s="112">
        <v>17.658333333333331</v>
      </c>
    </row>
    <row r="82" spans="1:22" x14ac:dyDescent="0.15">
      <c r="A82" s="176" t="s">
        <v>38</v>
      </c>
      <c r="B82" s="21">
        <f>SUM(B79:B81)</f>
        <v>298.68</v>
      </c>
      <c r="C82" s="21">
        <f>SUM(C79:C81)</f>
        <v>290.38599999999997</v>
      </c>
      <c r="D82" s="21">
        <f t="shared" ref="D82:S82" si="25">SUM(D79:D81)</f>
        <v>244.5</v>
      </c>
      <c r="E82" s="21">
        <f t="shared" si="25"/>
        <v>188.29999999999998</v>
      </c>
      <c r="F82" s="21">
        <f t="shared" si="25"/>
        <v>212</v>
      </c>
      <c r="G82" s="21">
        <f t="shared" si="25"/>
        <v>214.1</v>
      </c>
      <c r="H82" s="21">
        <f t="shared" si="25"/>
        <v>351.1</v>
      </c>
      <c r="I82" s="21">
        <f t="shared" si="25"/>
        <v>346.9</v>
      </c>
      <c r="J82" s="21">
        <f t="shared" si="25"/>
        <v>235.1</v>
      </c>
      <c r="K82" s="21">
        <f t="shared" si="25"/>
        <v>272.06399999999996</v>
      </c>
      <c r="L82" s="21">
        <f t="shared" si="25"/>
        <v>266.858</v>
      </c>
      <c r="M82" s="21">
        <f t="shared" si="25"/>
        <v>193.36199999999999</v>
      </c>
      <c r="N82" s="21">
        <f t="shared" si="25"/>
        <v>259.44583333333333</v>
      </c>
      <c r="O82" s="21">
        <f t="shared" si="25"/>
        <v>277.85533333333336</v>
      </c>
      <c r="P82" s="21">
        <f t="shared" si="25"/>
        <v>204.79999999999998</v>
      </c>
      <c r="Q82" s="21">
        <f t="shared" si="25"/>
        <v>311.03333333333336</v>
      </c>
      <c r="R82" s="21">
        <f t="shared" si="25"/>
        <v>244.09466666666668</v>
      </c>
      <c r="S82" s="21">
        <f t="shared" si="25"/>
        <v>259.44583333333333</v>
      </c>
      <c r="T82" s="21">
        <f>SUM(T79:T81)</f>
        <v>241.64666666666665</v>
      </c>
      <c r="U82" s="21">
        <f>SUM(U79:U81)</f>
        <v>241.64666666666665</v>
      </c>
    </row>
    <row r="83" spans="1:22" x14ac:dyDescent="0.15">
      <c r="A83" s="176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70"/>
      <c r="Q83" s="70"/>
      <c r="R83" s="70"/>
      <c r="S83" s="70"/>
      <c r="T83" s="21"/>
      <c r="U83" s="21"/>
    </row>
    <row r="84" spans="1:22" x14ac:dyDescent="0.15">
      <c r="A84" s="176" t="s">
        <v>39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21"/>
      <c r="O84" s="21"/>
      <c r="P84" s="69"/>
      <c r="Q84" s="69"/>
      <c r="R84" s="69"/>
      <c r="S84" s="69"/>
      <c r="T84" s="21"/>
      <c r="U84" s="21"/>
    </row>
    <row r="85" spans="1:22" x14ac:dyDescent="0.15">
      <c r="A85" s="177" t="s">
        <v>35</v>
      </c>
      <c r="B85" s="213">
        <v>266.86500000000001</v>
      </c>
      <c r="C85" s="213">
        <v>277.41399999999999</v>
      </c>
      <c r="D85" s="213">
        <v>291.7</v>
      </c>
      <c r="E85" s="213">
        <v>331.7</v>
      </c>
      <c r="F85" s="213">
        <v>304.7</v>
      </c>
      <c r="G85" s="213">
        <v>292.60000000000002</v>
      </c>
      <c r="H85" s="213">
        <v>307</v>
      </c>
      <c r="I85" s="213">
        <v>307</v>
      </c>
      <c r="J85" s="213">
        <v>304.2</v>
      </c>
      <c r="K85" s="213">
        <f>Detail!W395/Detail!W1/1000</f>
        <v>261.7</v>
      </c>
      <c r="L85" s="213">
        <f>Detail!X395/Detail!X1/1000</f>
        <v>261.7</v>
      </c>
      <c r="M85" s="213">
        <f>Detail!Y395/Detail!Y1/1000</f>
        <v>261.7</v>
      </c>
      <c r="N85" s="21">
        <f>SUM(B85:M85)/12</f>
        <v>289.02324999999996</v>
      </c>
      <c r="O85" s="71">
        <f>AVERAGE(B85:D85)</f>
        <v>278.65966666666668</v>
      </c>
      <c r="P85" s="71">
        <f>AVERAGE(E85:G85)</f>
        <v>309.66666666666669</v>
      </c>
      <c r="Q85" s="71">
        <f>AVERAGE(H85:J85)</f>
        <v>306.06666666666666</v>
      </c>
      <c r="R85" s="71">
        <f>AVERAGE(K85:M85)</f>
        <v>261.7</v>
      </c>
      <c r="S85" s="71">
        <f>AVERAGE(B85:M85)</f>
        <v>289.02324999999996</v>
      </c>
      <c r="T85" s="21">
        <v>276.89999999999998</v>
      </c>
      <c r="U85" s="21">
        <v>276.89999999999998</v>
      </c>
    </row>
    <row r="86" spans="1:22" x14ac:dyDescent="0.15">
      <c r="A86" s="177" t="s">
        <v>36</v>
      </c>
      <c r="B86" s="213">
        <v>235.25299999999999</v>
      </c>
      <c r="C86" s="213">
        <v>236.67699999999999</v>
      </c>
      <c r="D86" s="213">
        <v>213.8</v>
      </c>
      <c r="E86" s="213">
        <v>250.3</v>
      </c>
      <c r="F86" s="213">
        <v>222.5</v>
      </c>
      <c r="G86" s="213">
        <v>243.3</v>
      </c>
      <c r="H86" s="213">
        <v>247.1</v>
      </c>
      <c r="I86" s="213">
        <v>264.7</v>
      </c>
      <c r="J86" s="213">
        <v>255.1</v>
      </c>
      <c r="K86" s="213">
        <f>Detail!W408/Detail!W1/1000</f>
        <v>194.9665</v>
      </c>
      <c r="L86" s="213">
        <f>Detail!X408/Detail!X1/1000</f>
        <v>242.07249999999999</v>
      </c>
      <c r="M86" s="213">
        <f>Detail!Y408/Detail!Y1/1000</f>
        <v>315.3485</v>
      </c>
      <c r="N86" s="21">
        <f>SUM(B86:M86)/12</f>
        <v>243.42645833333336</v>
      </c>
      <c r="O86" s="71">
        <f>AVERAGE(B86:D86)</f>
        <v>228.57666666666668</v>
      </c>
      <c r="P86" s="71">
        <f>AVERAGE(E86:G86)</f>
        <v>238.70000000000002</v>
      </c>
      <c r="Q86" s="71">
        <f>AVERAGE(H86:J86)</f>
        <v>255.63333333333333</v>
      </c>
      <c r="R86" s="71">
        <f>AVERAGE(K86:M86)</f>
        <v>250.79583333333335</v>
      </c>
      <c r="S86" s="71">
        <f>AVERAGE(B86:M86)</f>
        <v>243.42645833333336</v>
      </c>
      <c r="T86" s="21">
        <v>265.75111666666663</v>
      </c>
      <c r="U86" s="21">
        <v>265.75111666666663</v>
      </c>
    </row>
    <row r="87" spans="1:22" x14ac:dyDescent="0.15">
      <c r="A87" s="177" t="s">
        <v>11</v>
      </c>
      <c r="B87" s="213">
        <v>0</v>
      </c>
      <c r="C87" s="213">
        <v>0</v>
      </c>
      <c r="D87" s="213">
        <v>0</v>
      </c>
      <c r="E87" s="213">
        <v>0</v>
      </c>
      <c r="F87" s="213">
        <v>0</v>
      </c>
      <c r="G87" s="213">
        <v>0</v>
      </c>
      <c r="H87" s="213">
        <v>0</v>
      </c>
      <c r="I87" s="213">
        <v>0</v>
      </c>
      <c r="J87" s="213">
        <v>0</v>
      </c>
      <c r="K87" s="213">
        <v>0</v>
      </c>
      <c r="L87" s="213">
        <v>0</v>
      </c>
      <c r="M87" s="213">
        <v>0</v>
      </c>
      <c r="N87" s="21">
        <f>SUM(B87:M87)/12</f>
        <v>0</v>
      </c>
      <c r="O87" s="71">
        <f>AVERAGE(B87:D87)</f>
        <v>0</v>
      </c>
      <c r="P87" s="71">
        <f>AVERAGE(E87:G87)</f>
        <v>0</v>
      </c>
      <c r="Q87" s="71">
        <f>AVERAGE(H87:J87)</f>
        <v>0</v>
      </c>
      <c r="R87" s="71">
        <f>AVERAGE(K87:M87)</f>
        <v>0</v>
      </c>
      <c r="S87" s="71">
        <f>AVERAGE(B87:M87)</f>
        <v>0</v>
      </c>
      <c r="T87" s="21">
        <v>0</v>
      </c>
      <c r="U87" s="21">
        <v>0</v>
      </c>
    </row>
    <row r="88" spans="1:22" x14ac:dyDescent="0.15">
      <c r="A88" s="178" t="s">
        <v>37</v>
      </c>
      <c r="B88" s="214">
        <v>105.898</v>
      </c>
      <c r="C88" s="214">
        <v>81.103999999999999</v>
      </c>
      <c r="D88" s="214">
        <v>87.5</v>
      </c>
      <c r="E88" s="214">
        <v>124.8</v>
      </c>
      <c r="F88" s="214">
        <v>177.9</v>
      </c>
      <c r="G88" s="214">
        <v>130.19999999999999</v>
      </c>
      <c r="H88" s="214">
        <v>0.4</v>
      </c>
      <c r="I88" s="214">
        <v>0.2</v>
      </c>
      <c r="J88" s="214">
        <v>81.900000000000006</v>
      </c>
      <c r="K88" s="214">
        <f>Detail!W436/1000</f>
        <v>26</v>
      </c>
      <c r="L88" s="214">
        <f>Detail!X436/1000</f>
        <v>26</v>
      </c>
      <c r="M88" s="214">
        <f>Detail!Y436/1000</f>
        <v>102.1</v>
      </c>
      <c r="N88" s="115">
        <f>SUM(B88:M88)/12</f>
        <v>78.666833333333344</v>
      </c>
      <c r="O88" s="71">
        <f>AVERAGE(B88:D88)</f>
        <v>91.500666666666675</v>
      </c>
      <c r="P88" s="71">
        <f>AVERAGE(E88:G88)</f>
        <v>144.29999999999998</v>
      </c>
      <c r="Q88" s="71">
        <f>AVERAGE(H88:J88)</f>
        <v>27.5</v>
      </c>
      <c r="R88" s="71">
        <f>AVERAGE(K88:M88)</f>
        <v>51.366666666666667</v>
      </c>
      <c r="S88" s="71">
        <f>AVERAGE(B88:M88)</f>
        <v>78.666833333333344</v>
      </c>
      <c r="T88" s="112">
        <v>87.49166666666666</v>
      </c>
      <c r="U88" s="112">
        <v>87.49166666666666</v>
      </c>
    </row>
    <row r="89" spans="1:22" s="28" customFormat="1" x14ac:dyDescent="0.15">
      <c r="A89" s="176" t="s">
        <v>40</v>
      </c>
      <c r="B89" s="115">
        <f>SUM(B86:B88)</f>
        <v>341.15099999999995</v>
      </c>
      <c r="C89" s="115">
        <f t="shared" ref="C89:M89" si="26">SUM(C86:C88)</f>
        <v>317.78100000000001</v>
      </c>
      <c r="D89" s="115">
        <f t="shared" si="26"/>
        <v>301.3</v>
      </c>
      <c r="E89" s="115">
        <f t="shared" si="26"/>
        <v>375.1</v>
      </c>
      <c r="F89" s="115">
        <f t="shared" si="26"/>
        <v>400.4</v>
      </c>
      <c r="G89" s="115">
        <f t="shared" si="26"/>
        <v>373.5</v>
      </c>
      <c r="H89" s="115">
        <f t="shared" si="26"/>
        <v>247.5</v>
      </c>
      <c r="I89" s="115">
        <f t="shared" si="26"/>
        <v>264.89999999999998</v>
      </c>
      <c r="J89" s="115">
        <f t="shared" si="26"/>
        <v>337</v>
      </c>
      <c r="K89" s="115">
        <f t="shared" si="26"/>
        <v>220.9665</v>
      </c>
      <c r="L89" s="115">
        <f t="shared" si="26"/>
        <v>268.07249999999999</v>
      </c>
      <c r="M89" s="115">
        <f t="shared" si="26"/>
        <v>417.44849999999997</v>
      </c>
      <c r="N89" s="166">
        <f t="shared" ref="N89:U89" si="27">SUM(N86:N88)</f>
        <v>322.09329166666669</v>
      </c>
      <c r="O89" s="166">
        <f t="shared" si="27"/>
        <v>320.07733333333334</v>
      </c>
      <c r="P89" s="166">
        <f t="shared" si="27"/>
        <v>383</v>
      </c>
      <c r="Q89" s="166">
        <f t="shared" si="27"/>
        <v>283.13333333333333</v>
      </c>
      <c r="R89" s="166">
        <f t="shared" si="27"/>
        <v>302.16250000000002</v>
      </c>
      <c r="S89" s="70">
        <f t="shared" si="27"/>
        <v>322.09329166666669</v>
      </c>
      <c r="T89" s="166">
        <f t="shared" si="27"/>
        <v>353.24278333333331</v>
      </c>
      <c r="U89" s="166">
        <f t="shared" si="27"/>
        <v>353.24278333333331</v>
      </c>
      <c r="V89" s="21"/>
    </row>
    <row r="90" spans="1:22" s="28" customFormat="1" x14ac:dyDescent="0.15">
      <c r="A90" s="179" t="s">
        <v>41</v>
      </c>
      <c r="B90" s="112">
        <f>B82+B89</f>
        <v>639.8309999999999</v>
      </c>
      <c r="C90" s="112">
        <f>C82+C89</f>
        <v>608.16699999999992</v>
      </c>
      <c r="D90" s="112">
        <f t="shared" ref="D90:S90" si="28">D82+D89</f>
        <v>545.79999999999995</v>
      </c>
      <c r="E90" s="112">
        <f t="shared" si="28"/>
        <v>563.4</v>
      </c>
      <c r="F90" s="112">
        <f t="shared" si="28"/>
        <v>612.4</v>
      </c>
      <c r="G90" s="112">
        <f t="shared" si="28"/>
        <v>587.6</v>
      </c>
      <c r="H90" s="112">
        <f t="shared" si="28"/>
        <v>598.6</v>
      </c>
      <c r="I90" s="112">
        <f t="shared" si="28"/>
        <v>611.79999999999995</v>
      </c>
      <c r="J90" s="112">
        <f t="shared" si="28"/>
        <v>572.1</v>
      </c>
      <c r="K90" s="112">
        <f t="shared" si="28"/>
        <v>493.03049999999996</v>
      </c>
      <c r="L90" s="112">
        <f t="shared" si="28"/>
        <v>534.93049999999994</v>
      </c>
      <c r="M90" s="112">
        <f t="shared" si="28"/>
        <v>610.81049999999993</v>
      </c>
      <c r="N90" s="166">
        <f t="shared" si="28"/>
        <v>581.53912500000001</v>
      </c>
      <c r="O90" s="73">
        <f t="shared" si="28"/>
        <v>597.93266666666671</v>
      </c>
      <c r="P90" s="73">
        <f t="shared" si="28"/>
        <v>587.79999999999995</v>
      </c>
      <c r="Q90" s="73">
        <f t="shared" si="28"/>
        <v>594.16666666666674</v>
      </c>
      <c r="R90" s="73">
        <f t="shared" si="28"/>
        <v>546.25716666666676</v>
      </c>
      <c r="S90" s="73">
        <f t="shared" si="28"/>
        <v>581.53912500000001</v>
      </c>
      <c r="T90" s="166">
        <f>T82+T89</f>
        <v>594.8894499999999</v>
      </c>
      <c r="U90" s="166">
        <f>U82+U89</f>
        <v>594.8894499999999</v>
      </c>
      <c r="V90" s="21"/>
    </row>
    <row r="91" spans="1:22" s="28" customFormat="1" x14ac:dyDescent="0.15">
      <c r="A91" s="179" t="s">
        <v>42</v>
      </c>
      <c r="B91" s="112">
        <f>B85++B78</f>
        <v>540.86500000000001</v>
      </c>
      <c r="C91" s="112">
        <f>C85++C78</f>
        <v>551.41399999999999</v>
      </c>
      <c r="D91" s="112">
        <f t="shared" ref="D91:M91" si="29">D85++D78</f>
        <v>565.70000000000005</v>
      </c>
      <c r="E91" s="112">
        <f t="shared" si="29"/>
        <v>605.70000000000005</v>
      </c>
      <c r="F91" s="112">
        <f>F85+F78</f>
        <v>578.70000000000005</v>
      </c>
      <c r="G91" s="112">
        <f t="shared" si="29"/>
        <v>566.6</v>
      </c>
      <c r="H91" s="112">
        <f t="shared" si="29"/>
        <v>599.29999999999995</v>
      </c>
      <c r="I91" s="112">
        <f t="shared" si="29"/>
        <v>599.29999999999995</v>
      </c>
      <c r="J91" s="112">
        <f t="shared" si="29"/>
        <v>593.20000000000005</v>
      </c>
      <c r="K91" s="112">
        <f t="shared" si="29"/>
        <v>535.70000000000005</v>
      </c>
      <c r="L91" s="112">
        <f t="shared" si="29"/>
        <v>535.70000000000005</v>
      </c>
      <c r="M91" s="112">
        <f t="shared" si="29"/>
        <v>535.70000000000005</v>
      </c>
      <c r="N91" s="166">
        <f t="shared" ref="N91:S91" si="30">N85+N78</f>
        <v>567.32324999999992</v>
      </c>
      <c r="O91" s="73">
        <f t="shared" si="30"/>
        <v>552.65966666666668</v>
      </c>
      <c r="P91" s="73">
        <f t="shared" si="30"/>
        <v>583.66666666666674</v>
      </c>
      <c r="Q91" s="73">
        <f t="shared" si="30"/>
        <v>597.26666666666665</v>
      </c>
      <c r="R91" s="73">
        <f t="shared" si="30"/>
        <v>535.70000000000005</v>
      </c>
      <c r="S91" s="73">
        <f t="shared" si="30"/>
        <v>567.32324999999992</v>
      </c>
      <c r="T91" s="166">
        <f>T85++T78</f>
        <v>568.9</v>
      </c>
      <c r="U91" s="166">
        <f>U85++U78</f>
        <v>568.9</v>
      </c>
      <c r="V91" s="21"/>
    </row>
    <row r="92" spans="1:22" s="28" customFormat="1" x14ac:dyDescent="0.15">
      <c r="A92" s="17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96"/>
      <c r="Q92" s="96"/>
      <c r="R92" s="96"/>
      <c r="S92" s="96"/>
      <c r="T92" s="116"/>
      <c r="U92" s="116"/>
      <c r="V92" s="21"/>
    </row>
    <row r="93" spans="1:22" ht="15.75" x14ac:dyDescent="0.15">
      <c r="A93" s="175" t="s">
        <v>43</v>
      </c>
      <c r="B93" s="20"/>
      <c r="C93" s="20"/>
      <c r="D93" s="20"/>
      <c r="E93" s="20"/>
      <c r="F93" s="25"/>
      <c r="G93" s="20"/>
      <c r="H93" s="26"/>
      <c r="I93" s="20"/>
      <c r="J93" s="20"/>
      <c r="K93" s="20"/>
      <c r="L93" s="20"/>
      <c r="M93" s="20"/>
      <c r="N93" s="117"/>
      <c r="O93" s="117"/>
      <c r="P93" s="75"/>
      <c r="Q93" s="75"/>
      <c r="R93" s="75"/>
      <c r="S93" s="75"/>
      <c r="T93" s="117"/>
      <c r="U93" s="117"/>
    </row>
    <row r="94" spans="1:22" x14ac:dyDescent="0.15">
      <c r="A94" s="176" t="s">
        <v>44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1"/>
      <c r="O94" s="21"/>
      <c r="P94" s="69"/>
      <c r="Q94" s="69"/>
      <c r="R94" s="69"/>
      <c r="S94" s="69"/>
      <c r="T94" s="21"/>
      <c r="U94" s="21"/>
    </row>
    <row r="95" spans="1:22" x14ac:dyDescent="0.15">
      <c r="A95" s="177" t="s">
        <v>9</v>
      </c>
      <c r="B95" s="213">
        <v>465</v>
      </c>
      <c r="C95" s="213">
        <f>Detail!O287/Detail!O1/1000</f>
        <v>465</v>
      </c>
      <c r="D95" s="213">
        <v>465</v>
      </c>
      <c r="E95" s="213">
        <v>465</v>
      </c>
      <c r="F95" s="213">
        <f>Detail!R287/Detail!R1/1000</f>
        <v>465</v>
      </c>
      <c r="G95" s="213">
        <v>465</v>
      </c>
      <c r="H95" s="213">
        <v>440</v>
      </c>
      <c r="I95" s="213">
        <v>464.2</v>
      </c>
      <c r="J95" s="213">
        <f>Detail!V287/Detail!V1/1000</f>
        <v>465</v>
      </c>
      <c r="K95" s="213">
        <f>Detail!W287/Detail!W1/1000</f>
        <v>465</v>
      </c>
      <c r="L95" s="213">
        <f>Detail!X287/Detail!X1/1000</f>
        <v>465</v>
      </c>
      <c r="M95" s="213">
        <f>Detail!Y287/Detail!Y1/1000</f>
        <v>465</v>
      </c>
      <c r="N95" s="21">
        <f>SUM(B95:M95)/12</f>
        <v>462.84999999999997</v>
      </c>
      <c r="O95" s="71">
        <f>AVERAGE(B95:D95)</f>
        <v>465</v>
      </c>
      <c r="P95" s="71">
        <f>AVERAGE(E95:G95)</f>
        <v>465</v>
      </c>
      <c r="Q95" s="71">
        <f>AVERAGE(H95:J95)</f>
        <v>456.40000000000003</v>
      </c>
      <c r="R95" s="71">
        <f>AVERAGE(K95:M95)</f>
        <v>465</v>
      </c>
      <c r="S95" s="71">
        <f>AVERAGE(B95:M95)</f>
        <v>462.84999999999997</v>
      </c>
      <c r="T95" s="21">
        <v>465</v>
      </c>
      <c r="U95" s="21">
        <v>465</v>
      </c>
    </row>
    <row r="96" spans="1:22" x14ac:dyDescent="0.15">
      <c r="A96" s="177" t="s">
        <v>36</v>
      </c>
      <c r="B96" s="213">
        <v>440.90499999999997</v>
      </c>
      <c r="C96" s="213">
        <v>443.31799999999998</v>
      </c>
      <c r="D96" s="213">
        <v>439.3</v>
      </c>
      <c r="E96" s="213">
        <v>415.1</v>
      </c>
      <c r="F96" s="213">
        <v>353.9</v>
      </c>
      <c r="G96" s="213">
        <f>361.2+0.2</f>
        <v>361.4</v>
      </c>
      <c r="H96" s="213">
        <v>314.60000000000002</v>
      </c>
      <c r="I96" s="213">
        <v>285.39999999999998</v>
      </c>
      <c r="J96" s="213">
        <v>444.3</v>
      </c>
      <c r="K96" s="213">
        <f>Detail!W300/Detail!W1/1000</f>
        <v>425.47500000000002</v>
      </c>
      <c r="L96" s="213">
        <f>Detail!X300/Detail!X1/1000</f>
        <v>424.54500000000002</v>
      </c>
      <c r="M96" s="213">
        <f>Detail!Y300/Detail!Y1/1000</f>
        <v>428.26499999999999</v>
      </c>
      <c r="N96" s="21">
        <f>SUM(B96:M96)/12</f>
        <v>398.04233333333337</v>
      </c>
      <c r="O96" s="71">
        <f>AVERAGE(B96:D96)</f>
        <v>441.17433333333332</v>
      </c>
      <c r="P96" s="71">
        <f>AVERAGE(E96:G96)</f>
        <v>376.8</v>
      </c>
      <c r="Q96" s="71">
        <f>AVERAGE(H96:J96)</f>
        <v>348.09999999999997</v>
      </c>
      <c r="R96" s="71">
        <f>AVERAGE(K96:M96)</f>
        <v>426.09499999999997</v>
      </c>
      <c r="S96" s="71">
        <f>AVERAGE(B96:M96)</f>
        <v>398.04233333333337</v>
      </c>
      <c r="T96" s="21">
        <v>435.12374999999997</v>
      </c>
      <c r="U96" s="21">
        <v>435.12374999999997</v>
      </c>
    </row>
    <row r="97" spans="1:22" x14ac:dyDescent="0.15">
      <c r="A97" s="177" t="s">
        <v>45</v>
      </c>
      <c r="B97" s="213">
        <v>24.478999999999999</v>
      </c>
      <c r="C97" s="213"/>
      <c r="D97" s="213">
        <v>23.2</v>
      </c>
      <c r="E97" s="213">
        <v>21.4</v>
      </c>
      <c r="F97" s="213">
        <v>79.8</v>
      </c>
      <c r="G97" s="213">
        <v>122.9</v>
      </c>
      <c r="H97" s="213">
        <v>156.4</v>
      </c>
      <c r="I97" s="213">
        <v>172</v>
      </c>
      <c r="J97" s="213">
        <f>'[1]2000Plan'!L9</f>
        <v>0</v>
      </c>
      <c r="K97" s="213">
        <f>'[1]2000Plan'!M9</f>
        <v>0</v>
      </c>
      <c r="L97" s="213">
        <f>'[1]2000Plan'!N9</f>
        <v>0</v>
      </c>
      <c r="M97" s="213">
        <f>'[1]2000Plan'!O9</f>
        <v>0</v>
      </c>
      <c r="N97" s="21">
        <f>SUM(B97:M97)/12</f>
        <v>50.014916666666664</v>
      </c>
      <c r="O97" s="71">
        <f>AVERAGE(B97:D97)</f>
        <v>23.839500000000001</v>
      </c>
      <c r="P97" s="71">
        <f>AVERAGE(E97:G97)</f>
        <v>74.7</v>
      </c>
      <c r="Q97" s="71">
        <f>AVERAGE(H97:J97)</f>
        <v>109.46666666666665</v>
      </c>
      <c r="R97" s="71">
        <f>AVERAGE(K97:M97)</f>
        <v>0</v>
      </c>
      <c r="S97" s="71">
        <f>AVERAGE(B97:M97)</f>
        <v>54.561727272727268</v>
      </c>
      <c r="T97" s="21">
        <v>0</v>
      </c>
      <c r="U97" s="21">
        <v>0</v>
      </c>
    </row>
    <row r="98" spans="1:22" x14ac:dyDescent="0.15">
      <c r="A98" s="181" t="s">
        <v>37</v>
      </c>
      <c r="B98" s="213"/>
      <c r="C98" s="213">
        <v>23.946000000000002</v>
      </c>
      <c r="D98" s="213">
        <v>0.4</v>
      </c>
      <c r="E98" s="213">
        <v>3.5</v>
      </c>
      <c r="F98" s="213">
        <v>3.2</v>
      </c>
      <c r="G98" s="213">
        <v>-4.3</v>
      </c>
      <c r="H98" s="213">
        <f>'[1]2000Plan'!J10</f>
        <v>0</v>
      </c>
      <c r="I98" s="213">
        <v>0</v>
      </c>
      <c r="J98" s="213">
        <f>'[1]2000Plan'!L10</f>
        <v>0</v>
      </c>
      <c r="K98" s="213">
        <f>'[1]2000Plan'!M10</f>
        <v>0</v>
      </c>
      <c r="L98" s="213">
        <f>'[1]2000Plan'!N10</f>
        <v>0</v>
      </c>
      <c r="M98" s="213">
        <f>'[1]2000Plan'!O10</f>
        <v>0</v>
      </c>
      <c r="N98" s="112">
        <f>SUM(B98:M98)/12</f>
        <v>2.2288333333333332</v>
      </c>
      <c r="O98" s="71">
        <f>AVERAGE(B98:D98)</f>
        <v>12.173</v>
      </c>
      <c r="P98" s="71">
        <f>AVERAGE(E98:G98)</f>
        <v>0.80000000000000016</v>
      </c>
      <c r="Q98" s="71">
        <f>AVERAGE(H98:J98)</f>
        <v>0</v>
      </c>
      <c r="R98" s="71">
        <f>AVERAGE(K98:M98)</f>
        <v>0</v>
      </c>
      <c r="S98" s="71">
        <f>AVERAGE(B98:M98)</f>
        <v>2.4314545454545455</v>
      </c>
      <c r="T98" s="112">
        <v>0</v>
      </c>
      <c r="U98" s="112">
        <v>0</v>
      </c>
    </row>
    <row r="99" spans="1:22" x14ac:dyDescent="0.15">
      <c r="A99" s="182" t="s">
        <v>46</v>
      </c>
      <c r="B99" s="115">
        <f>SUM(B96:B98)</f>
        <v>465.38399999999996</v>
      </c>
      <c r="C99" s="115">
        <f t="shared" ref="C99:M99" si="31">SUM(C96:C98)</f>
        <v>467.26400000000001</v>
      </c>
      <c r="D99" s="115">
        <f t="shared" si="31"/>
        <v>462.9</v>
      </c>
      <c r="E99" s="115">
        <f t="shared" si="31"/>
        <v>440</v>
      </c>
      <c r="F99" s="115">
        <f t="shared" si="31"/>
        <v>436.9</v>
      </c>
      <c r="G99" s="115">
        <f t="shared" si="31"/>
        <v>479.99999999999994</v>
      </c>
      <c r="H99" s="115">
        <f t="shared" si="31"/>
        <v>471</v>
      </c>
      <c r="I99" s="115">
        <f t="shared" si="31"/>
        <v>457.4</v>
      </c>
      <c r="J99" s="115">
        <f t="shared" si="31"/>
        <v>444.3</v>
      </c>
      <c r="K99" s="115">
        <f t="shared" si="31"/>
        <v>425.47500000000002</v>
      </c>
      <c r="L99" s="115">
        <f t="shared" si="31"/>
        <v>424.54500000000002</v>
      </c>
      <c r="M99" s="115">
        <f t="shared" si="31"/>
        <v>428.26499999999999</v>
      </c>
      <c r="N99" s="166">
        <f t="shared" ref="N99:U99" si="32">SUM(N96:N98)</f>
        <v>450.28608333333341</v>
      </c>
      <c r="O99" s="166">
        <f t="shared" si="32"/>
        <v>477.18683333333331</v>
      </c>
      <c r="P99" s="166">
        <f t="shared" si="32"/>
        <v>452.3</v>
      </c>
      <c r="Q99" s="166">
        <f t="shared" si="32"/>
        <v>457.56666666666661</v>
      </c>
      <c r="R99" s="166">
        <f t="shared" si="32"/>
        <v>426.09499999999997</v>
      </c>
      <c r="S99" s="166">
        <f t="shared" si="32"/>
        <v>455.0355151515152</v>
      </c>
      <c r="T99" s="166">
        <f t="shared" si="32"/>
        <v>435.12374999999997</v>
      </c>
      <c r="U99" s="166">
        <f t="shared" si="32"/>
        <v>435.12374999999997</v>
      </c>
    </row>
    <row r="100" spans="1:22" s="28" customFormat="1" x14ac:dyDescent="0.15">
      <c r="A100" s="179" t="s">
        <v>47</v>
      </c>
      <c r="B100" s="112">
        <f>+B95</f>
        <v>465</v>
      </c>
      <c r="C100" s="112">
        <f>+C95</f>
        <v>465</v>
      </c>
      <c r="D100" s="112">
        <f t="shared" ref="D100:P100" si="33">+D95</f>
        <v>465</v>
      </c>
      <c r="E100" s="112">
        <f t="shared" si="33"/>
        <v>465</v>
      </c>
      <c r="F100" s="112">
        <f t="shared" si="33"/>
        <v>465</v>
      </c>
      <c r="G100" s="112">
        <f t="shared" si="33"/>
        <v>465</v>
      </c>
      <c r="H100" s="112">
        <f t="shared" si="33"/>
        <v>440</v>
      </c>
      <c r="I100" s="112">
        <f t="shared" si="33"/>
        <v>464.2</v>
      </c>
      <c r="J100" s="112">
        <f t="shared" si="33"/>
        <v>465</v>
      </c>
      <c r="K100" s="112">
        <f t="shared" si="33"/>
        <v>465</v>
      </c>
      <c r="L100" s="112">
        <f t="shared" si="33"/>
        <v>465</v>
      </c>
      <c r="M100" s="112">
        <f t="shared" si="33"/>
        <v>465</v>
      </c>
      <c r="N100" s="165">
        <f t="shared" si="33"/>
        <v>462.84999999999997</v>
      </c>
      <c r="O100" s="165">
        <f>+O95</f>
        <v>465</v>
      </c>
      <c r="P100" s="165">
        <f t="shared" si="33"/>
        <v>465</v>
      </c>
      <c r="Q100" s="165">
        <f>+Q95</f>
        <v>456.40000000000003</v>
      </c>
      <c r="R100" s="165">
        <f>+R95</f>
        <v>465</v>
      </c>
      <c r="S100" s="165">
        <f>+S95</f>
        <v>462.84999999999997</v>
      </c>
      <c r="T100" s="165">
        <f>+T95</f>
        <v>465</v>
      </c>
      <c r="U100" s="165">
        <f>+U95</f>
        <v>465</v>
      </c>
      <c r="V100" s="21"/>
    </row>
    <row r="101" spans="1:22" s="28" customFormat="1" x14ac:dyDescent="0.15">
      <c r="A101" s="179" t="s">
        <v>48</v>
      </c>
      <c r="B101" s="112">
        <f>+B95+B68+B35+B61+B28</f>
        <v>858.6</v>
      </c>
      <c r="C101" s="112">
        <f>+C95+C68+C35+C61+C28</f>
        <v>858.6</v>
      </c>
      <c r="D101" s="112">
        <f t="shared" ref="D101:M101" si="34">+D95+D68+D35+D61+D28</f>
        <v>857.6</v>
      </c>
      <c r="E101" s="112">
        <f t="shared" si="34"/>
        <v>848.6</v>
      </c>
      <c r="F101" s="112">
        <f t="shared" si="34"/>
        <v>845.2</v>
      </c>
      <c r="G101" s="112">
        <f t="shared" si="34"/>
        <v>848.6</v>
      </c>
      <c r="H101" s="112">
        <f t="shared" si="34"/>
        <v>813.9</v>
      </c>
      <c r="I101" s="112">
        <f t="shared" si="34"/>
        <v>847.5</v>
      </c>
      <c r="J101" s="112">
        <f t="shared" si="34"/>
        <v>848.6</v>
      </c>
      <c r="K101" s="112">
        <f t="shared" si="34"/>
        <v>848.6</v>
      </c>
      <c r="L101" s="112">
        <f t="shared" si="34"/>
        <v>863.6</v>
      </c>
      <c r="M101" s="112">
        <f t="shared" si="34"/>
        <v>857.1</v>
      </c>
      <c r="N101" s="165">
        <f>SUM(B101:M101)/12</f>
        <v>849.70833333333348</v>
      </c>
      <c r="O101" s="71">
        <f>AVERAGE(B101:D101)</f>
        <v>858.26666666666677</v>
      </c>
      <c r="P101" s="71">
        <f>AVERAGE(C101:E101)</f>
        <v>854.93333333333339</v>
      </c>
      <c r="Q101" s="71">
        <f>AVERAGE(D101:F101)</f>
        <v>850.4666666666667</v>
      </c>
      <c r="R101" s="71">
        <f>AVERAGE(E101:G101)</f>
        <v>847.4666666666667</v>
      </c>
      <c r="S101" s="165">
        <f>SUM(B101:M101)/12</f>
        <v>849.70833333333348</v>
      </c>
      <c r="T101" s="112">
        <f>+T95+T68+T35+T61+T28</f>
        <v>971.93333333333339</v>
      </c>
      <c r="U101" s="112">
        <f>+U95+U68+U35+U61+U28</f>
        <v>1346.9333333333334</v>
      </c>
      <c r="V101" s="21"/>
    </row>
    <row r="102" spans="1:22" x14ac:dyDescent="0.15">
      <c r="A102" s="176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21"/>
      <c r="O102" s="21"/>
      <c r="P102" s="71"/>
      <c r="Q102" s="71"/>
      <c r="R102" s="71"/>
      <c r="S102" s="71"/>
      <c r="T102" s="21"/>
      <c r="U102" s="21"/>
    </row>
    <row r="103" spans="1:22" ht="15.75" x14ac:dyDescent="0.15">
      <c r="A103" s="183" t="s">
        <v>49</v>
      </c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3"/>
      <c r="O103" s="116"/>
      <c r="P103" s="69"/>
      <c r="Q103" s="69"/>
      <c r="R103" s="69"/>
      <c r="S103" s="69"/>
      <c r="T103" s="163"/>
      <c r="U103" s="163"/>
    </row>
    <row r="104" spans="1:22" x14ac:dyDescent="0.15">
      <c r="A104" s="184" t="s">
        <v>9</v>
      </c>
      <c r="B104" s="215">
        <f>+B42+B74+B91+B100</f>
        <v>2884.4690000000001</v>
      </c>
      <c r="C104" s="215">
        <f t="shared" ref="C104:M104" si="35">+C42+C74+C91+C100</f>
        <v>2910.5169999999998</v>
      </c>
      <c r="D104" s="215">
        <f t="shared" si="35"/>
        <v>3049.6</v>
      </c>
      <c r="E104" s="215">
        <f t="shared" si="35"/>
        <v>2938.6</v>
      </c>
      <c r="F104" s="215">
        <f t="shared" si="35"/>
        <v>2917.5</v>
      </c>
      <c r="G104" s="215">
        <f t="shared" si="35"/>
        <v>2919.1</v>
      </c>
      <c r="H104" s="215">
        <f t="shared" si="35"/>
        <v>2889.1000000000004</v>
      </c>
      <c r="I104" s="215">
        <f t="shared" si="35"/>
        <v>2911.5</v>
      </c>
      <c r="J104" s="215">
        <f t="shared" si="35"/>
        <v>2925.2</v>
      </c>
      <c r="K104" s="215">
        <f t="shared" si="35"/>
        <v>2837.6</v>
      </c>
      <c r="L104" s="215">
        <f t="shared" si="35"/>
        <v>2917.6</v>
      </c>
      <c r="M104" s="215">
        <f t="shared" si="35"/>
        <v>2930.8140000000003</v>
      </c>
      <c r="N104" s="116">
        <f>SUM(B104:M104)/12</f>
        <v>2919.2999999999997</v>
      </c>
      <c r="O104" s="71">
        <f>AVERAGE(B104:D104)</f>
        <v>2948.1953333333331</v>
      </c>
      <c r="P104" s="71">
        <f>AVERAGE(E104:G104)</f>
        <v>2925.0666666666671</v>
      </c>
      <c r="Q104" s="71">
        <f>AVERAGE(H104:J104)</f>
        <v>2908.6</v>
      </c>
      <c r="R104" s="71">
        <f>AVERAGE(K104:M104)</f>
        <v>2895.3379999999997</v>
      </c>
      <c r="S104" s="71">
        <f>AVERAGE(B104:M104)</f>
        <v>2919.2999999999997</v>
      </c>
      <c r="T104" s="164">
        <f t="shared" ref="T104:U106" si="36">T95+T85+T78+T68+T61+T53+T46+T35+T28+T21+T14</f>
        <v>2963.7213333333334</v>
      </c>
      <c r="U104" s="164">
        <f t="shared" si="36"/>
        <v>3413.7213333333334</v>
      </c>
    </row>
    <row r="105" spans="1:22" x14ac:dyDescent="0.15">
      <c r="A105" s="184" t="s">
        <v>36</v>
      </c>
      <c r="B105" s="215">
        <f>+B15+B22+B29+B36+B47+B54+B62+B69+B79+B86+B96</f>
        <v>2260.5019999999995</v>
      </c>
      <c r="C105" s="215">
        <f t="shared" ref="C105:M105" si="37">+C15+C22+C29+C36+C47+C54+C62+C69+C79+C86+C96</f>
        <v>2309.8029999999999</v>
      </c>
      <c r="D105" s="215">
        <f t="shared" si="37"/>
        <v>2312.1000000000004</v>
      </c>
      <c r="E105" s="215">
        <f t="shared" si="37"/>
        <v>2249.1</v>
      </c>
      <c r="F105" s="215">
        <f t="shared" si="37"/>
        <v>2135.7999999999997</v>
      </c>
      <c r="G105" s="215">
        <f t="shared" si="37"/>
        <v>2171.5</v>
      </c>
      <c r="H105" s="215">
        <f t="shared" si="37"/>
        <v>2158</v>
      </c>
      <c r="I105" s="215">
        <f t="shared" si="37"/>
        <v>2166.4</v>
      </c>
      <c r="J105" s="215">
        <f t="shared" si="37"/>
        <v>2339.5</v>
      </c>
      <c r="K105" s="215">
        <f t="shared" si="37"/>
        <v>2194.5853064516127</v>
      </c>
      <c r="L105" s="215">
        <f t="shared" si="37"/>
        <v>2275.3248333333331</v>
      </c>
      <c r="M105" s="215">
        <f t="shared" si="37"/>
        <v>2284.0591020000002</v>
      </c>
      <c r="N105" s="116">
        <f>SUM(B105:M105)/12</f>
        <v>2238.0561868154118</v>
      </c>
      <c r="O105" s="71">
        <f>AVERAGE(B105:D105)</f>
        <v>2294.1349999999998</v>
      </c>
      <c r="P105" s="71">
        <f>AVERAGE(E105:G105)</f>
        <v>2185.4666666666667</v>
      </c>
      <c r="Q105" s="71">
        <f>AVERAGE(H105:J105)</f>
        <v>2221.2999999999997</v>
      </c>
      <c r="R105" s="71">
        <f>AVERAGE(K105:M105)</f>
        <v>2251.323080594982</v>
      </c>
      <c r="S105" s="71">
        <f>AVERAGE(B105:M105)</f>
        <v>2238.0561868154118</v>
      </c>
      <c r="T105" s="164">
        <f t="shared" si="36"/>
        <v>2381.8375541666669</v>
      </c>
      <c r="U105" s="164">
        <f t="shared" si="36"/>
        <v>2739.5305541666667</v>
      </c>
    </row>
    <row r="106" spans="1:22" x14ac:dyDescent="0.15">
      <c r="A106" s="184" t="s">
        <v>45</v>
      </c>
      <c r="B106" s="215">
        <f>+B16+B23+B30+B37+B48+B55+B63+B70+B80+B87+B97</f>
        <v>65.317999999999998</v>
      </c>
      <c r="C106" s="215">
        <f t="shared" ref="C106:M106" si="38">+C16+C23+C30+C37+C48+C55+C63+C70+C80+C87+C97</f>
        <v>38.71</v>
      </c>
      <c r="D106" s="215">
        <f t="shared" si="38"/>
        <v>44.5</v>
      </c>
      <c r="E106" s="215">
        <f t="shared" si="38"/>
        <v>37.5</v>
      </c>
      <c r="F106" s="215">
        <f t="shared" si="38"/>
        <v>144.89999999999998</v>
      </c>
      <c r="G106" s="215">
        <f t="shared" si="38"/>
        <v>229.8</v>
      </c>
      <c r="H106" s="215">
        <f t="shared" si="38"/>
        <v>309.39999999999998</v>
      </c>
      <c r="I106" s="215">
        <f t="shared" si="38"/>
        <v>340.6</v>
      </c>
      <c r="J106" s="215">
        <f t="shared" si="38"/>
        <v>0</v>
      </c>
      <c r="K106" s="215">
        <f t="shared" si="38"/>
        <v>0</v>
      </c>
      <c r="L106" s="215">
        <f t="shared" si="38"/>
        <v>0</v>
      </c>
      <c r="M106" s="215">
        <f t="shared" si="38"/>
        <v>0</v>
      </c>
      <c r="N106" s="116">
        <f>SUM(B106:M106)/12</f>
        <v>100.89400000000001</v>
      </c>
      <c r="O106" s="71">
        <f>AVERAGE(B106:D106)</f>
        <v>49.509333333333331</v>
      </c>
      <c r="P106" s="71">
        <f>AVERAGE(E106:G106)</f>
        <v>137.4</v>
      </c>
      <c r="Q106" s="71">
        <f>AVERAGE(H106:J106)</f>
        <v>216.66666666666666</v>
      </c>
      <c r="R106" s="71">
        <f>AVERAGE(K106:M106)</f>
        <v>0</v>
      </c>
      <c r="S106" s="71">
        <f>AVERAGE(B106:M106)</f>
        <v>100.89400000000001</v>
      </c>
      <c r="T106" s="164">
        <f t="shared" si="36"/>
        <v>0</v>
      </c>
      <c r="U106" s="164">
        <f t="shared" si="36"/>
        <v>0</v>
      </c>
    </row>
    <row r="107" spans="1:22" x14ac:dyDescent="0.15">
      <c r="A107" s="185" t="s">
        <v>37</v>
      </c>
      <c r="B107" s="214">
        <f>+B17+B24+B31+B39+B49+B57+B64+B71+B81+B88+B98</f>
        <v>222.107</v>
      </c>
      <c r="C107" s="214">
        <f t="shared" ref="C107:M107" si="39">+C17+C24+C31+C39+C49+C57+C64+C71+C81+C88+C98</f>
        <v>190.035</v>
      </c>
      <c r="D107" s="214">
        <f t="shared" si="39"/>
        <v>120.2</v>
      </c>
      <c r="E107" s="214">
        <f t="shared" si="39"/>
        <v>360.94</v>
      </c>
      <c r="F107" s="214">
        <f t="shared" si="39"/>
        <v>338.09999999999997</v>
      </c>
      <c r="G107" s="214">
        <f t="shared" si="39"/>
        <v>223.2</v>
      </c>
      <c r="H107" s="214">
        <f t="shared" si="39"/>
        <v>186.50000000000003</v>
      </c>
      <c r="I107" s="214">
        <f t="shared" si="39"/>
        <v>140.39999999999998</v>
      </c>
      <c r="J107" s="214">
        <f t="shared" si="39"/>
        <v>119.80000000000001</v>
      </c>
      <c r="K107" s="214">
        <f t="shared" si="39"/>
        <v>122.6</v>
      </c>
      <c r="L107" s="214">
        <f t="shared" si="39"/>
        <v>124.8</v>
      </c>
      <c r="M107" s="214">
        <f t="shared" si="39"/>
        <v>226.7</v>
      </c>
      <c r="N107" s="165">
        <f>SUM(B107:M107)/12</f>
        <v>197.94849999999997</v>
      </c>
      <c r="O107" s="71">
        <f>AVERAGE(B107:D107)</f>
        <v>177.44733333333332</v>
      </c>
      <c r="P107" s="71">
        <f>AVERAGE(E107:G107)</f>
        <v>307.41333333333336</v>
      </c>
      <c r="Q107" s="71">
        <f>AVERAGE(H107:J107)</f>
        <v>148.9</v>
      </c>
      <c r="R107" s="71">
        <f>AVERAGE(K107:M107)</f>
        <v>158.03333333333333</v>
      </c>
      <c r="S107" s="71">
        <f>AVERAGE(B107:M107)</f>
        <v>197.94849999999997</v>
      </c>
      <c r="T107" s="164">
        <f>T98+T88+T81+T71+T64+T57+T49+T39+T31+T24+T17</f>
        <v>152.54999999999998</v>
      </c>
      <c r="U107" s="164">
        <f>U98+U88+U81+U71+U64+U57+U49+U39+U31+U24+U17</f>
        <v>152.54999999999998</v>
      </c>
    </row>
    <row r="108" spans="1:22" x14ac:dyDescent="0.15">
      <c r="A108" s="182" t="s">
        <v>50</v>
      </c>
      <c r="B108" s="115">
        <f>SUM(B105:B107)</f>
        <v>2547.9269999999997</v>
      </c>
      <c r="C108" s="115">
        <f t="shared" ref="C108:M108" si="40">SUM(C105:C107)</f>
        <v>2538.5479999999998</v>
      </c>
      <c r="D108" s="115">
        <f t="shared" si="40"/>
        <v>2476.8000000000002</v>
      </c>
      <c r="E108" s="115">
        <f t="shared" si="40"/>
        <v>2647.54</v>
      </c>
      <c r="F108" s="115">
        <f t="shared" si="40"/>
        <v>2618.7999999999997</v>
      </c>
      <c r="G108" s="115">
        <f t="shared" si="40"/>
        <v>2624.5</v>
      </c>
      <c r="H108" s="115">
        <f t="shared" si="40"/>
        <v>2653.9</v>
      </c>
      <c r="I108" s="115">
        <f t="shared" si="40"/>
        <v>2647.4</v>
      </c>
      <c r="J108" s="115">
        <f t="shared" si="40"/>
        <v>2459.3000000000002</v>
      </c>
      <c r="K108" s="115">
        <f t="shared" si="40"/>
        <v>2317.1853064516126</v>
      </c>
      <c r="L108" s="115">
        <f t="shared" si="40"/>
        <v>2400.1248333333333</v>
      </c>
      <c r="M108" s="115">
        <f t="shared" si="40"/>
        <v>2510.759102</v>
      </c>
      <c r="N108" s="166">
        <f t="shared" ref="N108:U108" si="41">SUM(N105:N107)</f>
        <v>2536.898686815412</v>
      </c>
      <c r="O108" s="166">
        <f t="shared" si="41"/>
        <v>2521.0916666666667</v>
      </c>
      <c r="P108" s="166">
        <f t="shared" si="41"/>
        <v>2630.28</v>
      </c>
      <c r="Q108" s="166">
        <f t="shared" si="41"/>
        <v>2586.8666666666663</v>
      </c>
      <c r="R108" s="166">
        <f t="shared" si="41"/>
        <v>2409.3564139283153</v>
      </c>
      <c r="S108" s="166">
        <f t="shared" si="41"/>
        <v>2536.898686815412</v>
      </c>
      <c r="T108" s="166">
        <f t="shared" si="41"/>
        <v>2534.3875541666671</v>
      </c>
      <c r="U108" s="166">
        <f t="shared" si="41"/>
        <v>2892.0805541666668</v>
      </c>
    </row>
    <row r="109" spans="1:22" x14ac:dyDescent="0.15">
      <c r="A109" s="179" t="s">
        <v>51</v>
      </c>
      <c r="B109" s="112">
        <f>+B104</f>
        <v>2884.4690000000001</v>
      </c>
      <c r="C109" s="112">
        <f>+C104</f>
        <v>2910.5169999999998</v>
      </c>
      <c r="D109" s="112">
        <f t="shared" ref="D109:P109" si="42">+D104</f>
        <v>3049.6</v>
      </c>
      <c r="E109" s="112">
        <f t="shared" si="42"/>
        <v>2938.6</v>
      </c>
      <c r="F109" s="112">
        <f t="shared" si="42"/>
        <v>2917.5</v>
      </c>
      <c r="G109" s="112">
        <f t="shared" si="42"/>
        <v>2919.1</v>
      </c>
      <c r="H109" s="112">
        <f t="shared" si="42"/>
        <v>2889.1000000000004</v>
      </c>
      <c r="I109" s="112">
        <f t="shared" si="42"/>
        <v>2911.5</v>
      </c>
      <c r="J109" s="112">
        <f t="shared" si="42"/>
        <v>2925.2</v>
      </c>
      <c r="K109" s="112">
        <f t="shared" si="42"/>
        <v>2837.6</v>
      </c>
      <c r="L109" s="112">
        <f t="shared" si="42"/>
        <v>2917.6</v>
      </c>
      <c r="M109" s="112">
        <f t="shared" si="42"/>
        <v>2930.8140000000003</v>
      </c>
      <c r="N109" s="165">
        <f t="shared" si="42"/>
        <v>2919.2999999999997</v>
      </c>
      <c r="O109" s="165">
        <f>+O104</f>
        <v>2948.1953333333331</v>
      </c>
      <c r="P109" s="165">
        <f t="shared" si="42"/>
        <v>2925.0666666666671</v>
      </c>
      <c r="Q109" s="165">
        <f>+Q104</f>
        <v>2908.6</v>
      </c>
      <c r="R109" s="165">
        <f>+R104</f>
        <v>2895.3379999999997</v>
      </c>
      <c r="S109" s="165">
        <f>+S104</f>
        <v>2919.2999999999997</v>
      </c>
      <c r="T109" s="165">
        <f>+T104</f>
        <v>2963.7213333333334</v>
      </c>
      <c r="U109" s="165">
        <f>+U104</f>
        <v>3413.7213333333334</v>
      </c>
    </row>
    <row r="110" spans="1:22" x14ac:dyDescent="0.15">
      <c r="A110" s="179" t="s">
        <v>52</v>
      </c>
      <c r="B110" s="115">
        <f>B41+B73+B89</f>
        <v>1785.8379999999997</v>
      </c>
      <c r="C110" s="115">
        <f t="shared" ref="C110:P110" si="43">C41+C73+C89</f>
        <v>1780.8979999999999</v>
      </c>
      <c r="D110" s="115">
        <f t="shared" si="43"/>
        <v>1769.8999999999999</v>
      </c>
      <c r="E110" s="115">
        <f t="shared" si="43"/>
        <v>2019.2469999999998</v>
      </c>
      <c r="F110" s="115">
        <f t="shared" si="43"/>
        <v>1969.9</v>
      </c>
      <c r="G110" s="115">
        <f t="shared" si="43"/>
        <v>1930.3999999999999</v>
      </c>
      <c r="H110" s="115">
        <f t="shared" si="43"/>
        <v>1831.8000000000002</v>
      </c>
      <c r="I110" s="115">
        <f t="shared" si="43"/>
        <v>1843.1</v>
      </c>
      <c r="J110" s="115">
        <f t="shared" si="43"/>
        <v>1779.9</v>
      </c>
      <c r="K110" s="115">
        <f t="shared" si="43"/>
        <v>1619.6463064516129</v>
      </c>
      <c r="L110" s="115">
        <f t="shared" si="43"/>
        <v>1708.7218333333335</v>
      </c>
      <c r="M110" s="115">
        <f t="shared" si="43"/>
        <v>1889.132102</v>
      </c>
      <c r="N110" s="166">
        <f t="shared" si="43"/>
        <v>1827.373603482079</v>
      </c>
      <c r="O110" s="166">
        <f>O41+O73+O89</f>
        <v>1793.1598333333336</v>
      </c>
      <c r="P110" s="166">
        <f t="shared" si="43"/>
        <v>1973.1823333333332</v>
      </c>
      <c r="Q110" s="166">
        <f>Q41+Q73+Q89</f>
        <v>1818.2666666666664</v>
      </c>
      <c r="R110" s="166">
        <f>R41+R73+R89</f>
        <v>1739.1667472616487</v>
      </c>
      <c r="S110" s="166">
        <f>S41+S73+S89</f>
        <v>1827.5162701487457</v>
      </c>
      <c r="T110" s="166">
        <f>T41+T73+T89</f>
        <v>1857.6171375000001</v>
      </c>
      <c r="U110" s="166">
        <f>U41+U73+U89</f>
        <v>2215.3101375000001</v>
      </c>
    </row>
    <row r="111" spans="1:22" x14ac:dyDescent="0.15">
      <c r="A111" s="180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96"/>
      <c r="Q111" s="96"/>
      <c r="R111" s="96"/>
      <c r="S111" s="96"/>
      <c r="T111" s="116"/>
      <c r="U111" s="116"/>
    </row>
    <row r="112" spans="1:22" x14ac:dyDescent="0.15">
      <c r="A112" s="186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21"/>
      <c r="O112" s="21"/>
      <c r="P112" s="71"/>
      <c r="Q112" s="71"/>
      <c r="R112" s="71"/>
      <c r="S112" s="71"/>
      <c r="T112" s="21"/>
      <c r="U112" s="21"/>
    </row>
    <row r="113" spans="1:21" x14ac:dyDescent="0.15">
      <c r="A113" s="176" t="s">
        <v>53</v>
      </c>
      <c r="B113" s="19">
        <f>B377/B1</f>
        <v>62.898000000000081</v>
      </c>
      <c r="C113" s="19">
        <f>C377/C1</f>
        <v>63.151999999999916</v>
      </c>
      <c r="D113" s="19">
        <f>D377/D1</f>
        <v>62.800000000000054</v>
      </c>
      <c r="E113" s="19">
        <f t="shared" ref="E113:S113" si="44">E377/E1</f>
        <v>64.553000000000054</v>
      </c>
      <c r="F113" s="19">
        <f t="shared" si="44"/>
        <v>62.799999999999976</v>
      </c>
      <c r="G113" s="19">
        <f t="shared" si="44"/>
        <v>62.500000000000114</v>
      </c>
      <c r="H113" s="19">
        <f t="shared" si="44"/>
        <v>63.699999999999903</v>
      </c>
      <c r="I113" s="19">
        <f t="shared" si="44"/>
        <v>64.299999999999955</v>
      </c>
      <c r="J113" s="19">
        <f t="shared" si="44"/>
        <v>59.100000000000165</v>
      </c>
      <c r="K113" s="19">
        <f t="shared" si="44"/>
        <v>57.814693548387012</v>
      </c>
      <c r="L113" s="19">
        <f t="shared" si="44"/>
        <v>58.775166666666536</v>
      </c>
      <c r="M113" s="19">
        <f t="shared" si="44"/>
        <v>59.340898000000109</v>
      </c>
      <c r="N113" s="21">
        <f t="shared" si="44"/>
        <v>61.806472158904128</v>
      </c>
      <c r="O113" s="311">
        <f t="shared" ref="O113:R115" si="45">SUM(D113:F113)</f>
        <v>190.15300000000008</v>
      </c>
      <c r="P113" s="311">
        <f t="shared" si="45"/>
        <v>189.85300000000015</v>
      </c>
      <c r="Q113" s="311">
        <f t="shared" si="45"/>
        <v>189</v>
      </c>
      <c r="R113" s="311">
        <f t="shared" si="45"/>
        <v>190.49999999999997</v>
      </c>
      <c r="S113" s="71" t="e">
        <f t="shared" si="44"/>
        <v>#REF!</v>
      </c>
      <c r="T113" s="21"/>
      <c r="U113" s="21"/>
    </row>
    <row r="114" spans="1:21" x14ac:dyDescent="0.15">
      <c r="A114" s="176" t="s">
        <v>54</v>
      </c>
      <c r="B114" s="19">
        <f>B378/B1</f>
        <v>-32.12903225806452</v>
      </c>
      <c r="C114" s="19">
        <f>C378/C1</f>
        <v>-32.071428571428569</v>
      </c>
      <c r="D114" s="19">
        <f>D378/D1</f>
        <v>-31.870967741935484</v>
      </c>
      <c r="E114" s="19">
        <f t="shared" ref="E114:S114" si="46">E378/E1</f>
        <v>-36.333333333333336</v>
      </c>
      <c r="F114" s="19">
        <f t="shared" si="46"/>
        <v>-35.451612903225808</v>
      </c>
      <c r="G114" s="19">
        <f t="shared" si="46"/>
        <v>-34.733333333333334</v>
      </c>
      <c r="H114" s="19">
        <f t="shared" si="46"/>
        <v>-32.967741935483872</v>
      </c>
      <c r="I114" s="19">
        <f t="shared" si="46"/>
        <v>-33.161290322580648</v>
      </c>
      <c r="J114" s="19">
        <f t="shared" si="46"/>
        <v>-31.933333333333334</v>
      </c>
      <c r="K114" s="19">
        <f t="shared" si="46"/>
        <v>-29.161290322580644</v>
      </c>
      <c r="L114" s="19">
        <f t="shared" si="46"/>
        <v>-30.766666666666666</v>
      </c>
      <c r="M114" s="19">
        <f t="shared" si="46"/>
        <v>-34</v>
      </c>
      <c r="N114" s="21">
        <f t="shared" si="46"/>
        <v>-32.88219178082192</v>
      </c>
      <c r="O114" s="311">
        <f t="shared" si="45"/>
        <v>-103.65591397849462</v>
      </c>
      <c r="P114" s="311">
        <f t="shared" si="45"/>
        <v>-106.51827956989247</v>
      </c>
      <c r="Q114" s="311">
        <f t="shared" si="45"/>
        <v>-103.15268817204301</v>
      </c>
      <c r="R114" s="311">
        <f t="shared" si="45"/>
        <v>-100.86236559139786</v>
      </c>
      <c r="S114" s="71" t="e">
        <f t="shared" si="46"/>
        <v>#REF!</v>
      </c>
      <c r="T114" s="21"/>
      <c r="U114" s="21"/>
    </row>
    <row r="115" spans="1:21" x14ac:dyDescent="0.15">
      <c r="A115" s="176" t="s">
        <v>55</v>
      </c>
      <c r="B115" s="22">
        <f>B381</f>
        <v>8.2100000000000009</v>
      </c>
      <c r="C115" s="22">
        <f>C381</f>
        <v>5.62</v>
      </c>
      <c r="D115" s="22">
        <f>D381</f>
        <v>4.9800000000000004</v>
      </c>
      <c r="E115" s="22">
        <f t="shared" ref="E115:M115" si="47">E381</f>
        <v>4.87</v>
      </c>
      <c r="F115" s="22">
        <f t="shared" si="47"/>
        <v>3.82</v>
      </c>
      <c r="G115" s="22">
        <f t="shared" si="47"/>
        <v>3.19</v>
      </c>
      <c r="H115" s="22">
        <f t="shared" si="47"/>
        <v>2.77</v>
      </c>
      <c r="I115" s="22">
        <f t="shared" si="47"/>
        <v>2.77</v>
      </c>
      <c r="J115" s="22">
        <f t="shared" si="47"/>
        <v>1.95</v>
      </c>
      <c r="K115" s="22">
        <f t="shared" si="47"/>
        <v>2.2799999999999998</v>
      </c>
      <c r="L115" s="22">
        <f t="shared" si="47"/>
        <v>2.5299999999999998</v>
      </c>
      <c r="M115" s="22">
        <f t="shared" si="47"/>
        <v>2.85</v>
      </c>
      <c r="N115" s="118">
        <f>AVERAGE(B115:M115)</f>
        <v>3.8200000000000016</v>
      </c>
      <c r="O115" s="556">
        <f t="shared" si="45"/>
        <v>13.670000000000002</v>
      </c>
      <c r="P115" s="556">
        <f t="shared" si="45"/>
        <v>11.879999999999999</v>
      </c>
      <c r="Q115" s="556">
        <f t="shared" si="45"/>
        <v>9.7799999999999994</v>
      </c>
      <c r="R115" s="556">
        <f t="shared" si="45"/>
        <v>8.73</v>
      </c>
      <c r="S115" s="76">
        <f>AVERAGE(B115:D115)</f>
        <v>6.2700000000000005</v>
      </c>
      <c r="T115" s="118"/>
      <c r="U115" s="118"/>
    </row>
    <row r="116" spans="1:21" x14ac:dyDescent="0.15">
      <c r="A116" s="176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118"/>
      <c r="O116" s="118"/>
      <c r="P116" s="77"/>
      <c r="Q116" s="77"/>
      <c r="R116" s="71"/>
      <c r="S116" s="76"/>
      <c r="T116" s="118"/>
      <c r="U116" s="118"/>
    </row>
    <row r="117" spans="1:21" x14ac:dyDescent="0.15">
      <c r="A117" s="176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118"/>
      <c r="O117" s="118"/>
      <c r="P117" s="77"/>
      <c r="Q117" s="77"/>
      <c r="R117" s="71"/>
      <c r="S117" s="76"/>
      <c r="T117" s="118"/>
      <c r="U117" s="118"/>
    </row>
    <row r="118" spans="1:21" ht="15.75" x14ac:dyDescent="0.15">
      <c r="A118" s="174" t="s">
        <v>56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21"/>
      <c r="O118" s="21"/>
      <c r="P118" s="69"/>
      <c r="Q118" s="69"/>
      <c r="R118" s="69">
        <v>12</v>
      </c>
      <c r="S118" s="69" t="e">
        <f>#REF!</f>
        <v>#REF!</v>
      </c>
      <c r="T118" s="21"/>
      <c r="U118" s="21"/>
    </row>
    <row r="119" spans="1:21" x14ac:dyDescent="0.15">
      <c r="A119" s="176" t="s">
        <v>57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21"/>
      <c r="O119" s="21"/>
      <c r="P119" s="69"/>
      <c r="Q119" s="69"/>
      <c r="R119" s="69"/>
      <c r="S119" s="69"/>
      <c r="T119" s="21"/>
      <c r="U119" s="21"/>
    </row>
    <row r="120" spans="1:21" x14ac:dyDescent="0.15">
      <c r="A120" s="177" t="s">
        <v>9</v>
      </c>
      <c r="B120" s="216">
        <f>IF(B14&lt;&gt;0,((B188+B189)/B14)/B$1,0)</f>
        <v>0.30298234936092511</v>
      </c>
      <c r="C120" s="216">
        <f>IF(C14&lt;&gt;0,((C188+C189)/C14)/C$1,0)</f>
        <v>0.30296495956873315</v>
      </c>
      <c r="D120" s="216">
        <f t="shared" ref="D120:P120" si="48">IF(D14&lt;&gt;0,((D188+D189)/D14)/D$1,0)</f>
        <v>0.30299452221545953</v>
      </c>
      <c r="E120" s="216">
        <f t="shared" si="48"/>
        <v>0.30298113207547167</v>
      </c>
      <c r="F120" s="216">
        <f t="shared" si="48"/>
        <v>0.30246023766549973</v>
      </c>
      <c r="G120" s="216">
        <f t="shared" si="48"/>
        <v>0.30595012026838836</v>
      </c>
      <c r="H120" s="216">
        <f t="shared" si="48"/>
        <v>0.33127013622448293</v>
      </c>
      <c r="I120" s="216">
        <f t="shared" si="48"/>
        <v>0.34426426747590333</v>
      </c>
      <c r="J120" s="216">
        <f t="shared" si="48"/>
        <v>0.30249092502190511</v>
      </c>
      <c r="K120" s="216">
        <f t="shared" si="48"/>
        <v>0.30256128426586548</v>
      </c>
      <c r="L120" s="216">
        <f t="shared" si="48"/>
        <v>0.26483315809237701</v>
      </c>
      <c r="M120" s="216">
        <f t="shared" si="48"/>
        <v>0.26483315809237701</v>
      </c>
      <c r="N120" s="23">
        <f t="shared" si="48"/>
        <v>0.30198249949569966</v>
      </c>
      <c r="O120" s="23"/>
      <c r="P120" s="23">
        <f t="shared" si="48"/>
        <v>0.91138121883150836</v>
      </c>
      <c r="Q120" s="80" t="e">
        <f>IF(#REF!=0,0,#REF!/#REF!)</f>
        <v>#REF!</v>
      </c>
      <c r="R120" s="80" t="e">
        <f>IF(#REF!=0,0,#REF!/#REF!)</f>
        <v>#REF!</v>
      </c>
      <c r="S120" s="80" t="e">
        <f>IF(#REF!=0,0,#REF!/#REF!)</f>
        <v>#REF!</v>
      </c>
      <c r="T120" s="23">
        <f>IF(T14&lt;&gt;0,((T188+T189)/T14)/T$1,0)</f>
        <v>0.26073651589558022</v>
      </c>
      <c r="U120" s="23">
        <f>IF(U14&lt;&gt;0,((U188+U189)/U14)/U$1,0)</f>
        <v>0.26073651589558022</v>
      </c>
    </row>
    <row r="121" spans="1:21" x14ac:dyDescent="0.15">
      <c r="A121" s="177" t="s">
        <v>10</v>
      </c>
      <c r="B121" s="216">
        <f t="shared" ref="B121:N121" si="49">IF(B15&lt;&gt;0,(B190/B15)/B$1,0)</f>
        <v>2.4668688784112505E-2</v>
      </c>
      <c r="C121" s="216">
        <f t="shared" si="49"/>
        <v>2.4716702720996846E-2</v>
      </c>
      <c r="D121" s="216">
        <f t="shared" si="49"/>
        <v>2.4672894329145763E-2</v>
      </c>
      <c r="E121" s="216">
        <f t="shared" si="49"/>
        <v>2.8824964252670535E-2</v>
      </c>
      <c r="F121" s="216">
        <f t="shared" si="49"/>
        <v>2.9118240925909821E-2</v>
      </c>
      <c r="G121" s="216">
        <f t="shared" si="49"/>
        <v>2.865725443075999E-2</v>
      </c>
      <c r="H121" s="216">
        <f t="shared" si="49"/>
        <v>2.897686112413176E-2</v>
      </c>
      <c r="I121" s="216">
        <f t="shared" si="49"/>
        <v>4.5263078105880955E-2</v>
      </c>
      <c r="J121" s="216">
        <f t="shared" si="49"/>
        <v>2.7473400031761155E-2</v>
      </c>
      <c r="K121" s="216">
        <f t="shared" si="49"/>
        <v>2.7252929077506014E-2</v>
      </c>
      <c r="L121" s="216">
        <f t="shared" si="49"/>
        <v>2.712299532211131E-2</v>
      </c>
      <c r="M121" s="216">
        <f t="shared" si="49"/>
        <v>2.6843372136687953E-2</v>
      </c>
      <c r="N121" s="23">
        <f t="shared" si="49"/>
        <v>2.8237110185408178E-2</v>
      </c>
      <c r="O121" s="23"/>
      <c r="P121" s="23">
        <f>IF(P15&lt;&gt;0,(P190/P15)/P$1,0)</f>
        <v>8.654660173802306E-2</v>
      </c>
      <c r="Q121" s="80" t="e">
        <f>IF(#REF!=0,0,#REF!/#REF!)</f>
        <v>#REF!</v>
      </c>
      <c r="R121" s="80" t="e">
        <f>IF(#REF!=0,0,#REF!/#REF!)</f>
        <v>#REF!</v>
      </c>
      <c r="S121" s="80" t="e">
        <f>IF(#REF!=0,0,#REF!/#REF!)</f>
        <v>#REF!</v>
      </c>
      <c r="T121" s="23">
        <f t="shared" ref="T121:U123" si="50">IF(T15&lt;&gt;0,(T190/T15)/T$1,0)</f>
        <v>2.6880206653620353E-2</v>
      </c>
      <c r="U121" s="23">
        <f t="shared" si="50"/>
        <v>2.6880206653620353E-2</v>
      </c>
    </row>
    <row r="122" spans="1:21" x14ac:dyDescent="0.15">
      <c r="A122" s="177" t="s">
        <v>11</v>
      </c>
      <c r="B122" s="216">
        <f t="shared" ref="B122:N122" si="51">IF(B16&lt;&gt;0,(B191/B16)/B$1,0)</f>
        <v>2.5553277600979672E-2</v>
      </c>
      <c r="C122" s="216">
        <f t="shared" si="51"/>
        <v>2.5298778574970399E-2</v>
      </c>
      <c r="D122" s="216">
        <f t="shared" si="51"/>
        <v>2.5439286650931019E-2</v>
      </c>
      <c r="E122" s="216">
        <f t="shared" si="51"/>
        <v>2.5429553264604814E-2</v>
      </c>
      <c r="F122" s="216">
        <f t="shared" si="51"/>
        <v>2.4305555555555556E-2</v>
      </c>
      <c r="G122" s="216">
        <f t="shared" si="51"/>
        <v>2.4266666666666666E-2</v>
      </c>
      <c r="H122" s="216">
        <f t="shared" si="51"/>
        <v>2.4780453873576209E-2</v>
      </c>
      <c r="I122" s="216">
        <f t="shared" si="51"/>
        <v>2.4159147647972324E-2</v>
      </c>
      <c r="J122" s="216">
        <f t="shared" si="51"/>
        <v>0</v>
      </c>
      <c r="K122" s="216">
        <f t="shared" si="51"/>
        <v>0</v>
      </c>
      <c r="L122" s="216">
        <f t="shared" si="51"/>
        <v>0</v>
      </c>
      <c r="M122" s="216">
        <f t="shared" si="51"/>
        <v>0</v>
      </c>
      <c r="N122" s="23">
        <f t="shared" si="51"/>
        <v>2.4734846368107397E-2</v>
      </c>
      <c r="O122" s="23"/>
      <c r="P122" s="23">
        <f>IF(P16&lt;&gt;0,(P191/P16)/P$1,0)</f>
        <v>7.3067398829502819E-2</v>
      </c>
      <c r="Q122" s="80" t="e">
        <f>IF(#REF!=0,0,#REF!/#REF!)</f>
        <v>#REF!</v>
      </c>
      <c r="R122" s="80" t="e">
        <f>IF(#REF!=0,0,#REF!/#REF!)</f>
        <v>#REF!</v>
      </c>
      <c r="S122" s="80" t="e">
        <f>IF(#REF!=0,0,#REF!/#REF!)</f>
        <v>#REF!</v>
      </c>
      <c r="T122" s="23">
        <f t="shared" si="50"/>
        <v>0</v>
      </c>
      <c r="U122" s="23">
        <f t="shared" si="50"/>
        <v>0</v>
      </c>
    </row>
    <row r="123" spans="1:21" x14ac:dyDescent="0.15">
      <c r="A123" s="177" t="s">
        <v>15</v>
      </c>
      <c r="B123" s="216">
        <f t="shared" ref="B123:N123" si="52">IF(B17&lt;&gt;0,(B192/B17)/B$1,0)</f>
        <v>1.7569124423963132</v>
      </c>
      <c r="C123" s="216">
        <f t="shared" si="52"/>
        <v>4.6531675826059701E-2</v>
      </c>
      <c r="D123" s="216">
        <f t="shared" si="52"/>
        <v>0.22055513878469615</v>
      </c>
      <c r="E123" s="216">
        <f t="shared" si="52"/>
        <v>0.27331389698736636</v>
      </c>
      <c r="F123" s="216">
        <f t="shared" si="52"/>
        <v>0.58927470721183484</v>
      </c>
      <c r="G123" s="216">
        <f t="shared" si="52"/>
        <v>0.51382542472173409</v>
      </c>
      <c r="H123" s="216">
        <f t="shared" si="52"/>
        <v>0.28178368121442121</v>
      </c>
      <c r="I123" s="216">
        <f t="shared" si="52"/>
        <v>0.23362658846529813</v>
      </c>
      <c r="J123" s="216">
        <f t="shared" si="52"/>
        <v>0.12000000000000001</v>
      </c>
      <c r="K123" s="216">
        <f t="shared" si="52"/>
        <v>0</v>
      </c>
      <c r="L123" s="216">
        <f t="shared" si="52"/>
        <v>0</v>
      </c>
      <c r="M123" s="216">
        <f t="shared" si="52"/>
        <v>0</v>
      </c>
      <c r="N123" s="23">
        <f t="shared" si="52"/>
        <v>0.37211873617766861</v>
      </c>
      <c r="O123" s="23"/>
      <c r="P123" s="23">
        <f>IF(P17&lt;&gt;0,(P192/P17)/P$1,0)</f>
        <v>1.2789253119761599</v>
      </c>
      <c r="Q123" s="80" t="e">
        <f>IF(Q192=0,0,Q192/#REF!)</f>
        <v>#REF!</v>
      </c>
      <c r="R123" s="80">
        <f>IF(R192=0,0,R192/#REF!)</f>
        <v>0</v>
      </c>
      <c r="S123" s="80" t="e">
        <f>IF(S192=0,0,S192/#REF!)</f>
        <v>#REF!</v>
      </c>
      <c r="T123" s="23">
        <f t="shared" si="50"/>
        <v>0</v>
      </c>
      <c r="U123" s="23">
        <f t="shared" si="50"/>
        <v>0</v>
      </c>
    </row>
    <row r="124" spans="1:21" x14ac:dyDescent="0.15">
      <c r="A124" s="177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70"/>
      <c r="R124" s="70"/>
      <c r="S124" s="70"/>
      <c r="T124" s="21"/>
      <c r="U124" s="21"/>
    </row>
    <row r="125" spans="1:21" x14ac:dyDescent="0.15">
      <c r="A125" s="176" t="s">
        <v>58</v>
      </c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69"/>
      <c r="R125" s="69"/>
      <c r="S125" s="69"/>
      <c r="T125" s="14"/>
      <c r="U125" s="14"/>
    </row>
    <row r="126" spans="1:21" x14ac:dyDescent="0.15">
      <c r="A126" s="177" t="s">
        <v>9</v>
      </c>
      <c r="B126" s="216">
        <f>IF(B21&lt;&gt;0,((B196+B197)/B21)/B$1,0)</f>
        <v>0.28130135671401607</v>
      </c>
      <c r="C126" s="216">
        <f>IF(C21&lt;&gt;0,((C196+C197)/C21)/C$1,0)</f>
        <v>0.44253776221467017</v>
      </c>
      <c r="D126" s="216">
        <f t="shared" ref="D126:N126" si="53">IF(D21&lt;&gt;0,((D196+D197)/D21)/D$1,0)</f>
        <v>-1.4877664825635687E-2</v>
      </c>
      <c r="E126" s="216">
        <f t="shared" si="53"/>
        <v>0.26835494093921058</v>
      </c>
      <c r="F126" s="216">
        <f t="shared" si="53"/>
        <v>0.28698534833055228</v>
      </c>
      <c r="G126" s="216">
        <f t="shared" si="53"/>
        <v>0.26830628803245438</v>
      </c>
      <c r="H126" s="216">
        <f t="shared" si="53"/>
        <v>0.2884601444224496</v>
      </c>
      <c r="I126" s="216">
        <f t="shared" si="53"/>
        <v>0.2860646053012908</v>
      </c>
      <c r="J126" s="216">
        <f t="shared" si="53"/>
        <v>0.28813022183808701</v>
      </c>
      <c r="K126" s="216">
        <f t="shared" si="53"/>
        <v>0.28746225328719721</v>
      </c>
      <c r="L126" s="216">
        <f t="shared" si="53"/>
        <v>0.24130646822742471</v>
      </c>
      <c r="M126" s="216">
        <f t="shared" si="53"/>
        <v>0.24683276304533783</v>
      </c>
      <c r="N126" s="23">
        <f t="shared" si="53"/>
        <v>0.26246387948666189</v>
      </c>
      <c r="O126" s="23"/>
      <c r="P126" s="23">
        <f>IF(P21&lt;&gt;0,((P196+P197)/P21)/P$1,0)</f>
        <v>0.82395566762005135</v>
      </c>
      <c r="Q126" s="80" t="e">
        <f>IF(#REF!=0,0,#REF!/#REF!)</f>
        <v>#REF!</v>
      </c>
      <c r="R126" s="80" t="e">
        <f>IF(#REF!=0,0,#REF!/#REF!)</f>
        <v>#REF!</v>
      </c>
      <c r="S126" s="80" t="e">
        <f>IF(#REF!=0,0,#REF!/#REF!)</f>
        <v>#REF!</v>
      </c>
      <c r="T126" s="23">
        <f>IF(T21&lt;&gt;0,((T196+T197)/T21)/T$1,0)</f>
        <v>0.26175897241827389</v>
      </c>
      <c r="U126" s="23">
        <f>IF(U21&lt;&gt;0,((U196+U197)/U21)/U$1,0)</f>
        <v>0.30606537371964282</v>
      </c>
    </row>
    <row r="127" spans="1:21" x14ac:dyDescent="0.15">
      <c r="A127" s="177" t="s">
        <v>10</v>
      </c>
      <c r="B127" s="216">
        <f t="shared" ref="B127:N127" si="54">IF(B22&lt;&gt;0,((B198/B22)/B$1),0)</f>
        <v>2.6876407026316038E-2</v>
      </c>
      <c r="C127" s="216">
        <f t="shared" si="54"/>
        <v>2.7400388979457489E-2</v>
      </c>
      <c r="D127" s="216">
        <f t="shared" si="54"/>
        <v>2.7379358957097488E-2</v>
      </c>
      <c r="E127" s="216">
        <f t="shared" si="54"/>
        <v>2.7126068376068378E-2</v>
      </c>
      <c r="F127" s="216">
        <f t="shared" si="54"/>
        <v>2.7312276119044646E-2</v>
      </c>
      <c r="G127" s="216">
        <f t="shared" si="54"/>
        <v>2.7339878447872834E-2</v>
      </c>
      <c r="H127" s="216">
        <f t="shared" si="54"/>
        <v>2.7401252174527345E-2</v>
      </c>
      <c r="I127" s="216">
        <f t="shared" si="54"/>
        <v>3.2224409780066299E-2</v>
      </c>
      <c r="J127" s="216">
        <f t="shared" si="54"/>
        <v>2.6234313456077678E-2</v>
      </c>
      <c r="K127" s="216">
        <f t="shared" si="54"/>
        <v>3.0045623492138122E-2</v>
      </c>
      <c r="L127" s="216">
        <f t="shared" si="54"/>
        <v>2.977821694185883E-2</v>
      </c>
      <c r="M127" s="216">
        <f t="shared" si="54"/>
        <v>2.9840587823652908E-2</v>
      </c>
      <c r="N127" s="23">
        <f t="shared" si="54"/>
        <v>2.8273986289835244E-2</v>
      </c>
      <c r="O127" s="23"/>
      <c r="P127" s="23">
        <f>IF(P22&lt;&gt;0,((P198/P22)/P$1),0)</f>
        <v>8.1797235023041467E-2</v>
      </c>
      <c r="Q127" s="80" t="e">
        <f>IF(#REF!=0,0,#REF!/#REF!)</f>
        <v>#REF!</v>
      </c>
      <c r="R127" s="80" t="e">
        <f>IF(#REF!=0,0,#REF!/#REF!)</f>
        <v>#REF!</v>
      </c>
      <c r="S127" s="80" t="e">
        <f>IF(#REF!=0,0,#REF!/#REF!)</f>
        <v>#REF!</v>
      </c>
      <c r="T127" s="23">
        <f>IF(T22&lt;&gt;0,((T198/T22)/T$1),0)</f>
        <v>3.0330061117564248E-2</v>
      </c>
      <c r="U127" s="23">
        <f>IF(U22&lt;&gt;0,((U198/U22)/U$1),0)</f>
        <v>3.1292378499555781E-2</v>
      </c>
    </row>
    <row r="128" spans="1:21" x14ac:dyDescent="0.15">
      <c r="A128" s="177" t="s">
        <v>11</v>
      </c>
      <c r="B128" s="216">
        <f t="shared" ref="B128:N128" si="55">IF(B23&lt;&gt;0,((B199/B23)/B$1),0)</f>
        <v>3.4215172376038425E-2</v>
      </c>
      <c r="C128" s="216">
        <f t="shared" si="55"/>
        <v>3.252996371101826E-2</v>
      </c>
      <c r="D128" s="216">
        <f t="shared" si="55"/>
        <v>3.2974910394265228E-2</v>
      </c>
      <c r="E128" s="216">
        <f t="shared" si="55"/>
        <v>3.2812499999999994E-2</v>
      </c>
      <c r="F128" s="216">
        <f t="shared" si="55"/>
        <v>3.3118279569892474E-2</v>
      </c>
      <c r="G128" s="216">
        <f t="shared" si="55"/>
        <v>3.3333333333333333E-2</v>
      </c>
      <c r="H128" s="216">
        <f t="shared" si="55"/>
        <v>3.29593267882188E-2</v>
      </c>
      <c r="I128" s="216">
        <f t="shared" si="55"/>
        <v>3.2974910394265228E-2</v>
      </c>
      <c r="J128" s="216">
        <f t="shared" si="55"/>
        <v>0</v>
      </c>
      <c r="K128" s="216">
        <f t="shared" si="55"/>
        <v>0</v>
      </c>
      <c r="L128" s="216">
        <f t="shared" si="55"/>
        <v>0</v>
      </c>
      <c r="M128" s="216">
        <f t="shared" si="55"/>
        <v>0</v>
      </c>
      <c r="N128" s="23">
        <f t="shared" si="55"/>
        <v>3.2984590011853832E-2</v>
      </c>
      <c r="O128" s="23"/>
      <c r="P128" s="23">
        <f>IF(P23&lt;&gt;0,((P199/P23)/P$1),0)</f>
        <v>9.9376584953508026E-2</v>
      </c>
      <c r="Q128" s="80" t="e">
        <f>IF(#REF!=0,0,#REF!/#REF!)</f>
        <v>#REF!</v>
      </c>
      <c r="R128" s="80" t="e">
        <f>IF(#REF!=0,0,#REF!/#REF!)</f>
        <v>#REF!</v>
      </c>
      <c r="S128" s="80" t="e">
        <f>IF(#REF!=0,0,#REF!/#REF!)</f>
        <v>#REF!</v>
      </c>
      <c r="T128" s="23">
        <f>IF(T23&lt;&gt;0,((T199/T23)/T$1),0)</f>
        <v>0</v>
      </c>
      <c r="U128" s="23">
        <f>IF(U23&lt;&gt;0,((U199/U23)/U$1),0)</f>
        <v>0</v>
      </c>
    </row>
    <row r="129" spans="1:21" x14ac:dyDescent="0.15">
      <c r="A129" s="177" t="s">
        <v>15</v>
      </c>
      <c r="B129" s="216">
        <f t="shared" ref="B129:N129" si="56">IF(B24&lt;&gt;0,((B201/B24)/B$1),0)</f>
        <v>0</v>
      </c>
      <c r="C129" s="216">
        <f t="shared" si="56"/>
        <v>0</v>
      </c>
      <c r="D129" s="216">
        <f t="shared" si="56"/>
        <v>0</v>
      </c>
      <c r="E129" s="216">
        <f t="shared" si="56"/>
        <v>0</v>
      </c>
      <c r="F129" s="216">
        <f t="shared" si="56"/>
        <v>0</v>
      </c>
      <c r="G129" s="216">
        <f t="shared" si="56"/>
        <v>0</v>
      </c>
      <c r="H129" s="216">
        <f t="shared" si="56"/>
        <v>0</v>
      </c>
      <c r="I129" s="216">
        <f t="shared" si="56"/>
        <v>0</v>
      </c>
      <c r="J129" s="216">
        <f t="shared" si="56"/>
        <v>0</v>
      </c>
      <c r="K129" s="216">
        <f t="shared" si="56"/>
        <v>0.02</v>
      </c>
      <c r="L129" s="216">
        <f t="shared" si="56"/>
        <v>0.02</v>
      </c>
      <c r="M129" s="216">
        <f t="shared" si="56"/>
        <v>0.02</v>
      </c>
      <c r="N129" s="23">
        <f t="shared" si="56"/>
        <v>1.760956968350965E-2</v>
      </c>
      <c r="O129" s="23"/>
      <c r="P129" s="23">
        <f>IF(P24&lt;&gt;0,((P201/P24)/P$1),0)</f>
        <v>0</v>
      </c>
      <c r="Q129" s="80" t="e">
        <f>IF(#REF!=0,0,#REF!/#REF!)</f>
        <v>#REF!</v>
      </c>
      <c r="R129" s="80" t="e">
        <f>IF(#REF!=0,0,#REF!/#REF!)</f>
        <v>#REF!</v>
      </c>
      <c r="S129" s="80" t="e">
        <f>IF(#REF!=0,0,#REF!/#REF!)</f>
        <v>#REF!</v>
      </c>
      <c r="T129" s="23">
        <f>IF(T24&lt;&gt;0,((T201/T24)/T$1),0)</f>
        <v>2.0164383561643837E-2</v>
      </c>
      <c r="U129" s="23">
        <f>IF(U24&lt;&gt;0,((U201/U24)/U$1),0)</f>
        <v>2.0164383561643837E-2</v>
      </c>
    </row>
    <row r="130" spans="1:21" x14ac:dyDescent="0.15">
      <c r="A130" s="177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70"/>
      <c r="R130" s="70"/>
      <c r="S130" s="70"/>
      <c r="T130" s="21"/>
      <c r="U130" s="21"/>
    </row>
    <row r="131" spans="1:21" x14ac:dyDescent="0.15">
      <c r="A131" s="176" t="s">
        <v>59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69"/>
      <c r="R131" s="69"/>
      <c r="S131" s="69"/>
      <c r="T131" s="14"/>
      <c r="U131" s="14"/>
    </row>
    <row r="132" spans="1:21" x14ac:dyDescent="0.15">
      <c r="A132" s="177" t="s">
        <v>9</v>
      </c>
      <c r="B132" s="216">
        <f t="shared" ref="B132:N132" si="57">IF(B28&lt;&gt;0,((B205/B28)/B$1),0)</f>
        <v>0.16129032258064516</v>
      </c>
      <c r="C132" s="216">
        <f t="shared" si="57"/>
        <v>0.15654761904761907</v>
      </c>
      <c r="D132" s="216">
        <f t="shared" si="57"/>
        <v>0.15693548387096773</v>
      </c>
      <c r="E132" s="216">
        <f t="shared" si="57"/>
        <v>0.15916666666666668</v>
      </c>
      <c r="F132" s="216">
        <f t="shared" si="57"/>
        <v>0.15784946236559141</v>
      </c>
      <c r="G132" s="216">
        <f t="shared" si="57"/>
        <v>0.15766666666666668</v>
      </c>
      <c r="H132" s="216">
        <f t="shared" si="57"/>
        <v>0.1570430107526882</v>
      </c>
      <c r="I132" s="216">
        <f t="shared" si="57"/>
        <v>0.15725806451612903</v>
      </c>
      <c r="J132" s="216">
        <f t="shared" si="57"/>
        <v>0.15827777777777777</v>
      </c>
      <c r="K132" s="216">
        <f t="shared" si="57"/>
        <v>0.15919000000000003</v>
      </c>
      <c r="L132" s="216">
        <f t="shared" si="57"/>
        <v>0.15919000000000003</v>
      </c>
      <c r="M132" s="216">
        <f t="shared" si="57"/>
        <v>0.16419</v>
      </c>
      <c r="N132" s="23">
        <f t="shared" si="57"/>
        <v>0.15875613975681085</v>
      </c>
      <c r="O132" s="23"/>
      <c r="P132" s="23">
        <f>IF(P28&lt;&gt;0,((P205/P28)/P$1),0)</f>
        <v>0.47478277536417074</v>
      </c>
      <c r="Q132" s="80"/>
      <c r="R132" s="80"/>
      <c r="S132" s="80"/>
      <c r="T132" s="23">
        <f t="shared" ref="T132:U135" si="58">IF(T28&lt;&gt;0,((T205/T28)/T$1),0)</f>
        <v>0.57576158459829696</v>
      </c>
      <c r="U132" s="23">
        <f t="shared" si="58"/>
        <v>0.70387847847358131</v>
      </c>
    </row>
    <row r="133" spans="1:21" x14ac:dyDescent="0.15">
      <c r="A133" s="177" t="s">
        <v>10</v>
      </c>
      <c r="B133" s="216">
        <f t="shared" ref="B133:N133" si="59">IF(B29&lt;&gt;0,((B206/B29)/B$1),0)</f>
        <v>1.8404104331784861E-2</v>
      </c>
      <c r="C133" s="216">
        <f t="shared" si="59"/>
        <v>1.8862643447361053E-2</v>
      </c>
      <c r="D133" s="216">
        <f t="shared" si="59"/>
        <v>1.8559434379142734E-2</v>
      </c>
      <c r="E133" s="216">
        <f t="shared" si="59"/>
        <v>1.8585402558314524E-2</v>
      </c>
      <c r="F133" s="216">
        <f t="shared" si="59"/>
        <v>1.8608178265181123E-2</v>
      </c>
      <c r="G133" s="216">
        <f t="shared" si="59"/>
        <v>1.8604651162790697E-2</v>
      </c>
      <c r="H133" s="216">
        <f t="shared" si="59"/>
        <v>1.8608279012758373E-2</v>
      </c>
      <c r="I133" s="216">
        <f t="shared" si="59"/>
        <v>1.8545577160840734E-2</v>
      </c>
      <c r="J133" s="216">
        <f t="shared" si="59"/>
        <v>1.8614718614718619E-2</v>
      </c>
      <c r="K133" s="216">
        <f t="shared" si="59"/>
        <v>1.8599999999999998E-2</v>
      </c>
      <c r="L133" s="216">
        <f t="shared" si="59"/>
        <v>1.8599999999999998E-2</v>
      </c>
      <c r="M133" s="216">
        <f t="shared" si="59"/>
        <v>1.8599999999999998E-2</v>
      </c>
      <c r="N133" s="23">
        <f t="shared" si="59"/>
        <v>1.8597519296312318E-2</v>
      </c>
      <c r="O133" s="23"/>
      <c r="P133" s="23">
        <f>IF(P29&lt;&gt;0,((P206/P29)/P$1),0)</f>
        <v>5.5842549733224972E-2</v>
      </c>
      <c r="Q133" s="80" t="e">
        <f>#REF!</f>
        <v>#REF!</v>
      </c>
      <c r="R133" s="80" t="e">
        <f>#REF!</f>
        <v>#REF!</v>
      </c>
      <c r="S133" s="80" t="e">
        <f>#REF!</f>
        <v>#REF!</v>
      </c>
      <c r="T133" s="23">
        <f t="shared" si="58"/>
        <v>1.8703295075897818E-2</v>
      </c>
      <c r="U133" s="23">
        <f t="shared" si="58"/>
        <v>1.8599856106826292E-2</v>
      </c>
    </row>
    <row r="134" spans="1:21" x14ac:dyDescent="0.15">
      <c r="A134" s="177" t="s">
        <v>11</v>
      </c>
      <c r="B134" s="216">
        <f t="shared" ref="B134:N134" si="60">IF(B30&lt;&gt;0,((B207/B30)/B$1),0)</f>
        <v>0</v>
      </c>
      <c r="C134" s="216">
        <f t="shared" si="60"/>
        <v>0</v>
      </c>
      <c r="D134" s="216">
        <f t="shared" si="60"/>
        <v>0</v>
      </c>
      <c r="E134" s="216">
        <f t="shared" si="60"/>
        <v>0</v>
      </c>
      <c r="F134" s="216">
        <f t="shared" si="60"/>
        <v>0</v>
      </c>
      <c r="G134" s="216">
        <f t="shared" si="60"/>
        <v>0</v>
      </c>
      <c r="H134" s="216">
        <f t="shared" si="60"/>
        <v>0</v>
      </c>
      <c r="I134" s="216">
        <f t="shared" si="60"/>
        <v>0</v>
      </c>
      <c r="J134" s="216">
        <f t="shared" si="60"/>
        <v>0</v>
      </c>
      <c r="K134" s="216">
        <f t="shared" si="60"/>
        <v>0</v>
      </c>
      <c r="L134" s="216">
        <f t="shared" si="60"/>
        <v>0</v>
      </c>
      <c r="M134" s="216">
        <f t="shared" si="60"/>
        <v>0</v>
      </c>
      <c r="N134" s="23">
        <f t="shared" si="60"/>
        <v>0</v>
      </c>
      <c r="O134" s="23"/>
      <c r="P134" s="23">
        <f>IF(P30&lt;&gt;0,((P207/P30)/P$1),0)</f>
        <v>0</v>
      </c>
      <c r="Q134" s="80" t="e">
        <f>#REF!</f>
        <v>#REF!</v>
      </c>
      <c r="R134" s="80" t="e">
        <f>#REF!</f>
        <v>#REF!</v>
      </c>
      <c r="S134" s="80" t="e">
        <f>#REF!</f>
        <v>#REF!</v>
      </c>
      <c r="T134" s="23">
        <f t="shared" si="58"/>
        <v>0</v>
      </c>
      <c r="U134" s="23">
        <f t="shared" si="58"/>
        <v>0</v>
      </c>
    </row>
    <row r="135" spans="1:21" x14ac:dyDescent="0.15">
      <c r="A135" s="177" t="s">
        <v>15</v>
      </c>
      <c r="B135" s="216">
        <f t="shared" ref="B135:N135" si="61">IF(B31&lt;&gt;0,((B208/B31)/B$1),0)</f>
        <v>0</v>
      </c>
      <c r="C135" s="216">
        <f t="shared" si="61"/>
        <v>0</v>
      </c>
      <c r="D135" s="216">
        <f t="shared" si="61"/>
        <v>0</v>
      </c>
      <c r="E135" s="216">
        <f t="shared" si="61"/>
        <v>0</v>
      </c>
      <c r="F135" s="216">
        <f t="shared" si="61"/>
        <v>0</v>
      </c>
      <c r="G135" s="216">
        <f t="shared" si="61"/>
        <v>0</v>
      </c>
      <c r="H135" s="216">
        <f t="shared" si="61"/>
        <v>0</v>
      </c>
      <c r="I135" s="216">
        <f t="shared" si="61"/>
        <v>0</v>
      </c>
      <c r="J135" s="216">
        <f t="shared" si="61"/>
        <v>0</v>
      </c>
      <c r="K135" s="216">
        <f t="shared" si="61"/>
        <v>0</v>
      </c>
      <c r="L135" s="216">
        <f t="shared" si="61"/>
        <v>0</v>
      </c>
      <c r="M135" s="216">
        <f t="shared" si="61"/>
        <v>0</v>
      </c>
      <c r="N135" s="23">
        <f t="shared" si="61"/>
        <v>0</v>
      </c>
      <c r="O135" s="23"/>
      <c r="P135" s="23">
        <f>IF(P31&lt;&gt;0,((P208/P31)/P$1),0)</f>
        <v>0</v>
      </c>
      <c r="Q135" s="80" t="e">
        <f>#REF!</f>
        <v>#REF!</v>
      </c>
      <c r="R135" s="80" t="e">
        <f>#REF!</f>
        <v>#REF!</v>
      </c>
      <c r="S135" s="80" t="e">
        <f>#REF!</f>
        <v>#REF!</v>
      </c>
      <c r="T135" s="23">
        <f t="shared" si="58"/>
        <v>0</v>
      </c>
      <c r="U135" s="23">
        <f t="shared" si="58"/>
        <v>0</v>
      </c>
    </row>
    <row r="136" spans="1:21" x14ac:dyDescent="0.15">
      <c r="A136" s="177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70"/>
      <c r="R136" s="70"/>
      <c r="S136" s="70"/>
      <c r="T136" s="21"/>
      <c r="U136" s="21"/>
    </row>
    <row r="137" spans="1:21" x14ac:dyDescent="0.15">
      <c r="A137" s="176" t="s">
        <v>19</v>
      </c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69"/>
      <c r="R137" s="69"/>
      <c r="S137" s="69"/>
      <c r="T137" s="14"/>
      <c r="U137" s="14"/>
    </row>
    <row r="138" spans="1:21" x14ac:dyDescent="0.15">
      <c r="A138" s="177" t="s">
        <v>9</v>
      </c>
      <c r="B138" s="216">
        <f t="shared" ref="B138:N138" si="62">IF(B35&lt;&gt;0,((B212/B35)/B$1),0)</f>
        <v>0.16585845807857191</v>
      </c>
      <c r="C138" s="216">
        <f t="shared" si="62"/>
        <v>0.70413961038961037</v>
      </c>
      <c r="D138" s="216">
        <f t="shared" si="62"/>
        <v>0.16849227883294812</v>
      </c>
      <c r="E138" s="216">
        <f t="shared" si="62"/>
        <v>0.16706680584551148</v>
      </c>
      <c r="F138" s="216">
        <f t="shared" si="62"/>
        <v>0.16999033332139918</v>
      </c>
      <c r="G138" s="216">
        <f t="shared" si="62"/>
        <v>0.16899055918663761</v>
      </c>
      <c r="H138" s="216">
        <f t="shared" si="62"/>
        <v>0.17789237418612847</v>
      </c>
      <c r="I138" s="216">
        <f t="shared" si="62"/>
        <v>0.16926244654453299</v>
      </c>
      <c r="J138" s="216">
        <f t="shared" si="62"/>
        <v>0.17066085693536676</v>
      </c>
      <c r="K138" s="216">
        <f t="shared" si="62"/>
        <v>0.16845064270152507</v>
      </c>
      <c r="L138" s="216">
        <f t="shared" si="62"/>
        <v>0.1685764853977845</v>
      </c>
      <c r="M138" s="216">
        <f t="shared" si="62"/>
        <v>0.22200783215464406</v>
      </c>
      <c r="N138" s="23">
        <f t="shared" si="62"/>
        <v>0.21659904874113572</v>
      </c>
      <c r="O138" s="23"/>
      <c r="P138" s="23">
        <f>IF(P35&lt;&gt;0,((P212/P35)/P$1),0)</f>
        <v>0.50584867059479954</v>
      </c>
      <c r="Q138" s="80" t="e">
        <f>IF(#REF!=0,0,#REF!/#REF!)</f>
        <v>#REF!</v>
      </c>
      <c r="R138" s="80" t="e">
        <f>IF(#REF!=0,0,#REF!/#REF!)</f>
        <v>#REF!</v>
      </c>
      <c r="S138" s="80" t="e">
        <f>IF(#REF!=0,0,#REF!/#REF!)</f>
        <v>#REF!</v>
      </c>
      <c r="T138" s="23">
        <f t="shared" ref="T138:U140" si="63">IF(T35&lt;&gt;0,((T212/T35)/T$1),0)</f>
        <v>0.16868086977049576</v>
      </c>
      <c r="U138" s="23">
        <f t="shared" si="63"/>
        <v>0.16868086977049576</v>
      </c>
    </row>
    <row r="139" spans="1:21" x14ac:dyDescent="0.15">
      <c r="A139" s="177" t="s">
        <v>10</v>
      </c>
      <c r="B139" s="216">
        <f t="shared" ref="B139:N139" si="64">IF(B36&lt;&gt;0,((B213/B36)/B$1),0)</f>
        <v>1.8631782237462067E-2</v>
      </c>
      <c r="C139" s="216">
        <f t="shared" si="64"/>
        <v>1.8907811385953592E-2</v>
      </c>
      <c r="D139" s="216">
        <f t="shared" si="64"/>
        <v>1.8931247963506027E-2</v>
      </c>
      <c r="E139" s="216">
        <f t="shared" si="64"/>
        <v>1.8613659531090725E-2</v>
      </c>
      <c r="F139" s="216">
        <f t="shared" si="64"/>
        <v>1.8589393110989609E-2</v>
      </c>
      <c r="G139" s="216">
        <f t="shared" si="64"/>
        <v>1.8602400309717382E-2</v>
      </c>
      <c r="H139" s="216">
        <f t="shared" si="64"/>
        <v>1.8591549295774647E-2</v>
      </c>
      <c r="I139" s="216">
        <f t="shared" si="64"/>
        <v>2.7976363460234431E-2</v>
      </c>
      <c r="J139" s="216">
        <f t="shared" si="64"/>
        <v>1.8588903451288771E-2</v>
      </c>
      <c r="K139" s="216">
        <f t="shared" si="64"/>
        <v>1.8599999999999998E-2</v>
      </c>
      <c r="L139" s="216">
        <f t="shared" si="64"/>
        <v>1.859244712990937E-2</v>
      </c>
      <c r="M139" s="216">
        <f t="shared" si="64"/>
        <v>1.8592793935376013E-2</v>
      </c>
      <c r="N139" s="23">
        <f t="shared" si="64"/>
        <v>1.9393292568063537E-2</v>
      </c>
      <c r="O139" s="23"/>
      <c r="P139" s="23">
        <f>IF(P36&lt;&gt;0,((P213/P36)/P$1),0)</f>
        <v>5.5784215784215788E-2</v>
      </c>
      <c r="Q139" s="80" t="e">
        <f>IF(#REF!=0,0,#REF!/#REF!)</f>
        <v>#REF!</v>
      </c>
      <c r="R139" s="80" t="e">
        <f>IF(#REF!=0,0,#REF!/#REF!)</f>
        <v>#REF!</v>
      </c>
      <c r="S139" s="80" t="e">
        <f>IF(#REF!=0,0,#REF!/#REF!)</f>
        <v>#REF!</v>
      </c>
      <c r="T139" s="23">
        <f t="shared" si="63"/>
        <v>1.8621585874304934E-2</v>
      </c>
      <c r="U139" s="23">
        <f t="shared" si="63"/>
        <v>1.8621585874304934E-2</v>
      </c>
    </row>
    <row r="140" spans="1:21" x14ac:dyDescent="0.15">
      <c r="A140" s="177" t="s">
        <v>11</v>
      </c>
      <c r="B140" s="216">
        <f t="shared" ref="B140:N140" si="65">IF(B37&lt;&gt;0,((B214/B37)/B$1),0)</f>
        <v>0</v>
      </c>
      <c r="C140" s="216">
        <f t="shared" si="65"/>
        <v>0</v>
      </c>
      <c r="D140" s="216">
        <f t="shared" si="65"/>
        <v>0</v>
      </c>
      <c r="E140" s="216">
        <f t="shared" si="65"/>
        <v>0</v>
      </c>
      <c r="F140" s="216">
        <f t="shared" si="65"/>
        <v>0</v>
      </c>
      <c r="G140" s="216">
        <f t="shared" si="65"/>
        <v>0</v>
      </c>
      <c r="H140" s="216">
        <f t="shared" si="65"/>
        <v>0</v>
      </c>
      <c r="I140" s="216">
        <f t="shared" si="65"/>
        <v>0</v>
      </c>
      <c r="J140" s="216">
        <f t="shared" si="65"/>
        <v>0</v>
      </c>
      <c r="K140" s="216">
        <f t="shared" si="65"/>
        <v>0</v>
      </c>
      <c r="L140" s="216">
        <f t="shared" si="65"/>
        <v>0</v>
      </c>
      <c r="M140" s="216">
        <f t="shared" si="65"/>
        <v>0</v>
      </c>
      <c r="N140" s="23">
        <f t="shared" si="65"/>
        <v>0</v>
      </c>
      <c r="O140" s="23"/>
      <c r="P140" s="23">
        <f>IF(P37&lt;&gt;0,((P214/P37)/P$1),0)</f>
        <v>0</v>
      </c>
      <c r="Q140" s="80" t="e">
        <f>IF(#REF!=0,0,#REF!/#REF!)</f>
        <v>#REF!</v>
      </c>
      <c r="R140" s="80" t="e">
        <f>IF(#REF!=0,0,#REF!/#REF!)</f>
        <v>#REF!</v>
      </c>
      <c r="S140" s="80" t="e">
        <f>IF(#REF!=0,0,#REF!/#REF!)</f>
        <v>#REF!</v>
      </c>
      <c r="T140" s="23">
        <f t="shared" si="63"/>
        <v>0</v>
      </c>
      <c r="U140" s="23">
        <f t="shared" si="63"/>
        <v>0</v>
      </c>
    </row>
    <row r="141" spans="1:21" x14ac:dyDescent="0.15">
      <c r="A141" s="177" t="s">
        <v>15</v>
      </c>
      <c r="B141" s="216">
        <f t="shared" ref="B141:N141" si="66">IF(B39&lt;&gt;0,((B216/B39)/B$1),0)</f>
        <v>0</v>
      </c>
      <c r="C141" s="216">
        <f t="shared" si="66"/>
        <v>0</v>
      </c>
      <c r="D141" s="216">
        <f t="shared" si="66"/>
        <v>0</v>
      </c>
      <c r="E141" s="216">
        <f t="shared" si="66"/>
        <v>0</v>
      </c>
      <c r="F141" s="216">
        <f t="shared" si="66"/>
        <v>0</v>
      </c>
      <c r="G141" s="216">
        <f t="shared" si="66"/>
        <v>-1.937984496124031E-2</v>
      </c>
      <c r="H141" s="216">
        <f t="shared" si="66"/>
        <v>0</v>
      </c>
      <c r="I141" s="216">
        <f t="shared" si="66"/>
        <v>0</v>
      </c>
      <c r="J141" s="216">
        <f t="shared" si="66"/>
        <v>0</v>
      </c>
      <c r="K141" s="216">
        <f t="shared" si="66"/>
        <v>0</v>
      </c>
      <c r="L141" s="216">
        <f t="shared" si="66"/>
        <v>0</v>
      </c>
      <c r="M141" s="216">
        <f t="shared" si="66"/>
        <v>0</v>
      </c>
      <c r="N141" s="23">
        <f t="shared" si="66"/>
        <v>-1.9114367633004142E-2</v>
      </c>
      <c r="O141" s="23"/>
      <c r="P141" s="23">
        <f>IF(P39&lt;&gt;0,((P216/P39)/P$1),0)</f>
        <v>-5.7500638895987735E-2</v>
      </c>
      <c r="Q141" s="80" t="e">
        <f>IF(#REF!=0,0,#REF!/#REF!)</f>
        <v>#REF!</v>
      </c>
      <c r="R141" s="80" t="e">
        <f>IF(#REF!=0,0,#REF!/#REF!)</f>
        <v>#REF!</v>
      </c>
      <c r="S141" s="80" t="e">
        <f>IF(#REF!=0,0,#REF!/#REF!)</f>
        <v>#REF!</v>
      </c>
      <c r="T141" s="23">
        <f>IF(T39&lt;&gt;0,((T216/T39)/T$1),0)</f>
        <v>0</v>
      </c>
      <c r="U141" s="23">
        <f>IF(U39&lt;&gt;0,((U216/U39)/U$1),0)</f>
        <v>0</v>
      </c>
    </row>
    <row r="142" spans="1:21" x14ac:dyDescent="0.15">
      <c r="A142" s="177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70"/>
      <c r="R142" s="70"/>
      <c r="S142" s="70"/>
      <c r="T142" s="21"/>
      <c r="U142" s="21"/>
    </row>
    <row r="143" spans="1:21" x14ac:dyDescent="0.15">
      <c r="A143" s="176" t="s">
        <v>60</v>
      </c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69"/>
      <c r="R143" s="69"/>
      <c r="S143" s="69"/>
      <c r="T143" s="14"/>
      <c r="U143" s="14"/>
    </row>
    <row r="144" spans="1:21" x14ac:dyDescent="0.15">
      <c r="A144" s="177" t="s">
        <v>9</v>
      </c>
      <c r="B144" s="216">
        <f t="shared" ref="B144:N144" si="67">IF(B46&lt;&gt;0,((B224/B46)/B$1),0)</f>
        <v>8.0645161290322578E-3</v>
      </c>
      <c r="C144" s="216">
        <f t="shared" si="67"/>
        <v>7.5892857142857142E-3</v>
      </c>
      <c r="D144" s="216">
        <f t="shared" si="67"/>
        <v>7.4956498460714768E-3</v>
      </c>
      <c r="E144" s="216">
        <f t="shared" si="67"/>
        <v>2.2791666666666668E-2</v>
      </c>
      <c r="F144" s="216">
        <f t="shared" si="67"/>
        <v>9.9193548387096781E-3</v>
      </c>
      <c r="G144" s="216">
        <f t="shared" si="67"/>
        <v>1.8083333333333333E-2</v>
      </c>
      <c r="H144" s="216">
        <f t="shared" si="67"/>
        <v>1.6129032258064516E-2</v>
      </c>
      <c r="I144" s="216">
        <f t="shared" si="67"/>
        <v>1.0483870967741936E-2</v>
      </c>
      <c r="J144" s="216">
        <f t="shared" si="67"/>
        <v>7.5000000000000006E-3</v>
      </c>
      <c r="K144" s="216">
        <f t="shared" si="67"/>
        <v>0</v>
      </c>
      <c r="L144" s="216">
        <f t="shared" si="67"/>
        <v>0</v>
      </c>
      <c r="M144" s="216">
        <f t="shared" si="67"/>
        <v>0</v>
      </c>
      <c r="N144" s="23">
        <f t="shared" si="67"/>
        <v>1.2023562490023638E-2</v>
      </c>
      <c r="O144" s="23"/>
      <c r="P144" s="23">
        <f>IF(P46&lt;&gt;0,((P224/P46)/P$1),0)</f>
        <v>5.056318681318682E-2</v>
      </c>
      <c r="Q144" s="80" t="e">
        <f>IF(#REF!=0,0,#REF!/#REF!)</f>
        <v>#REF!</v>
      </c>
      <c r="R144" s="80" t="e">
        <f>IF(#REF!=0,0,#REF!/#REF!)</f>
        <v>#REF!</v>
      </c>
      <c r="S144" s="80" t="e">
        <f>IF(#REF!=0,0,#REF!/#REF!)</f>
        <v>#REF!</v>
      </c>
      <c r="T144" s="23">
        <f t="shared" ref="T144:U147" si="68">IF(T46&lt;&gt;0,((T224/T46)/T$1),0)</f>
        <v>0</v>
      </c>
      <c r="U144" s="23">
        <f t="shared" si="68"/>
        <v>0</v>
      </c>
    </row>
    <row r="145" spans="1:21" x14ac:dyDescent="0.15">
      <c r="A145" s="177" t="s">
        <v>10</v>
      </c>
      <c r="B145" s="216">
        <f t="shared" ref="B145:N145" si="69">IF(B47&lt;&gt;0,((B225/B47)/B$1),0)</f>
        <v>8.9618181736710757E-3</v>
      </c>
      <c r="C145" s="216">
        <f t="shared" si="69"/>
        <v>1.1846844000758198E-2</v>
      </c>
      <c r="D145" s="216">
        <f t="shared" si="69"/>
        <v>9.9255583126550868E-3</v>
      </c>
      <c r="E145" s="216">
        <f t="shared" si="69"/>
        <v>1.1564625850340135E-2</v>
      </c>
      <c r="F145" s="216">
        <f t="shared" si="69"/>
        <v>0</v>
      </c>
      <c r="G145" s="216">
        <f t="shared" si="69"/>
        <v>1.1657559198542805E-2</v>
      </c>
      <c r="H145" s="216">
        <f t="shared" si="69"/>
        <v>0</v>
      </c>
      <c r="I145" s="216">
        <f t="shared" si="69"/>
        <v>0</v>
      </c>
      <c r="J145" s="216">
        <f t="shared" si="69"/>
        <v>0</v>
      </c>
      <c r="K145" s="216">
        <f t="shared" si="69"/>
        <v>0</v>
      </c>
      <c r="L145" s="216">
        <f t="shared" si="69"/>
        <v>0</v>
      </c>
      <c r="M145" s="216">
        <f t="shared" si="69"/>
        <v>0</v>
      </c>
      <c r="N145" s="23">
        <f t="shared" si="69"/>
        <v>7.7618402128005002E-3</v>
      </c>
      <c r="O145" s="23"/>
      <c r="P145" s="23">
        <f>IF(P47&lt;&gt;0,((P225/P47)/P$1),0)</f>
        <v>2.0456162542493481E-2</v>
      </c>
      <c r="Q145" s="80" t="e">
        <f>IF(#REF!=0,0,#REF!/#REF!)</f>
        <v>#REF!</v>
      </c>
      <c r="R145" s="80" t="e">
        <f>IF(#REF!=0,0,#REF!/#REF!)</f>
        <v>#REF!</v>
      </c>
      <c r="S145" s="80" t="e">
        <f>IF(#REF!=0,0,#REF!/#REF!)</f>
        <v>#REF!</v>
      </c>
      <c r="T145" s="23">
        <f t="shared" si="68"/>
        <v>0</v>
      </c>
      <c r="U145" s="23">
        <f t="shared" si="68"/>
        <v>0</v>
      </c>
    </row>
    <row r="146" spans="1:21" x14ac:dyDescent="0.15">
      <c r="A146" s="177" t="s">
        <v>11</v>
      </c>
      <c r="B146" s="216">
        <f t="shared" ref="B146:N146" si="70">IF(B48&lt;&gt;0,((B226/B48)/B$1),0)</f>
        <v>0</v>
      </c>
      <c r="C146" s="216">
        <f t="shared" si="70"/>
        <v>0</v>
      </c>
      <c r="D146" s="216">
        <f t="shared" si="70"/>
        <v>0</v>
      </c>
      <c r="E146" s="216">
        <f t="shared" si="70"/>
        <v>0</v>
      </c>
      <c r="F146" s="216">
        <f t="shared" si="70"/>
        <v>0</v>
      </c>
      <c r="G146" s="216">
        <f t="shared" si="70"/>
        <v>0</v>
      </c>
      <c r="H146" s="216">
        <f t="shared" si="70"/>
        <v>0</v>
      </c>
      <c r="I146" s="216">
        <f t="shared" si="70"/>
        <v>0</v>
      </c>
      <c r="J146" s="216">
        <f t="shared" si="70"/>
        <v>0</v>
      </c>
      <c r="K146" s="216">
        <f t="shared" si="70"/>
        <v>0</v>
      </c>
      <c r="L146" s="216">
        <f t="shared" si="70"/>
        <v>0</v>
      </c>
      <c r="M146" s="216">
        <f t="shared" si="70"/>
        <v>0</v>
      </c>
      <c r="N146" s="23">
        <f t="shared" si="70"/>
        <v>0</v>
      </c>
      <c r="O146" s="23"/>
      <c r="P146" s="23">
        <f>IF(P48&lt;&gt;0,((P226/P48)/P$1),0)</f>
        <v>0</v>
      </c>
      <c r="Q146" s="80"/>
      <c r="R146" s="80"/>
      <c r="S146" s="80"/>
      <c r="T146" s="23">
        <f t="shared" si="68"/>
        <v>0</v>
      </c>
      <c r="U146" s="23">
        <f t="shared" si="68"/>
        <v>0</v>
      </c>
    </row>
    <row r="147" spans="1:21" x14ac:dyDescent="0.15">
      <c r="A147" s="177" t="s">
        <v>15</v>
      </c>
      <c r="B147" s="216">
        <f t="shared" ref="B147:N147" si="71">IF(B49&lt;&gt;0,((B227/B49)/B$1),0)</f>
        <v>0</v>
      </c>
      <c r="C147" s="216">
        <f t="shared" si="71"/>
        <v>0</v>
      </c>
      <c r="D147" s="216">
        <f t="shared" si="71"/>
        <v>0.40664711632453571</v>
      </c>
      <c r="E147" s="216">
        <f t="shared" si="71"/>
        <v>0.28968253968253965</v>
      </c>
      <c r="F147" s="216">
        <f t="shared" si="71"/>
        <v>0</v>
      </c>
      <c r="G147" s="216">
        <f t="shared" si="71"/>
        <v>4.9857549857549859E-2</v>
      </c>
      <c r="H147" s="216">
        <f t="shared" si="71"/>
        <v>8.9605734767025089E-2</v>
      </c>
      <c r="I147" s="216">
        <f t="shared" si="71"/>
        <v>0</v>
      </c>
      <c r="J147" s="216">
        <f t="shared" si="71"/>
        <v>0</v>
      </c>
      <c r="K147" s="216">
        <f t="shared" si="71"/>
        <v>0</v>
      </c>
      <c r="L147" s="216">
        <f t="shared" si="71"/>
        <v>0</v>
      </c>
      <c r="M147" s="216">
        <f t="shared" si="71"/>
        <v>0</v>
      </c>
      <c r="N147" s="23">
        <f t="shared" si="71"/>
        <v>0.13735905321032521</v>
      </c>
      <c r="O147" s="23"/>
      <c r="P147" s="23">
        <f>IF(P49&lt;&gt;0,((P227/P49)/P$1),0)</f>
        <v>0.21373363478626639</v>
      </c>
      <c r="Q147" s="80" t="e">
        <f>IF(#REF!=0,0,(#REF!+#REF!)/#REF!)</f>
        <v>#REF!</v>
      </c>
      <c r="R147" s="80" t="e">
        <f>IF(#REF!=0,0,(#REF!+#REF!)/#REF!)</f>
        <v>#REF!</v>
      </c>
      <c r="S147" s="80" t="e">
        <f>IF(#REF!=0,0,(#REF!+#REF!)/#REF!)</f>
        <v>#REF!</v>
      </c>
      <c r="T147" s="23">
        <f t="shared" si="68"/>
        <v>0</v>
      </c>
      <c r="U147" s="23">
        <f t="shared" si="68"/>
        <v>0</v>
      </c>
    </row>
    <row r="148" spans="1:21" x14ac:dyDescent="0.15">
      <c r="A148" s="177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70"/>
      <c r="R148" s="70"/>
      <c r="S148" s="70"/>
      <c r="T148" s="21"/>
      <c r="U148" s="21"/>
    </row>
    <row r="149" spans="1:21" x14ac:dyDescent="0.15">
      <c r="A149" s="176" t="s">
        <v>61</v>
      </c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69"/>
      <c r="R149" s="69"/>
      <c r="S149" s="69"/>
      <c r="T149" s="14"/>
      <c r="U149" s="14"/>
    </row>
    <row r="150" spans="1:21" x14ac:dyDescent="0.15">
      <c r="A150" s="177" t="s">
        <v>9</v>
      </c>
      <c r="B150" s="216">
        <f t="shared" ref="B150:N150" si="72">IF(B53&lt;&gt;0,((B231/B53)/B$1),0)</f>
        <v>3.0295298211381071E-2</v>
      </c>
      <c r="C150" s="216">
        <f t="shared" si="72"/>
        <v>3.1148347171030561E-2</v>
      </c>
      <c r="D150" s="216">
        <f t="shared" si="72"/>
        <v>4.8610947477556024E-2</v>
      </c>
      <c r="E150" s="216">
        <f t="shared" si="72"/>
        <v>2.854255825011888E-2</v>
      </c>
      <c r="F150" s="216">
        <f t="shared" si="72"/>
        <v>3.2999760375183998E-2</v>
      </c>
      <c r="G150" s="216">
        <f t="shared" si="72"/>
        <v>4.7504393673110719E-2</v>
      </c>
      <c r="H150" s="216">
        <f t="shared" si="72"/>
        <v>4.0259587549204605E-2</v>
      </c>
      <c r="I150" s="216">
        <f t="shared" si="72"/>
        <v>2.954989544410545E-2</v>
      </c>
      <c r="J150" s="216">
        <f t="shared" si="72"/>
        <v>2.7037832676930423E-2</v>
      </c>
      <c r="K150" s="216">
        <f t="shared" si="72"/>
        <v>2.089793596059113E-2</v>
      </c>
      <c r="L150" s="216">
        <f t="shared" si="72"/>
        <v>3.5853113149847092E-2</v>
      </c>
      <c r="M150" s="216">
        <f t="shared" si="72"/>
        <v>3.8972516568929035E-2</v>
      </c>
      <c r="N150" s="23">
        <f t="shared" si="72"/>
        <v>3.466628237482295E-2</v>
      </c>
      <c r="O150" s="23"/>
      <c r="P150" s="23">
        <f>IF(P53&lt;&gt;0,((P231/P53)/P$1),0)</f>
        <v>0.10907008281949293</v>
      </c>
      <c r="Q150" s="80" t="e">
        <f>IF(#REF!=0,0,#REF!/#REF!)</f>
        <v>#REF!</v>
      </c>
      <c r="R150" s="80" t="e">
        <f>IF(#REF!=0,0,#REF!/#REF!)</f>
        <v>#REF!</v>
      </c>
      <c r="S150" s="80" t="e">
        <f>IF(#REF!=0,0,#REF!/#REF!)</f>
        <v>#REF!</v>
      </c>
      <c r="T150" s="23">
        <f t="shared" ref="T150:U152" si="73">IF(T53&lt;&gt;0,((T231/T53)/T$1),0)</f>
        <v>2.0735487254998318E-2</v>
      </c>
      <c r="U150" s="23">
        <f t="shared" si="73"/>
        <v>2.2710463125730617E-2</v>
      </c>
    </row>
    <row r="151" spans="1:21" x14ac:dyDescent="0.15">
      <c r="A151" s="177" t="s">
        <v>36</v>
      </c>
      <c r="B151" s="216">
        <f t="shared" ref="B151:N151" si="74">IF(B54&lt;&gt;0,((B232/B54)/B$1),0)</f>
        <v>9.6338078477739789E-3</v>
      </c>
      <c r="C151" s="216">
        <f t="shared" si="74"/>
        <v>9.3684186858731758E-3</v>
      </c>
      <c r="D151" s="216">
        <f t="shared" si="74"/>
        <v>9.684098043144327E-3</v>
      </c>
      <c r="E151" s="216">
        <f t="shared" si="74"/>
        <v>9.5589881352137907E-3</v>
      </c>
      <c r="F151" s="216">
        <f t="shared" si="74"/>
        <v>1.0174434073711432E-2</v>
      </c>
      <c r="G151" s="216">
        <f t="shared" si="74"/>
        <v>1.0113378684807255E-2</v>
      </c>
      <c r="H151" s="216">
        <f t="shared" si="74"/>
        <v>1.0083796347648962E-2</v>
      </c>
      <c r="I151" s="216">
        <f t="shared" si="74"/>
        <v>1.0499370037797731E-2</v>
      </c>
      <c r="J151" s="216">
        <f t="shared" si="74"/>
        <v>9.7488746742478097E-3</v>
      </c>
      <c r="K151" s="216">
        <f t="shared" si="74"/>
        <v>9.2999999999999975E-3</v>
      </c>
      <c r="L151" s="216">
        <f t="shared" si="74"/>
        <v>9.2999999999999992E-3</v>
      </c>
      <c r="M151" s="216">
        <f t="shared" si="74"/>
        <v>9.2999999999999975E-3</v>
      </c>
      <c r="N151" s="23">
        <f t="shared" si="74"/>
        <v>9.7702913837296561E-3</v>
      </c>
      <c r="O151" s="23"/>
      <c r="P151" s="23">
        <f>IF(P54&lt;&gt;0,((P232/P54)/P$1),0)</f>
        <v>2.9861522989246755E-2</v>
      </c>
      <c r="Q151" s="80" t="e">
        <f>IF(#REF!=0,0,#REF!/#REF!)</f>
        <v>#REF!</v>
      </c>
      <c r="R151" s="80" t="e">
        <f>IF(#REF!=0,0,#REF!/#REF!)</f>
        <v>#REF!</v>
      </c>
      <c r="S151" s="80" t="e">
        <f>IF(#REF!=0,0,#REF!/#REF!)</f>
        <v>#REF!</v>
      </c>
      <c r="T151" s="23">
        <f t="shared" si="73"/>
        <v>9.2678186451706415E-3</v>
      </c>
      <c r="U151" s="23">
        <f t="shared" si="73"/>
        <v>9.2678186451706415E-3</v>
      </c>
    </row>
    <row r="152" spans="1:21" x14ac:dyDescent="0.15">
      <c r="A152" s="177" t="s">
        <v>45</v>
      </c>
      <c r="B152" s="216">
        <f t="shared" ref="B152:N152" si="75">IF(B55&lt;&gt;0,((B233/B55)/B$1),0)</f>
        <v>0</v>
      </c>
      <c r="C152" s="216">
        <f t="shared" si="75"/>
        <v>0</v>
      </c>
      <c r="D152" s="216">
        <f t="shared" si="75"/>
        <v>0</v>
      </c>
      <c r="E152" s="216">
        <f t="shared" si="75"/>
        <v>0</v>
      </c>
      <c r="F152" s="216">
        <f t="shared" si="75"/>
        <v>0</v>
      </c>
      <c r="G152" s="216">
        <f t="shared" si="75"/>
        <v>0</v>
      </c>
      <c r="H152" s="216">
        <f t="shared" si="75"/>
        <v>0</v>
      </c>
      <c r="I152" s="216">
        <f t="shared" si="75"/>
        <v>0</v>
      </c>
      <c r="J152" s="216">
        <f t="shared" si="75"/>
        <v>0</v>
      </c>
      <c r="K152" s="216">
        <f t="shared" si="75"/>
        <v>0</v>
      </c>
      <c r="L152" s="216">
        <f t="shared" si="75"/>
        <v>0</v>
      </c>
      <c r="M152" s="216">
        <f t="shared" si="75"/>
        <v>0</v>
      </c>
      <c r="N152" s="23">
        <f t="shared" si="75"/>
        <v>0</v>
      </c>
      <c r="O152" s="23"/>
      <c r="P152" s="23">
        <f>IF(P55&lt;&gt;0,((P233/P55)/P$1),0)</f>
        <v>0</v>
      </c>
      <c r="Q152" s="80" t="e">
        <f>IF(#REF!=0,0,#REF!/#REF!)</f>
        <v>#REF!</v>
      </c>
      <c r="R152" s="80" t="e">
        <f>IF(#REF!=0,0,#REF!/#REF!)</f>
        <v>#REF!</v>
      </c>
      <c r="S152" s="80" t="e">
        <f>IF(#REF!=0,0,#REF!/#REF!)</f>
        <v>#REF!</v>
      </c>
      <c r="T152" s="23">
        <f t="shared" si="73"/>
        <v>0</v>
      </c>
      <c r="U152" s="23">
        <f t="shared" si="73"/>
        <v>0</v>
      </c>
    </row>
    <row r="153" spans="1:21" x14ac:dyDescent="0.15">
      <c r="A153" s="177" t="s">
        <v>37</v>
      </c>
      <c r="B153" s="216">
        <f t="shared" ref="B153:N153" si="76">IF(B57&lt;&gt;0,((B235/B57)/B$1),0)</f>
        <v>7.5795009481664163E-2</v>
      </c>
      <c r="C153" s="216">
        <f t="shared" si="76"/>
        <v>8.0385852090032142E-2</v>
      </c>
      <c r="D153" s="216">
        <f t="shared" si="76"/>
        <v>6.5236979635970457E-2</v>
      </c>
      <c r="E153" s="216">
        <f t="shared" si="76"/>
        <v>7.1290944123314062E-2</v>
      </c>
      <c r="F153" s="216">
        <f t="shared" si="76"/>
        <v>6.7433943913113956E-2</v>
      </c>
      <c r="G153" s="216">
        <f t="shared" si="76"/>
        <v>5.2638888888888888E-2</v>
      </c>
      <c r="H153" s="216">
        <f t="shared" si="76"/>
        <v>4.9040976460331294E-2</v>
      </c>
      <c r="I153" s="216">
        <f t="shared" si="76"/>
        <v>5.5299539170506916E-2</v>
      </c>
      <c r="J153" s="216">
        <f t="shared" si="76"/>
        <v>0.10464135021097046</v>
      </c>
      <c r="K153" s="216">
        <f t="shared" si="76"/>
        <v>3.1199999999999999E-2</v>
      </c>
      <c r="L153" s="216">
        <f t="shared" si="76"/>
        <v>4.2699999999999988E-2</v>
      </c>
      <c r="M153" s="216">
        <f t="shared" si="76"/>
        <v>4.9099999999999991E-2</v>
      </c>
      <c r="N153" s="23">
        <f t="shared" si="76"/>
        <v>6.3476898096852016E-2</v>
      </c>
      <c r="O153" s="23"/>
      <c r="P153" s="23">
        <f>IF(P57&lt;&gt;0,((P235/P57)/P$1),0)</f>
        <v>0.19666659019477392</v>
      </c>
      <c r="Q153" s="80" t="e">
        <f>IF(#REF!=0,0,#REF!/#REF!)</f>
        <v>#REF!</v>
      </c>
      <c r="R153" s="80" t="e">
        <f>IF(#REF!=0,0,#REF!/#REF!)</f>
        <v>#REF!</v>
      </c>
      <c r="S153" s="80" t="e">
        <f>IF(#REF!=0,0,#REF!/#REF!)</f>
        <v>#REF!</v>
      </c>
      <c r="T153" s="23">
        <f>IF(T57&lt;&gt;0,((T235/T57)/T$1),0)</f>
        <v>4.5677912248744387E-2</v>
      </c>
      <c r="U153" s="23">
        <f>IF(U57&lt;&gt;0,((U235/U57)/U$1),0)</f>
        <v>4.5677912248744387E-2</v>
      </c>
    </row>
    <row r="154" spans="1:21" x14ac:dyDescent="0.15">
      <c r="A154" s="177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70"/>
      <c r="R154" s="70"/>
      <c r="S154" s="70"/>
      <c r="T154" s="21"/>
      <c r="U154" s="21"/>
    </row>
    <row r="155" spans="1:21" x14ac:dyDescent="0.15">
      <c r="A155" s="176" t="s">
        <v>62</v>
      </c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69"/>
      <c r="R155" s="69"/>
      <c r="S155" s="69"/>
      <c r="T155" s="14"/>
      <c r="U155" s="14"/>
    </row>
    <row r="156" spans="1:21" x14ac:dyDescent="0.15">
      <c r="A156" s="177" t="s">
        <v>9</v>
      </c>
      <c r="B156" s="216">
        <f t="shared" ref="B156:N156" si="77">IF(B61&lt;&gt;0,((B239/B61)/B$1),0)</f>
        <v>0.20725806451612902</v>
      </c>
      <c r="C156" s="216">
        <f t="shared" si="77"/>
        <v>0.20625000000000002</v>
      </c>
      <c r="D156" s="216">
        <f t="shared" si="77"/>
        <v>0.20701612903225805</v>
      </c>
      <c r="E156" s="216">
        <f t="shared" si="77"/>
        <v>0.20608333333333334</v>
      </c>
      <c r="F156" s="216">
        <f t="shared" si="77"/>
        <v>0.20661290322580644</v>
      </c>
      <c r="G156" s="216">
        <f t="shared" si="77"/>
        <v>0.20691666666666669</v>
      </c>
      <c r="H156" s="216">
        <f t="shared" si="77"/>
        <v>0.20725806451612902</v>
      </c>
      <c r="I156" s="216">
        <f t="shared" si="77"/>
        <v>0.20701612903225805</v>
      </c>
      <c r="J156" s="216">
        <f t="shared" si="77"/>
        <v>0.19891666666666666</v>
      </c>
      <c r="K156" s="216">
        <f t="shared" si="77"/>
        <v>0.20399999999999999</v>
      </c>
      <c r="L156" s="216">
        <f t="shared" si="77"/>
        <v>0.20400000000000001</v>
      </c>
      <c r="M156" s="216">
        <f t="shared" si="77"/>
        <v>0.20399999999999999</v>
      </c>
      <c r="N156" s="23">
        <f t="shared" si="77"/>
        <v>0.20545342465753427</v>
      </c>
      <c r="O156" s="23"/>
      <c r="P156" s="23">
        <f>IF(P61&lt;&gt;0,((P239/P61)/P$1),0)</f>
        <v>0.61961538461538457</v>
      </c>
      <c r="Q156" s="80"/>
      <c r="R156" s="80"/>
      <c r="S156" s="80"/>
      <c r="T156" s="23">
        <f t="shared" ref="T156:U159" si="78">IF(T61&lt;&gt;0,((T239/T61)/T$1),0)</f>
        <v>0.20400000000000001</v>
      </c>
      <c r="U156" s="23">
        <f t="shared" si="78"/>
        <v>0.20400000000000001</v>
      </c>
    </row>
    <row r="157" spans="1:21" x14ac:dyDescent="0.15">
      <c r="A157" s="177" t="s">
        <v>36</v>
      </c>
      <c r="B157" s="216">
        <f t="shared" ref="B157:N157" si="79">IF(B62&lt;&gt;0,((B240/B62)/B$1),0)</f>
        <v>1.1525539635370344E-2</v>
      </c>
      <c r="C157" s="216">
        <f t="shared" si="79"/>
        <v>1.6963183107383737E-2</v>
      </c>
      <c r="D157" s="216">
        <f t="shared" si="79"/>
        <v>1.1779630300833635E-2</v>
      </c>
      <c r="E157" s="216">
        <f t="shared" si="79"/>
        <v>1.1074561403508772E-2</v>
      </c>
      <c r="F157" s="216">
        <f t="shared" si="79"/>
        <v>1.0807270345505158E-2</v>
      </c>
      <c r="G157" s="216">
        <f t="shared" si="79"/>
        <v>1.0952380952380953E-2</v>
      </c>
      <c r="H157" s="216">
        <f t="shared" si="79"/>
        <v>1.1853357040047413E-2</v>
      </c>
      <c r="I157" s="216">
        <f t="shared" si="79"/>
        <v>1.2186379928315411E-2</v>
      </c>
      <c r="J157" s="216">
        <f t="shared" si="79"/>
        <v>1.0363247863247863E-2</v>
      </c>
      <c r="K157" s="216">
        <f t="shared" si="79"/>
        <v>1.4159999999999999E-2</v>
      </c>
      <c r="L157" s="216">
        <f t="shared" si="79"/>
        <v>1.4159999999999999E-2</v>
      </c>
      <c r="M157" s="216">
        <f t="shared" si="79"/>
        <v>1.4159999999999997E-2</v>
      </c>
      <c r="N157" s="23">
        <f t="shared" si="79"/>
        <v>1.2254192143699539E-2</v>
      </c>
      <c r="O157" s="23"/>
      <c r="P157" s="23">
        <f>IF(P62&lt;&gt;0,((P240/P62)/P$1),0)</f>
        <v>3.2827931562108781E-2</v>
      </c>
      <c r="Q157" s="80"/>
      <c r="R157" s="80"/>
      <c r="S157" s="80"/>
      <c r="T157" s="23">
        <f t="shared" si="78"/>
        <v>1.4138275068493149E-2</v>
      </c>
      <c r="U157" s="23">
        <f t="shared" si="78"/>
        <v>1.4138275068493149E-2</v>
      </c>
    </row>
    <row r="158" spans="1:21" x14ac:dyDescent="0.15">
      <c r="A158" s="177" t="s">
        <v>45</v>
      </c>
      <c r="B158" s="216">
        <f t="shared" ref="B158:N158" si="80">IF(B63&lt;&gt;0,((B241/B63)/B$1),0)</f>
        <v>0</v>
      </c>
      <c r="C158" s="216">
        <f t="shared" si="80"/>
        <v>0</v>
      </c>
      <c r="D158" s="216">
        <f t="shared" si="80"/>
        <v>0</v>
      </c>
      <c r="E158" s="216">
        <f t="shared" si="80"/>
        <v>0</v>
      </c>
      <c r="F158" s="216">
        <f t="shared" si="80"/>
        <v>0</v>
      </c>
      <c r="G158" s="216">
        <f t="shared" si="80"/>
        <v>0</v>
      </c>
      <c r="H158" s="216">
        <f t="shared" si="80"/>
        <v>0</v>
      </c>
      <c r="I158" s="216">
        <f t="shared" si="80"/>
        <v>0</v>
      </c>
      <c r="J158" s="216">
        <f t="shared" si="80"/>
        <v>0</v>
      </c>
      <c r="K158" s="216">
        <f t="shared" si="80"/>
        <v>0</v>
      </c>
      <c r="L158" s="216">
        <f t="shared" si="80"/>
        <v>0</v>
      </c>
      <c r="M158" s="216">
        <f t="shared" si="80"/>
        <v>0</v>
      </c>
      <c r="N158" s="23">
        <f t="shared" si="80"/>
        <v>0</v>
      </c>
      <c r="O158" s="23"/>
      <c r="P158" s="23">
        <f>IF(P63&lt;&gt;0,((P241/P63)/P$1),0)</f>
        <v>0</v>
      </c>
      <c r="Q158" s="80"/>
      <c r="R158" s="80"/>
      <c r="S158" s="80"/>
      <c r="T158" s="23">
        <f t="shared" si="78"/>
        <v>0</v>
      </c>
      <c r="U158" s="23">
        <f t="shared" si="78"/>
        <v>0</v>
      </c>
    </row>
    <row r="159" spans="1:21" x14ac:dyDescent="0.15">
      <c r="A159" s="177" t="s">
        <v>37</v>
      </c>
      <c r="B159" s="216">
        <f t="shared" ref="B159:N159" si="81">IF(B64&lt;&gt;0,((B242/B64)/B$1),0)</f>
        <v>0.21820562243153796</v>
      </c>
      <c r="C159" s="216">
        <f t="shared" si="81"/>
        <v>0.22418431399599914</v>
      </c>
      <c r="D159" s="216">
        <f t="shared" si="81"/>
        <v>0.29032258064516131</v>
      </c>
      <c r="E159" s="216">
        <f t="shared" si="81"/>
        <v>0</v>
      </c>
      <c r="F159" s="216">
        <f t="shared" si="81"/>
        <v>0.217921146953405</v>
      </c>
      <c r="G159" s="216">
        <f t="shared" si="81"/>
        <v>0.21521739130434786</v>
      </c>
      <c r="H159" s="216">
        <f t="shared" si="81"/>
        <v>0.25806451612903225</v>
      </c>
      <c r="I159" s="216">
        <f t="shared" si="81"/>
        <v>0.21658986175115211</v>
      </c>
      <c r="J159" s="216">
        <f t="shared" si="81"/>
        <v>0</v>
      </c>
      <c r="K159" s="216">
        <f t="shared" si="81"/>
        <v>0</v>
      </c>
      <c r="L159" s="216">
        <f t="shared" si="81"/>
        <v>0</v>
      </c>
      <c r="M159" s="216">
        <f t="shared" si="81"/>
        <v>0</v>
      </c>
      <c r="N159" s="23">
        <f t="shared" si="81"/>
        <v>0.22031915096522312</v>
      </c>
      <c r="O159" s="23"/>
      <c r="P159" s="23">
        <f>IF(P64&lt;&gt;0,((P242/P64)/P$1),0)</f>
        <v>0.65318198285231255</v>
      </c>
      <c r="Q159" s="80"/>
      <c r="R159" s="80"/>
      <c r="S159" s="80"/>
      <c r="T159" s="23">
        <f t="shared" si="78"/>
        <v>0</v>
      </c>
      <c r="U159" s="23">
        <f t="shared" si="78"/>
        <v>0</v>
      </c>
    </row>
    <row r="160" spans="1:21" x14ac:dyDescent="0.15">
      <c r="A160" s="177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70"/>
      <c r="R160" s="70"/>
      <c r="S160" s="70"/>
      <c r="T160" s="21"/>
      <c r="U160" s="21"/>
    </row>
    <row r="161" spans="1:21" x14ac:dyDescent="0.15">
      <c r="A161" s="176" t="s">
        <v>29</v>
      </c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69"/>
      <c r="R161" s="69"/>
      <c r="S161" s="69"/>
      <c r="T161" s="14"/>
      <c r="U161" s="14"/>
    </row>
    <row r="162" spans="1:21" x14ac:dyDescent="0.15">
      <c r="A162" s="177" t="s">
        <v>9</v>
      </c>
      <c r="B162" s="216">
        <f t="shared" ref="B162:N162" si="82">IF(B68&lt;&gt;0,((B246/B68)/B$1),0)</f>
        <v>0.18035190615835778</v>
      </c>
      <c r="C162" s="216">
        <f t="shared" si="82"/>
        <v>0.14964285714285716</v>
      </c>
      <c r="D162" s="216">
        <f t="shared" si="82"/>
        <v>0.12325806451612904</v>
      </c>
      <c r="E162" s="216">
        <f t="shared" si="82"/>
        <v>0.14320000000000002</v>
      </c>
      <c r="F162" s="216">
        <f t="shared" si="82"/>
        <v>0.14903225806451614</v>
      </c>
      <c r="G162" s="216">
        <f t="shared" si="82"/>
        <v>0.11939999999999999</v>
      </c>
      <c r="H162" s="216">
        <f t="shared" si="82"/>
        <v>0.14741935483870969</v>
      </c>
      <c r="I162" s="216">
        <f t="shared" si="82"/>
        <v>0.14945161290322581</v>
      </c>
      <c r="J162" s="216">
        <f t="shared" si="82"/>
        <v>0.14906666666666665</v>
      </c>
      <c r="K162" s="216">
        <f t="shared" si="82"/>
        <v>0.14949599999999999</v>
      </c>
      <c r="L162" s="216">
        <f t="shared" si="82"/>
        <v>0.14949600000000002</v>
      </c>
      <c r="M162" s="216">
        <f t="shared" si="82"/>
        <v>0.13522400000000001</v>
      </c>
      <c r="N162" s="23">
        <f t="shared" si="82"/>
        <v>0.14589196141360652</v>
      </c>
      <c r="O162" s="23"/>
      <c r="P162" s="23">
        <f>IF(P68&lt;&gt;0,((P246/P68)/P$1),0)</f>
        <v>0.41202197802197804</v>
      </c>
      <c r="Q162" s="80" t="e">
        <f>IF(#REF!=0,0,#REF!/#REF!)</f>
        <v>#REF!</v>
      </c>
      <c r="R162" s="80" t="e">
        <f>IF(#REF!=0,0,#REF!/#REF!)</f>
        <v>#REF!</v>
      </c>
      <c r="S162" s="80" t="e">
        <f>IF(#REF!=0,0,#REF!/#REF!)</f>
        <v>#REF!</v>
      </c>
      <c r="T162" s="23">
        <f t="shared" ref="T162:U165" si="83">IF(T68&lt;&gt;0,((T246/T68)/T$1),0)</f>
        <v>0.14837633307638728</v>
      </c>
      <c r="U162" s="23">
        <f t="shared" si="83"/>
        <v>0.14837633307638728</v>
      </c>
    </row>
    <row r="163" spans="1:21" x14ac:dyDescent="0.15">
      <c r="A163" s="177" t="s">
        <v>10</v>
      </c>
      <c r="B163" s="216">
        <f t="shared" ref="B163:N163" si="84">IF(B69&lt;&gt;0,((B247/B69)/B$1),0)</f>
        <v>1.1026890174379241E-2</v>
      </c>
      <c r="C163" s="216">
        <f t="shared" si="84"/>
        <v>1.0351012234896461E-2</v>
      </c>
      <c r="D163" s="216">
        <f t="shared" si="84"/>
        <v>1.0769621539243079E-2</v>
      </c>
      <c r="E163" s="216">
        <f t="shared" si="84"/>
        <v>1.1222540592168099E-2</v>
      </c>
      <c r="F163" s="216">
        <f t="shared" si="84"/>
        <v>1.1322367015594959E-2</v>
      </c>
      <c r="G163" s="216">
        <f t="shared" si="84"/>
        <v>1.1672794117647061E-2</v>
      </c>
      <c r="H163" s="216">
        <f t="shared" si="84"/>
        <v>1.1612903225806451E-2</v>
      </c>
      <c r="I163" s="216">
        <f t="shared" si="84"/>
        <v>1.1774682801135066E-2</v>
      </c>
      <c r="J163" s="216">
        <f t="shared" si="84"/>
        <v>1.1741682974559686E-2</v>
      </c>
      <c r="K163" s="216">
        <f t="shared" si="84"/>
        <v>1.2160000000000001E-2</v>
      </c>
      <c r="L163" s="216">
        <f t="shared" si="84"/>
        <v>1.2160000000000001E-2</v>
      </c>
      <c r="M163" s="216">
        <f t="shared" si="84"/>
        <v>1.04E-2</v>
      </c>
      <c r="N163" s="23">
        <f t="shared" si="84"/>
        <v>1.141007236337903E-2</v>
      </c>
      <c r="O163" s="23"/>
      <c r="P163" s="23">
        <f>IF(P69&lt;&gt;0,((P247/P69)/P$1),0)</f>
        <v>3.4154631933613518E-2</v>
      </c>
      <c r="Q163" s="80" t="e">
        <f>IF(#REF!=0,0,#REF!/#REF!)</f>
        <v>#REF!</v>
      </c>
      <c r="R163" s="80" t="e">
        <f>IF(#REF!=0,0,#REF!/#REF!)</f>
        <v>#REF!</v>
      </c>
      <c r="S163" s="80" t="e">
        <f>IF(#REF!=0,0,#REF!/#REF!)</f>
        <v>#REF!</v>
      </c>
      <c r="T163" s="23">
        <f t="shared" si="83"/>
        <v>1.2033988649602761E-2</v>
      </c>
      <c r="U163" s="23">
        <f t="shared" si="83"/>
        <v>1.2033988649602761E-2</v>
      </c>
    </row>
    <row r="164" spans="1:21" x14ac:dyDescent="0.15">
      <c r="A164" s="177" t="s">
        <v>11</v>
      </c>
      <c r="B164" s="216">
        <f t="shared" ref="B164:N164" si="85">IF(B70&lt;&gt;0,((B248/B70)/B$1),0)</f>
        <v>0</v>
      </c>
      <c r="C164" s="216">
        <f t="shared" si="85"/>
        <v>0</v>
      </c>
      <c r="D164" s="216">
        <f t="shared" si="85"/>
        <v>0</v>
      </c>
      <c r="E164" s="216">
        <f t="shared" si="85"/>
        <v>0</v>
      </c>
      <c r="F164" s="216">
        <f t="shared" si="85"/>
        <v>0</v>
      </c>
      <c r="G164" s="216">
        <f t="shared" si="85"/>
        <v>0</v>
      </c>
      <c r="H164" s="216">
        <f t="shared" si="85"/>
        <v>0</v>
      </c>
      <c r="I164" s="216">
        <f t="shared" si="85"/>
        <v>0</v>
      </c>
      <c r="J164" s="216">
        <f t="shared" si="85"/>
        <v>0</v>
      </c>
      <c r="K164" s="216">
        <f t="shared" si="85"/>
        <v>0</v>
      </c>
      <c r="L164" s="216">
        <f t="shared" si="85"/>
        <v>0</v>
      </c>
      <c r="M164" s="216">
        <f t="shared" si="85"/>
        <v>0</v>
      </c>
      <c r="N164" s="23">
        <f t="shared" si="85"/>
        <v>0</v>
      </c>
      <c r="O164" s="23"/>
      <c r="P164" s="23">
        <f>IF(P70&lt;&gt;0,((P248/P70)/P$1),0)</f>
        <v>0</v>
      </c>
      <c r="Q164" s="80" t="e">
        <f>IF(#REF!=0,0,#REF!/#REF!)</f>
        <v>#REF!</v>
      </c>
      <c r="R164" s="80" t="e">
        <f>IF(#REF!=0,0,#REF!/#REF!)</f>
        <v>#REF!</v>
      </c>
      <c r="S164" s="80" t="e">
        <f>IF(#REF!=0,0,#REF!/#REF!)</f>
        <v>#REF!</v>
      </c>
      <c r="T164" s="23">
        <f t="shared" si="83"/>
        <v>0</v>
      </c>
      <c r="U164" s="23">
        <f t="shared" si="83"/>
        <v>0</v>
      </c>
    </row>
    <row r="165" spans="1:21" x14ac:dyDescent="0.15">
      <c r="A165" s="177" t="s">
        <v>15</v>
      </c>
      <c r="B165" s="216">
        <f t="shared" ref="B165:N165" si="86">IF(B71&lt;&gt;0,((B249/B71)/B$1),0)</f>
        <v>0.28530127814972611</v>
      </c>
      <c r="C165" s="216">
        <f t="shared" si="86"/>
        <v>0.21281535366042406</v>
      </c>
      <c r="D165" s="216">
        <f t="shared" si="86"/>
        <v>0.21534437663469921</v>
      </c>
      <c r="E165" s="216">
        <f t="shared" si="86"/>
        <v>0.21666666666666665</v>
      </c>
      <c r="F165" s="216">
        <f t="shared" si="86"/>
        <v>0.2198641765704584</v>
      </c>
      <c r="G165" s="216">
        <f t="shared" si="86"/>
        <v>0.21481481481481479</v>
      </c>
      <c r="H165" s="216">
        <f t="shared" si="86"/>
        <v>0.20161290322580644</v>
      </c>
      <c r="I165" s="216">
        <f t="shared" si="86"/>
        <v>0.25806451612903225</v>
      </c>
      <c r="J165" s="216">
        <f t="shared" si="86"/>
        <v>0</v>
      </c>
      <c r="K165" s="216">
        <f t="shared" si="86"/>
        <v>0.05</v>
      </c>
      <c r="L165" s="216">
        <f t="shared" si="86"/>
        <v>5.16E-2</v>
      </c>
      <c r="M165" s="216">
        <f t="shared" si="86"/>
        <v>5.3299999999999993E-2</v>
      </c>
      <c r="N165" s="23">
        <f t="shared" si="86"/>
        <v>0.11999140549576266</v>
      </c>
      <c r="O165" s="23"/>
      <c r="P165" s="23">
        <f>IF(P71&lt;&gt;0,((P249/P71)/P$1),0)</f>
        <v>0.65293040293040294</v>
      </c>
      <c r="Q165" s="80" t="e">
        <f>(#REF!+#REF!)/#REF!</f>
        <v>#REF!</v>
      </c>
      <c r="R165" s="80" t="e">
        <f>(#REF!+#REF!)/#REF!</f>
        <v>#REF!</v>
      </c>
      <c r="S165" s="80" t="e">
        <f>(#REF!+#REF!)/#REF!</f>
        <v>#REF!</v>
      </c>
      <c r="T165" s="23">
        <f t="shared" si="83"/>
        <v>5.6173284394048638E-2</v>
      </c>
      <c r="U165" s="23">
        <f t="shared" si="83"/>
        <v>5.6173284394048638E-2</v>
      </c>
    </row>
    <row r="166" spans="1:21" x14ac:dyDescent="0.15">
      <c r="A166" s="177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70"/>
      <c r="R166" s="70"/>
      <c r="S166" s="70"/>
      <c r="T166" s="21"/>
      <c r="U166" s="21"/>
    </row>
    <row r="167" spans="1:21" x14ac:dyDescent="0.15">
      <c r="A167" s="176" t="s">
        <v>34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69"/>
      <c r="R167" s="69"/>
      <c r="S167" s="69"/>
      <c r="T167" s="14"/>
      <c r="U167" s="14"/>
    </row>
    <row r="168" spans="1:21" x14ac:dyDescent="0.15">
      <c r="A168" s="177" t="s">
        <v>9</v>
      </c>
      <c r="B168" s="216">
        <f t="shared" ref="B168:N168" si="87">IF(B78&lt;&gt;0,((B257/B78)/B$1),0)</f>
        <v>5.0270779373675537E-2</v>
      </c>
      <c r="C168" s="216">
        <f t="shared" si="87"/>
        <v>4.0537017726798748E-2</v>
      </c>
      <c r="D168" s="216">
        <f t="shared" si="87"/>
        <v>4.5655757004944668E-2</v>
      </c>
      <c r="E168" s="216">
        <f t="shared" si="87"/>
        <v>4.5669099756690992E-2</v>
      </c>
      <c r="F168" s="216">
        <f t="shared" si="87"/>
        <v>4.5691076053684956E-2</v>
      </c>
      <c r="G168" s="216">
        <f t="shared" si="87"/>
        <v>4.5790754257907539E-2</v>
      </c>
      <c r="H168" s="216">
        <f t="shared" si="87"/>
        <v>4.3481619635151687E-2</v>
      </c>
      <c r="I168" s="216">
        <f t="shared" si="87"/>
        <v>4.1208215156765586E-2</v>
      </c>
      <c r="J168" s="216">
        <f t="shared" si="87"/>
        <v>4.8604382929642441E-2</v>
      </c>
      <c r="K168" s="216">
        <f t="shared" si="87"/>
        <v>4.5201056934306566E-2</v>
      </c>
      <c r="L168" s="216">
        <f t="shared" si="87"/>
        <v>4.7386683211678833E-2</v>
      </c>
      <c r="M168" s="216">
        <f t="shared" si="87"/>
        <v>4.7648820437956207E-2</v>
      </c>
      <c r="N168" s="23">
        <f t="shared" si="87"/>
        <v>4.5606499287749978E-2</v>
      </c>
      <c r="O168" s="23"/>
      <c r="P168" s="23">
        <f>IF(P78&lt;&gt;0,((P257/P78)/P$1),0)</f>
        <v>0.13715007620117109</v>
      </c>
      <c r="Q168" s="80" t="e">
        <f>(#REF!+#REF!)/(#REF!+#REF!)</f>
        <v>#REF!</v>
      </c>
      <c r="R168" s="80" t="e">
        <f>(#REF!+#REF!)/(#REF!+#REF!)</f>
        <v>#REF!</v>
      </c>
      <c r="S168" s="80" t="e">
        <f>(#REF!+#REF!)/(#REF!+#REF!)</f>
        <v>#REF!</v>
      </c>
      <c r="T168" s="23">
        <f t="shared" ref="T168:U171" si="88">IF(T78&lt;&gt;0,((T257/T78)/T$1),0)</f>
        <v>4.5275195171702004E-2</v>
      </c>
      <c r="U168" s="23">
        <f t="shared" si="88"/>
        <v>4.5275195171702004E-2</v>
      </c>
    </row>
    <row r="169" spans="1:21" x14ac:dyDescent="0.15">
      <c r="A169" s="177" t="s">
        <v>10</v>
      </c>
      <c r="B169" s="216">
        <f t="shared" ref="B169:N169" si="89">IF(B79&lt;&gt;0,((B258/B79)/B$1),0)</f>
        <v>1.0839631046058269E-3</v>
      </c>
      <c r="C169" s="216">
        <f t="shared" si="89"/>
        <v>1.1710513757804326E-3</v>
      </c>
      <c r="D169" s="216">
        <f t="shared" si="89"/>
        <v>1.0953048821211514E-3</v>
      </c>
      <c r="E169" s="216">
        <f t="shared" si="89"/>
        <v>1.0985053124437239E-3</v>
      </c>
      <c r="F169" s="216">
        <f t="shared" si="89"/>
        <v>1.096897787665307E-3</v>
      </c>
      <c r="G169" s="216">
        <f t="shared" si="89"/>
        <v>1.093951093951094E-3</v>
      </c>
      <c r="H169" s="216">
        <f t="shared" si="89"/>
        <v>3.2975523607163548E-3</v>
      </c>
      <c r="I169" s="216">
        <f t="shared" si="89"/>
        <v>3.3098250884741709E-3</v>
      </c>
      <c r="J169" s="216">
        <f t="shared" si="89"/>
        <v>1.1059123777116121E-3</v>
      </c>
      <c r="K169" s="216">
        <f t="shared" si="89"/>
        <v>1.7021897810218982E-3</v>
      </c>
      <c r="L169" s="216">
        <f t="shared" si="89"/>
        <v>1.7021897810218978E-3</v>
      </c>
      <c r="M169" s="216">
        <f t="shared" si="89"/>
        <v>1.702189781021898E-3</v>
      </c>
      <c r="N169" s="23">
        <f t="shared" si="89"/>
        <v>1.6552084180619577E-3</v>
      </c>
      <c r="O169" s="23"/>
      <c r="P169" s="23">
        <f>IF(P79&lt;&gt;0,((P258/P79)/P$1),0)</f>
        <v>3.2906704009681891E-3</v>
      </c>
      <c r="Q169" s="80" t="e">
        <f>#REF!</f>
        <v>#REF!</v>
      </c>
      <c r="R169" s="80" t="e">
        <f>#REF!</f>
        <v>#REF!</v>
      </c>
      <c r="S169" s="80" t="e">
        <f>#REF!</f>
        <v>#REF!</v>
      </c>
      <c r="T169" s="23">
        <f t="shared" si="88"/>
        <v>1.6663624575195483E-3</v>
      </c>
      <c r="U169" s="23">
        <f t="shared" si="88"/>
        <v>1.6663624575195483E-3</v>
      </c>
    </row>
    <row r="170" spans="1:21" x14ac:dyDescent="0.15">
      <c r="A170" s="177" t="s">
        <v>11</v>
      </c>
      <c r="B170" s="216">
        <f t="shared" ref="B170:N170" si="90">IF(B80&lt;&gt;0,((B259/B80)/B$1),0)</f>
        <v>2.1505376344086021E-3</v>
      </c>
      <c r="C170" s="216">
        <f t="shared" si="90"/>
        <v>0</v>
      </c>
      <c r="D170" s="216">
        <f t="shared" si="90"/>
        <v>0</v>
      </c>
      <c r="E170" s="216">
        <f t="shared" si="90"/>
        <v>0</v>
      </c>
      <c r="F170" s="216">
        <f t="shared" si="90"/>
        <v>0</v>
      </c>
      <c r="G170" s="216">
        <f t="shared" si="90"/>
        <v>0</v>
      </c>
      <c r="H170" s="216">
        <f t="shared" si="90"/>
        <v>0</v>
      </c>
      <c r="I170" s="216">
        <f t="shared" si="90"/>
        <v>0</v>
      </c>
      <c r="J170" s="216">
        <f t="shared" si="90"/>
        <v>0</v>
      </c>
      <c r="K170" s="216">
        <f t="shared" si="90"/>
        <v>0</v>
      </c>
      <c r="L170" s="216">
        <f t="shared" si="90"/>
        <v>0</v>
      </c>
      <c r="M170" s="216">
        <f t="shared" si="90"/>
        <v>0</v>
      </c>
      <c r="N170" s="23">
        <f t="shared" si="90"/>
        <v>1.1065129351362118E-3</v>
      </c>
      <c r="O170" s="23"/>
      <c r="P170" s="23">
        <f>IF(P80&lt;&gt;0,((P259/P80)/P$1),0)</f>
        <v>0</v>
      </c>
      <c r="Q170" s="80"/>
      <c r="R170" s="80"/>
      <c r="S170" s="80"/>
      <c r="T170" s="23">
        <f t="shared" si="88"/>
        <v>0</v>
      </c>
      <c r="U170" s="23">
        <f t="shared" si="88"/>
        <v>0</v>
      </c>
    </row>
    <row r="171" spans="1:21" x14ac:dyDescent="0.15">
      <c r="A171" s="177" t="s">
        <v>15</v>
      </c>
      <c r="B171" s="216">
        <f t="shared" ref="B171:N171" si="91">IF(B81&lt;&gt;0,((B260/B81)/B$1),0)</f>
        <v>3.1122790016657766E-2</v>
      </c>
      <c r="C171" s="216">
        <f t="shared" si="91"/>
        <v>0.10254630360016406</v>
      </c>
      <c r="D171" s="216">
        <f t="shared" si="91"/>
        <v>9.3548387096774197E-2</v>
      </c>
      <c r="E171" s="216">
        <f t="shared" si="91"/>
        <v>0.10104166666666665</v>
      </c>
      <c r="F171" s="216">
        <f t="shared" si="91"/>
        <v>0.10282258064516128</v>
      </c>
      <c r="G171" s="216">
        <f t="shared" si="91"/>
        <v>0.10289855072463767</v>
      </c>
      <c r="H171" s="216">
        <f t="shared" si="91"/>
        <v>4.2680746913070979E-2</v>
      </c>
      <c r="I171" s="216">
        <f t="shared" si="91"/>
        <v>3.0981542176988099E-2</v>
      </c>
      <c r="J171" s="216">
        <f t="shared" si="91"/>
        <v>0</v>
      </c>
      <c r="K171" s="216">
        <f t="shared" si="91"/>
        <v>3.0000000000000002E-2</v>
      </c>
      <c r="L171" s="216">
        <f t="shared" si="91"/>
        <v>3.0000000000000002E-2</v>
      </c>
      <c r="M171" s="216">
        <f t="shared" si="91"/>
        <v>3.0000000000000002E-2</v>
      </c>
      <c r="N171" s="23">
        <f t="shared" si="91"/>
        <v>4.2473473208364594E-2</v>
      </c>
      <c r="O171" s="23"/>
      <c r="P171" s="23">
        <f>IF(P81&lt;&gt;0,((P260/P81)/P$1),0)</f>
        <v>0.30637032140791537</v>
      </c>
      <c r="Q171" s="80" t="e">
        <f>#REF!</f>
        <v>#REF!</v>
      </c>
      <c r="R171" s="80" t="e">
        <f>#REF!</f>
        <v>#REF!</v>
      </c>
      <c r="S171" s="80" t="e">
        <f>#REF!</f>
        <v>#REF!</v>
      </c>
      <c r="T171" s="23">
        <f t="shared" si="88"/>
        <v>3.0088162030422735E-2</v>
      </c>
      <c r="U171" s="23">
        <f t="shared" si="88"/>
        <v>3.0088162030422735E-2</v>
      </c>
    </row>
    <row r="172" spans="1:21" x14ac:dyDescent="0.15">
      <c r="A172" s="177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70"/>
      <c r="R172" s="70"/>
      <c r="S172" s="70"/>
      <c r="T172" s="21"/>
      <c r="U172" s="21"/>
    </row>
    <row r="173" spans="1:21" x14ac:dyDescent="0.15">
      <c r="A173" s="176" t="s">
        <v>39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69"/>
      <c r="R173" s="69"/>
      <c r="S173" s="69"/>
      <c r="T173" s="14"/>
      <c r="U173" s="14"/>
    </row>
    <row r="174" spans="1:21" x14ac:dyDescent="0.15">
      <c r="A174" s="177" t="s">
        <v>9</v>
      </c>
      <c r="B174" s="216">
        <f t="shared" ref="B174:N174" si="92">IF(B85&lt;&gt;0,((B264/B85)/B$1),0)</f>
        <v>3.8680908493662673E-2</v>
      </c>
      <c r="C174" s="216">
        <f t="shared" si="92"/>
        <v>4.1840508615797536E-2</v>
      </c>
      <c r="D174" s="216">
        <f t="shared" si="92"/>
        <v>4.1890143430612536E-2</v>
      </c>
      <c r="E174" s="216">
        <f t="shared" si="92"/>
        <v>5.0115566274746254E-2</v>
      </c>
      <c r="F174" s="216">
        <f t="shared" si="92"/>
        <v>5.382343288480472E-2</v>
      </c>
      <c r="G174" s="216">
        <f t="shared" si="92"/>
        <v>4.9156983367509684E-2</v>
      </c>
      <c r="H174" s="216">
        <f t="shared" si="92"/>
        <v>4.3984448880949885E-2</v>
      </c>
      <c r="I174" s="216">
        <f t="shared" si="92"/>
        <v>5.1549858148576239E-2</v>
      </c>
      <c r="J174" s="216">
        <f t="shared" si="92"/>
        <v>3.7847907078676309E-2</v>
      </c>
      <c r="K174" s="216">
        <f t="shared" si="92"/>
        <v>3.5472336836071837E-2</v>
      </c>
      <c r="L174" s="216">
        <f t="shared" si="92"/>
        <v>3.4305161444401988E-2</v>
      </c>
      <c r="M174" s="216">
        <f t="shared" si="92"/>
        <v>3.3381161444401987E-2</v>
      </c>
      <c r="N174" s="23">
        <f t="shared" si="92"/>
        <v>4.3082447642590831E-2</v>
      </c>
      <c r="O174" s="23"/>
      <c r="P174" s="23">
        <f>IF(P85&lt;&gt;0,((P264/P85)/P$1),0)</f>
        <v>0.15315298264706229</v>
      </c>
      <c r="Q174" s="80" t="e">
        <f>IF(#REF!=0,0,#REF!/#REF!)</f>
        <v>#REF!</v>
      </c>
      <c r="R174" s="80" t="e">
        <f>IF(#REF!=0,0,#REF!/#REF!)</f>
        <v>#REF!</v>
      </c>
      <c r="S174" s="80" t="e">
        <f>IF(#REF!=0,0,#REF!/#REF!)</f>
        <v>#REF!</v>
      </c>
      <c r="T174" s="23">
        <f t="shared" ref="T174:U177" si="93">IF(T85&lt;&gt;0,((T264/T85)/T$1),0)</f>
        <v>2.853405430505053E-2</v>
      </c>
      <c r="U174" s="23">
        <f t="shared" si="93"/>
        <v>2.853405430505053E-2</v>
      </c>
    </row>
    <row r="175" spans="1:21" x14ac:dyDescent="0.15">
      <c r="A175" s="177" t="s">
        <v>10</v>
      </c>
      <c r="B175" s="216">
        <f t="shared" ref="B175:N175" si="94">IF(B86&lt;&gt;0,((B265/B86)/B$1),0)</f>
        <v>3.2908976650121223E-3</v>
      </c>
      <c r="C175" s="216">
        <f t="shared" si="94"/>
        <v>3.3197745691988904E-3</v>
      </c>
      <c r="D175" s="216">
        <f t="shared" si="94"/>
        <v>3.3042638582938526E-3</v>
      </c>
      <c r="E175" s="216">
        <f t="shared" si="94"/>
        <v>3.3027034225595951E-3</v>
      </c>
      <c r="F175" s="216">
        <f t="shared" si="94"/>
        <v>3.3055454874954694E-3</v>
      </c>
      <c r="G175" s="216">
        <f t="shared" si="94"/>
        <v>3.2881216605014385E-3</v>
      </c>
      <c r="H175" s="216">
        <f t="shared" si="94"/>
        <v>1.0965914283103354E-3</v>
      </c>
      <c r="I175" s="216">
        <f t="shared" si="94"/>
        <v>1.0967985668498728E-3</v>
      </c>
      <c r="J175" s="216">
        <f t="shared" si="94"/>
        <v>3.3058931138115772E-3</v>
      </c>
      <c r="K175" s="216">
        <f t="shared" si="94"/>
        <v>3.3E-3</v>
      </c>
      <c r="L175" s="216">
        <f t="shared" si="94"/>
        <v>3.3E-3</v>
      </c>
      <c r="M175" s="216">
        <f t="shared" si="94"/>
        <v>3.2999999999999995E-3</v>
      </c>
      <c r="N175" s="23">
        <f t="shared" si="94"/>
        <v>2.9079177338199908E-3</v>
      </c>
      <c r="O175" s="23"/>
      <c r="P175" s="23">
        <f>IF(P86&lt;&gt;0,((P265/P86)/P$1),0)</f>
        <v>9.8887287827379988E-3</v>
      </c>
      <c r="Q175" s="80" t="e">
        <f>IF(#REF!=0,0,#REF!/#REF!)</f>
        <v>#REF!</v>
      </c>
      <c r="R175" s="80" t="e">
        <f>IF(#REF!=0,0,#REF!/#REF!)</f>
        <v>#REF!</v>
      </c>
      <c r="S175" s="80" t="e">
        <f>IF(#REF!=0,0,#REF!/#REF!)</f>
        <v>#REF!</v>
      </c>
      <c r="T175" s="23">
        <f t="shared" si="93"/>
        <v>2.9068750646392E-3</v>
      </c>
      <c r="U175" s="23">
        <f t="shared" si="93"/>
        <v>2.9068750646392E-3</v>
      </c>
    </row>
    <row r="176" spans="1:21" x14ac:dyDescent="0.15">
      <c r="A176" s="177" t="s">
        <v>11</v>
      </c>
      <c r="B176" s="216">
        <f t="shared" ref="B176:N176" si="95">IF(B87&lt;&gt;0,((B266/B87)/B$1),0)</f>
        <v>0</v>
      </c>
      <c r="C176" s="216">
        <f t="shared" si="95"/>
        <v>0</v>
      </c>
      <c r="D176" s="216">
        <f t="shared" si="95"/>
        <v>0</v>
      </c>
      <c r="E176" s="216">
        <f t="shared" si="95"/>
        <v>0</v>
      </c>
      <c r="F176" s="216">
        <f t="shared" si="95"/>
        <v>0</v>
      </c>
      <c r="G176" s="216">
        <f t="shared" si="95"/>
        <v>0</v>
      </c>
      <c r="H176" s="216">
        <f t="shared" si="95"/>
        <v>0</v>
      </c>
      <c r="I176" s="216">
        <f t="shared" si="95"/>
        <v>0</v>
      </c>
      <c r="J176" s="216">
        <f t="shared" si="95"/>
        <v>0</v>
      </c>
      <c r="K176" s="216">
        <f t="shared" si="95"/>
        <v>0</v>
      </c>
      <c r="L176" s="216">
        <f t="shared" si="95"/>
        <v>0</v>
      </c>
      <c r="M176" s="216">
        <f t="shared" si="95"/>
        <v>0</v>
      </c>
      <c r="N176" s="23">
        <f t="shared" si="95"/>
        <v>0</v>
      </c>
      <c r="O176" s="23"/>
      <c r="P176" s="23">
        <f>IF(P87&lt;&gt;0,((P266/P87)/P$1),0)</f>
        <v>0</v>
      </c>
      <c r="Q176" s="80"/>
      <c r="R176" s="80"/>
      <c r="S176" s="80"/>
      <c r="T176" s="23">
        <f t="shared" si="93"/>
        <v>0</v>
      </c>
      <c r="U176" s="23">
        <f t="shared" si="93"/>
        <v>0</v>
      </c>
    </row>
    <row r="177" spans="1:28" x14ac:dyDescent="0.15">
      <c r="A177" s="177" t="s">
        <v>15</v>
      </c>
      <c r="B177" s="216">
        <f t="shared" ref="B177:N177" si="96">IF(B88&lt;&gt;0,((B267/B88)/B$1),0)</f>
        <v>3.6858352437738329E-2</v>
      </c>
      <c r="C177" s="216">
        <f t="shared" si="96"/>
        <v>4.7998337231913872E-2</v>
      </c>
      <c r="D177" s="216">
        <f t="shared" si="96"/>
        <v>5.1907834101382493E-2</v>
      </c>
      <c r="E177" s="216">
        <f t="shared" si="96"/>
        <v>4.7275641025641031E-2</v>
      </c>
      <c r="F177" s="216">
        <f t="shared" si="96"/>
        <v>5.7099856751708998E-2</v>
      </c>
      <c r="G177" s="216">
        <f t="shared" si="96"/>
        <v>4.810547875064005E-2</v>
      </c>
      <c r="H177" s="216">
        <f t="shared" si="96"/>
        <v>0.12096774193548387</v>
      </c>
      <c r="I177" s="216">
        <f t="shared" si="96"/>
        <v>9.677419354838708E-2</v>
      </c>
      <c r="J177" s="216">
        <f t="shared" si="96"/>
        <v>4.9654049654049648E-3</v>
      </c>
      <c r="K177" s="216">
        <f t="shared" si="96"/>
        <v>1.5100000000000001E-2</v>
      </c>
      <c r="L177" s="216">
        <f t="shared" si="96"/>
        <v>1.5100000000000001E-2</v>
      </c>
      <c r="M177" s="216">
        <f t="shared" si="96"/>
        <v>1.5100000000000002E-2</v>
      </c>
      <c r="N177" s="23">
        <f t="shared" si="96"/>
        <v>3.9585762776855035E-2</v>
      </c>
      <c r="O177" s="23"/>
      <c r="P177" s="23">
        <f>IF(P88&lt;&gt;0,((P267/P88)/P$1),0)</f>
        <v>0.15530830915446303</v>
      </c>
      <c r="Q177" s="80" t="e">
        <f>IF(#REF!=0,0,#REF!/#REF!)</f>
        <v>#REF!</v>
      </c>
      <c r="R177" s="80" t="e">
        <f>IF(#REF!=0,0,#REF!/#REF!)</f>
        <v>#REF!</v>
      </c>
      <c r="S177" s="80" t="e">
        <f>IF(#REF!=0,0,#REF!/#REF!)</f>
        <v>#REF!</v>
      </c>
      <c r="T177" s="23">
        <f t="shared" si="93"/>
        <v>1.694756818327121E-2</v>
      </c>
      <c r="U177" s="23">
        <f t="shared" si="93"/>
        <v>1.694756818327121E-2</v>
      </c>
    </row>
    <row r="178" spans="1:28" x14ac:dyDescent="0.15">
      <c r="A178" s="177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70"/>
      <c r="R178" s="70"/>
      <c r="S178" s="70"/>
      <c r="T178" s="21"/>
      <c r="U178" s="21"/>
    </row>
    <row r="179" spans="1:28" x14ac:dyDescent="0.15">
      <c r="A179" s="176" t="s">
        <v>63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69"/>
      <c r="R179" s="69"/>
      <c r="S179" s="69"/>
      <c r="T179" s="14"/>
      <c r="U179" s="14"/>
    </row>
    <row r="180" spans="1:28" x14ac:dyDescent="0.15">
      <c r="A180" s="177" t="s">
        <v>9</v>
      </c>
      <c r="B180" s="216">
        <f t="shared" ref="B180:N180" si="97">IF(B95&lt;&gt;0,((B246/B95)/B$1),0)</f>
        <v>4.2663891779396459E-2</v>
      </c>
      <c r="C180" s="216">
        <f t="shared" si="97"/>
        <v>3.2181259600614444E-2</v>
      </c>
      <c r="D180" s="216">
        <f t="shared" si="97"/>
        <v>2.65071106486299E-2</v>
      </c>
      <c r="E180" s="216">
        <f t="shared" si="97"/>
        <v>3.0795698924731184E-2</v>
      </c>
      <c r="F180" s="216">
        <f t="shared" si="97"/>
        <v>3.2049947970863683E-2</v>
      </c>
      <c r="G180" s="216">
        <f t="shared" si="97"/>
        <v>2.5677419354838707E-2</v>
      </c>
      <c r="H180" s="216">
        <f t="shared" si="97"/>
        <v>3.3504398826979469E-2</v>
      </c>
      <c r="I180" s="216">
        <f t="shared" si="97"/>
        <v>3.2195521952439854E-2</v>
      </c>
      <c r="J180" s="216">
        <f t="shared" si="97"/>
        <v>3.2057347670250896E-2</v>
      </c>
      <c r="K180" s="216">
        <f t="shared" si="97"/>
        <v>3.2149677419354837E-2</v>
      </c>
      <c r="L180" s="216">
        <f t="shared" si="97"/>
        <v>3.2149677419354837E-2</v>
      </c>
      <c r="M180" s="216">
        <f t="shared" si="97"/>
        <v>2.3264344086021505E-2</v>
      </c>
      <c r="N180" s="23">
        <f t="shared" si="97"/>
        <v>3.1257685009936947E-2</v>
      </c>
      <c r="O180" s="23"/>
      <c r="P180" s="23">
        <f>IF(P95&lt;&gt;0,((P246/P95)/P$1),0)</f>
        <v>8.8606876993973765E-2</v>
      </c>
      <c r="Q180" s="80" t="e">
        <f>IF(#REF!=0,0,#REF!/#REF!)</f>
        <v>#REF!</v>
      </c>
      <c r="R180" s="80" t="e">
        <f>IF(#REF!=0,0,#REF!/#REF!)</f>
        <v>#REF!</v>
      </c>
      <c r="S180" s="80" t="e">
        <f>IF(#REF!=0,0,#REF!/#REF!)</f>
        <v>#REF!</v>
      </c>
      <c r="T180" s="23">
        <f t="shared" ref="T180:U183" si="98">IF(T95&lt;&gt;0,((T246/T95)/T$1),0)</f>
        <v>3.1377074019737806E-2</v>
      </c>
      <c r="U180" s="23">
        <f t="shared" si="98"/>
        <v>3.1377074019737806E-2</v>
      </c>
    </row>
    <row r="181" spans="1:28" x14ac:dyDescent="0.15">
      <c r="A181" s="177" t="s">
        <v>36</v>
      </c>
      <c r="B181" s="216">
        <f t="shared" ref="B181:N181" si="99">IF(B96&lt;&gt;0,((B247/B96)/B$1),0)</f>
        <v>2.1948989816034542E-3</v>
      </c>
      <c r="C181" s="216">
        <f t="shared" si="99"/>
        <v>1.7723491618077448E-3</v>
      </c>
      <c r="D181" s="216">
        <f t="shared" si="99"/>
        <v>1.5567288134348631E-3</v>
      </c>
      <c r="E181" s="216">
        <f t="shared" si="99"/>
        <v>3.774190958002088E-3</v>
      </c>
      <c r="F181" s="216">
        <f t="shared" si="99"/>
        <v>3.8647695266568836E-3</v>
      </c>
      <c r="G181" s="216">
        <f t="shared" si="99"/>
        <v>3.5141117874930828E-3</v>
      </c>
      <c r="H181" s="216">
        <f t="shared" si="99"/>
        <v>3.6913233394171808E-3</v>
      </c>
      <c r="I181" s="216">
        <f t="shared" si="99"/>
        <v>4.0802947758663563E-3</v>
      </c>
      <c r="J181" s="216">
        <f t="shared" si="99"/>
        <v>2.7008777852802158E-3</v>
      </c>
      <c r="K181" s="216">
        <f t="shared" si="99"/>
        <v>2.7150831423702919E-3</v>
      </c>
      <c r="L181" s="216">
        <f t="shared" si="99"/>
        <v>2.7210307505682553E-3</v>
      </c>
      <c r="M181" s="216">
        <f t="shared" si="99"/>
        <v>1.8261590370448203E-3</v>
      </c>
      <c r="N181" s="23">
        <f t="shared" si="99"/>
        <v>2.7773715493949829E-3</v>
      </c>
      <c r="O181" s="23"/>
      <c r="P181" s="23">
        <f>IF(P96&lt;&gt;0,((P247/P96)/P$1),0)</f>
        <v>1.1155246027857493E-2</v>
      </c>
      <c r="Q181" s="80" t="e">
        <f>IF(#REF!=0,0,#REF!/#REF!)</f>
        <v>#REF!</v>
      </c>
      <c r="R181" s="80" t="e">
        <f>IF(#REF!=0,0,#REF!/#REF!)</f>
        <v>#REF!</v>
      </c>
      <c r="S181" s="80" t="e">
        <f>IF(#REF!=0,0,#REF!/#REF!)</f>
        <v>#REF!</v>
      </c>
      <c r="T181" s="23">
        <f t="shared" si="98"/>
        <v>2.6096187862160295E-3</v>
      </c>
      <c r="U181" s="23">
        <f t="shared" si="98"/>
        <v>2.6096187862160295E-3</v>
      </c>
    </row>
    <row r="182" spans="1:28" x14ac:dyDescent="0.15">
      <c r="A182" s="177" t="s">
        <v>45</v>
      </c>
      <c r="B182" s="216">
        <f t="shared" ref="B182:N182" si="100">IF(B97&lt;&gt;0,((B248/B97)/B$1),0)</f>
        <v>0</v>
      </c>
      <c r="C182" s="216">
        <f t="shared" si="100"/>
        <v>0</v>
      </c>
      <c r="D182" s="216">
        <f t="shared" si="100"/>
        <v>0</v>
      </c>
      <c r="E182" s="216">
        <f t="shared" si="100"/>
        <v>0</v>
      </c>
      <c r="F182" s="216">
        <f t="shared" si="100"/>
        <v>0</v>
      </c>
      <c r="G182" s="216">
        <f t="shared" si="100"/>
        <v>0</v>
      </c>
      <c r="H182" s="216">
        <f t="shared" si="100"/>
        <v>0</v>
      </c>
      <c r="I182" s="216">
        <f t="shared" si="100"/>
        <v>0</v>
      </c>
      <c r="J182" s="216">
        <f t="shared" si="100"/>
        <v>0</v>
      </c>
      <c r="K182" s="216">
        <f t="shared" si="100"/>
        <v>0</v>
      </c>
      <c r="L182" s="216">
        <f t="shared" si="100"/>
        <v>0</v>
      </c>
      <c r="M182" s="216">
        <f t="shared" si="100"/>
        <v>0</v>
      </c>
      <c r="N182" s="23">
        <f t="shared" si="100"/>
        <v>0</v>
      </c>
      <c r="O182" s="23"/>
      <c r="P182" s="23">
        <f>IF(P97&lt;&gt;0,((P248/P97)/P$1),0)</f>
        <v>0</v>
      </c>
      <c r="Q182" s="80" t="e">
        <f>IF(#REF!=0,0,#REF!/#REF!)</f>
        <v>#REF!</v>
      </c>
      <c r="R182" s="80" t="e">
        <f>IF(#REF!=0,0,#REF!/#REF!)</f>
        <v>#REF!</v>
      </c>
      <c r="S182" s="80" t="e">
        <f>IF(#REF!=0,0,#REF!/#REF!)</f>
        <v>#REF!</v>
      </c>
      <c r="T182" s="23">
        <f t="shared" si="98"/>
        <v>0</v>
      </c>
      <c r="U182" s="23">
        <f t="shared" si="98"/>
        <v>0</v>
      </c>
    </row>
    <row r="183" spans="1:28" x14ac:dyDescent="0.15">
      <c r="A183" s="177" t="s">
        <v>37</v>
      </c>
      <c r="B183" s="216">
        <f t="shared" ref="B183:N183" si="101">IF(B98&lt;&gt;0,((B249/B98)/B$1),0)</f>
        <v>0</v>
      </c>
      <c r="C183" s="216">
        <f t="shared" si="101"/>
        <v>4.9217883094104589E-2</v>
      </c>
      <c r="D183" s="216">
        <f t="shared" si="101"/>
        <v>1.9919354838709675</v>
      </c>
      <c r="E183" s="216">
        <f t="shared" si="101"/>
        <v>0.32190476190476186</v>
      </c>
      <c r="F183" s="216">
        <f t="shared" si="101"/>
        <v>0.26108870967741932</v>
      </c>
      <c r="G183" s="216">
        <f t="shared" si="101"/>
        <v>-8.9922480620155038E-2</v>
      </c>
      <c r="H183" s="216">
        <f t="shared" si="101"/>
        <v>0</v>
      </c>
      <c r="I183" s="216">
        <f t="shared" si="101"/>
        <v>0</v>
      </c>
      <c r="J183" s="216">
        <f t="shared" si="101"/>
        <v>0</v>
      </c>
      <c r="K183" s="216">
        <f t="shared" si="101"/>
        <v>0</v>
      </c>
      <c r="L183" s="216">
        <f t="shared" si="101"/>
        <v>0</v>
      </c>
      <c r="M183" s="216">
        <f t="shared" si="101"/>
        <v>0</v>
      </c>
      <c r="N183" s="23">
        <f t="shared" si="101"/>
        <v>0.26978102064167325</v>
      </c>
      <c r="O183" s="23"/>
      <c r="P183" s="23">
        <f>IF(P98&lt;&gt;0,((P249/P98)/P$1),0)</f>
        <v>2.938186813186813</v>
      </c>
      <c r="Q183" s="80" t="e">
        <f>IF(#REF!=0,0,#REF!/#REF!)</f>
        <v>#REF!</v>
      </c>
      <c r="R183" s="80" t="e">
        <f>IF(#REF!=0,0,#REF!/#REF!)</f>
        <v>#REF!</v>
      </c>
      <c r="S183" s="80" t="e">
        <f>IF(#REF!=0,0,#REF!/#REF!)</f>
        <v>#REF!</v>
      </c>
      <c r="T183" s="23">
        <f t="shared" si="98"/>
        <v>0</v>
      </c>
      <c r="U183" s="23">
        <f t="shared" si="98"/>
        <v>0</v>
      </c>
    </row>
    <row r="184" spans="1:28" x14ac:dyDescent="0.15">
      <c r="A184" s="1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119"/>
      <c r="O184" s="119"/>
      <c r="P184" s="80"/>
      <c r="Q184" s="80"/>
      <c r="R184" s="80"/>
      <c r="S184" s="80"/>
      <c r="T184" s="119"/>
      <c r="U184" s="119"/>
    </row>
    <row r="185" spans="1:28" ht="15.75" x14ac:dyDescent="0.15">
      <c r="A185" s="174" t="s">
        <v>64</v>
      </c>
      <c r="B185" s="14"/>
      <c r="C185" s="14"/>
      <c r="D185" s="14"/>
      <c r="E185" s="14"/>
      <c r="F185" s="9"/>
      <c r="G185" s="9"/>
      <c r="H185" s="14"/>
      <c r="I185" s="14"/>
      <c r="J185" s="14"/>
      <c r="K185" s="14"/>
      <c r="L185" s="14"/>
      <c r="M185" s="14"/>
      <c r="N185" s="21"/>
      <c r="O185" s="21"/>
      <c r="P185" s="83"/>
      <c r="Q185" s="84"/>
      <c r="R185" s="84"/>
      <c r="S185" s="83"/>
      <c r="T185" s="21"/>
      <c r="U185" s="21"/>
    </row>
    <row r="186" spans="1:28" ht="15.75" x14ac:dyDescent="0.15">
      <c r="A186" s="175" t="s">
        <v>7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14"/>
      <c r="O186" s="114"/>
      <c r="P186" s="66"/>
      <c r="Q186" s="66"/>
      <c r="R186" s="66"/>
      <c r="S186" s="66"/>
      <c r="T186" s="114"/>
      <c r="U186" s="114"/>
    </row>
    <row r="187" spans="1:28" x14ac:dyDescent="0.15">
      <c r="A187" s="176" t="s">
        <v>65</v>
      </c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21"/>
      <c r="O187" s="21"/>
      <c r="P187" s="69"/>
      <c r="Q187" s="69"/>
      <c r="R187" s="69"/>
      <c r="S187" s="69"/>
      <c r="T187" s="21"/>
      <c r="U187" s="21"/>
    </row>
    <row r="188" spans="1:28" x14ac:dyDescent="0.15">
      <c r="A188" s="177" t="s">
        <v>9</v>
      </c>
      <c r="B188" s="213">
        <f>2489-B189</f>
        <v>2167</v>
      </c>
      <c r="C188" s="213">
        <f>2248-403</f>
        <v>1845</v>
      </c>
      <c r="D188" s="213">
        <f>2489.1-412</f>
        <v>2077.1</v>
      </c>
      <c r="E188" s="213">
        <v>2047.1</v>
      </c>
      <c r="F188" s="213">
        <f>1894.6+9.2</f>
        <v>1903.8</v>
      </c>
      <c r="G188" s="213">
        <f>1870.8+8.9</f>
        <v>1879.7</v>
      </c>
      <c r="H188" s="213">
        <f>2469-H189+9</f>
        <v>1941</v>
      </c>
      <c r="I188" s="213">
        <f>2565.9-I189+9.3</f>
        <v>2037.47</v>
      </c>
      <c r="J188" s="213">
        <f>2416.6-J189</f>
        <v>2074.4049999999997</v>
      </c>
      <c r="K188" s="213">
        <f>Detail!W152/1000-K189</f>
        <v>2144.13267</v>
      </c>
      <c r="L188" s="213">
        <f>Detail!X152/1000-L189</f>
        <v>2115.7521000000002</v>
      </c>
      <c r="M188" s="213">
        <f>Detail!Y152/1000-M189</f>
        <v>2186.2771699999998</v>
      </c>
      <c r="N188" s="21">
        <f>SUM(B188:M188)</f>
        <v>24418.736940000003</v>
      </c>
      <c r="O188" s="82">
        <f>SUM(B188:D188)</f>
        <v>6089.1</v>
      </c>
      <c r="P188" s="82">
        <f>SUM(E188:G188)</f>
        <v>5830.5999999999995</v>
      </c>
      <c r="Q188" s="82">
        <f>SUM(H188:J188)</f>
        <v>6052.875</v>
      </c>
      <c r="R188" s="82">
        <f>SUM(K188:M188)</f>
        <v>6446.16194</v>
      </c>
      <c r="S188" s="82">
        <f>SUM(O188:R188)</f>
        <v>24418.736940000003</v>
      </c>
      <c r="T188" s="21">
        <f>25521.2395-301.5</f>
        <v>25219.7395</v>
      </c>
      <c r="U188" s="21">
        <f>25521.2395-301.5</f>
        <v>25219.7395</v>
      </c>
    </row>
    <row r="189" spans="1:28" x14ac:dyDescent="0.15">
      <c r="A189" s="177" t="s">
        <v>66</v>
      </c>
      <c r="B189" s="213">
        <v>322</v>
      </c>
      <c r="C189" s="213">
        <v>403</v>
      </c>
      <c r="D189" s="213">
        <v>412</v>
      </c>
      <c r="E189" s="213">
        <v>361.6</v>
      </c>
      <c r="F189" s="213">
        <v>593.1</v>
      </c>
      <c r="G189" s="213">
        <v>537</v>
      </c>
      <c r="H189" s="213">
        <f>536+1</f>
        <v>537</v>
      </c>
      <c r="I189" s="213">
        <f>537+0.73</f>
        <v>537.73</v>
      </c>
      <c r="J189" s="213">
        <f>Detail!V177/1000</f>
        <v>342.19499999999999</v>
      </c>
      <c r="K189" s="213">
        <f>Detail!W177/1000</f>
        <v>353.60149999999999</v>
      </c>
      <c r="L189" s="213">
        <f>Detail!X177/1000</f>
        <v>0</v>
      </c>
      <c r="M189" s="213">
        <f>Detail!Y177/1000</f>
        <v>0</v>
      </c>
      <c r="N189" s="21">
        <f>SUM(B189:M189)</f>
        <v>4399.2264999999998</v>
      </c>
      <c r="O189" s="82">
        <f>SUM(B189:D189)</f>
        <v>1137</v>
      </c>
      <c r="P189" s="82">
        <f>SUM(E189:G189)</f>
        <v>1491.7</v>
      </c>
      <c r="Q189" s="82">
        <f>SUM(H189:J189)</f>
        <v>1416.925</v>
      </c>
      <c r="R189" s="82">
        <f>SUM(K189:M189)</f>
        <v>353.60149999999999</v>
      </c>
      <c r="S189" s="82">
        <f>SUM(O189:R189)</f>
        <v>4399.2264999999998</v>
      </c>
      <c r="T189" s="21"/>
      <c r="U189" s="21"/>
    </row>
    <row r="190" spans="1:28" x14ac:dyDescent="0.15">
      <c r="A190" s="177" t="s">
        <v>36</v>
      </c>
      <c r="B190" s="213">
        <v>322</v>
      </c>
      <c r="C190" s="213">
        <v>293</v>
      </c>
      <c r="D190" s="213">
        <f>321.3+0.4</f>
        <v>321.7</v>
      </c>
      <c r="E190" s="213">
        <v>342.7</v>
      </c>
      <c r="F190" s="213">
        <f>300.9+0.5</f>
        <v>301.39999999999998</v>
      </c>
      <c r="G190" s="213">
        <f>285.7+0.5</f>
        <v>286.2</v>
      </c>
      <c r="H190" s="213">
        <v>272</v>
      </c>
      <c r="I190" s="213">
        <f>417.3+0.7</f>
        <v>418</v>
      </c>
      <c r="J190" s="213">
        <v>346</v>
      </c>
      <c r="K190" s="213">
        <f>Detail!W166/1000</f>
        <v>323.30013500000001</v>
      </c>
      <c r="L190" s="213">
        <f>Detail!X166/1000</f>
        <v>235.63590400000004</v>
      </c>
      <c r="M190" s="213">
        <f>Detail!Y166/1000</f>
        <v>263.70410710000004</v>
      </c>
      <c r="N190" s="21">
        <f>SUM(B190:M190)</f>
        <v>3725.6401461</v>
      </c>
      <c r="O190" s="82">
        <f>SUM(B190:D190)</f>
        <v>936.7</v>
      </c>
      <c r="P190" s="82">
        <f>SUM(E190:G190)</f>
        <v>930.3</v>
      </c>
      <c r="Q190" s="82">
        <f>SUM(H190:J190)</f>
        <v>1036</v>
      </c>
      <c r="R190" s="82">
        <f>SUM(K190:M190)</f>
        <v>822.64014610000004</v>
      </c>
      <c r="S190" s="82">
        <f>SUM(O190:R190)</f>
        <v>3725.6401461</v>
      </c>
      <c r="T190" s="21">
        <v>3698.6464350000001</v>
      </c>
      <c r="U190" s="21">
        <v>3698.6464350000001</v>
      </c>
      <c r="W190" s="29"/>
      <c r="Y190" s="29"/>
      <c r="AA190" s="29"/>
    </row>
    <row r="191" spans="1:28" x14ac:dyDescent="0.15">
      <c r="A191" s="234" t="s">
        <v>45</v>
      </c>
      <c r="B191" s="213">
        <v>13</v>
      </c>
      <c r="C191" s="213">
        <v>10</v>
      </c>
      <c r="D191" s="213">
        <v>9.6999999999999993</v>
      </c>
      <c r="E191" s="217">
        <v>7.4</v>
      </c>
      <c r="F191" s="235">
        <v>43.4</v>
      </c>
      <c r="G191" s="235">
        <v>72.8</v>
      </c>
      <c r="H191" s="235">
        <v>114</v>
      </c>
      <c r="I191" s="235">
        <v>122.9</v>
      </c>
      <c r="J191" s="235"/>
      <c r="K191" s="235"/>
      <c r="L191" s="235"/>
      <c r="M191" s="235"/>
      <c r="N191" s="21">
        <f>SUM(B191:M191)</f>
        <v>393.20000000000005</v>
      </c>
      <c r="O191" s="82">
        <f>SUM(B191:D191)</f>
        <v>32.700000000000003</v>
      </c>
      <c r="P191" s="82">
        <f>SUM(E191:G191)</f>
        <v>123.6</v>
      </c>
      <c r="Q191" s="82">
        <f>SUM(H191:J191)</f>
        <v>236.9</v>
      </c>
      <c r="R191" s="82">
        <f>SUM(K191:M191)</f>
        <v>0</v>
      </c>
      <c r="S191" s="82">
        <f>SUM(O191:R191)</f>
        <v>393.20000000000005</v>
      </c>
      <c r="T191" s="21">
        <v>0</v>
      </c>
      <c r="U191" s="21">
        <v>0</v>
      </c>
      <c r="W191" s="29"/>
      <c r="Y191" s="29"/>
      <c r="AA191" s="29"/>
    </row>
    <row r="192" spans="1:28" x14ac:dyDescent="0.15">
      <c r="A192" s="178" t="s">
        <v>37</v>
      </c>
      <c r="B192" s="214">
        <v>61</v>
      </c>
      <c r="C192" s="214">
        <v>19</v>
      </c>
      <c r="D192" s="214">
        <v>29.4</v>
      </c>
      <c r="E192" s="218">
        <v>1406.2</v>
      </c>
      <c r="F192" s="214">
        <v>2294.4</v>
      </c>
      <c r="G192" s="214">
        <v>877.1</v>
      </c>
      <c r="H192" s="214">
        <v>297</v>
      </c>
      <c r="I192" s="214">
        <v>239</v>
      </c>
      <c r="J192" s="214">
        <v>108</v>
      </c>
      <c r="K192" s="214">
        <v>0</v>
      </c>
      <c r="L192" s="214">
        <v>0</v>
      </c>
      <c r="M192" s="214">
        <v>0</v>
      </c>
      <c r="N192" s="115">
        <f>SUM(B192:M192)</f>
        <v>5331.1</v>
      </c>
      <c r="O192" s="82">
        <f>SUM(B192:D192)</f>
        <v>109.4</v>
      </c>
      <c r="P192" s="82">
        <f>SUM(E192:G192)</f>
        <v>4577.7000000000007</v>
      </c>
      <c r="Q192" s="82">
        <f>SUM(H192:J192)</f>
        <v>644</v>
      </c>
      <c r="R192" s="82">
        <f>SUM(K192:M192)</f>
        <v>0</v>
      </c>
      <c r="S192" s="82">
        <f>SUM(O192:R192)</f>
        <v>5331.1</v>
      </c>
      <c r="T192" s="112">
        <v>0</v>
      </c>
      <c r="U192" s="112">
        <v>0</v>
      </c>
      <c r="X192" s="9"/>
      <c r="Z192" s="9"/>
      <c r="AB192" s="9"/>
    </row>
    <row r="193" spans="1:28" s="62" customFormat="1" x14ac:dyDescent="0.15">
      <c r="A193" s="176" t="s">
        <v>13</v>
      </c>
      <c r="B193" s="120">
        <f>SUM(B188:B192)</f>
        <v>2885</v>
      </c>
      <c r="C193" s="120">
        <f>SUM(C188:C192)</f>
        <v>2570</v>
      </c>
      <c r="D193" s="120">
        <f t="shared" ref="D193:N193" si="102">SUM(D188:D192)</f>
        <v>2849.8999999999996</v>
      </c>
      <c r="E193" s="211">
        <f t="shared" si="102"/>
        <v>4165</v>
      </c>
      <c r="F193" s="120">
        <f t="shared" si="102"/>
        <v>5136.1000000000004</v>
      </c>
      <c r="G193" s="120">
        <f t="shared" si="102"/>
        <v>3652.7999999999997</v>
      </c>
      <c r="H193" s="120">
        <f t="shared" si="102"/>
        <v>3161</v>
      </c>
      <c r="I193" s="120">
        <f t="shared" si="102"/>
        <v>3355.1</v>
      </c>
      <c r="J193" s="120">
        <f t="shared" si="102"/>
        <v>2870.6</v>
      </c>
      <c r="K193" s="120">
        <f t="shared" si="102"/>
        <v>2821.0343049999997</v>
      </c>
      <c r="L193" s="120">
        <f t="shared" si="102"/>
        <v>2351.3880040000004</v>
      </c>
      <c r="M193" s="120">
        <f t="shared" si="102"/>
        <v>2449.9812770999997</v>
      </c>
      <c r="N193" s="120">
        <f t="shared" si="102"/>
        <v>38267.903586100001</v>
      </c>
      <c r="O193" s="120">
        <f t="shared" ref="O193:U193" si="103">SUM(O188:O192)</f>
        <v>8304.9</v>
      </c>
      <c r="P193" s="120">
        <f t="shared" si="103"/>
        <v>12953.9</v>
      </c>
      <c r="Q193" s="120">
        <f t="shared" si="103"/>
        <v>9386.6999999999989</v>
      </c>
      <c r="R193" s="120">
        <f t="shared" si="103"/>
        <v>7622.4035860999993</v>
      </c>
      <c r="S193" s="120">
        <f t="shared" si="103"/>
        <v>38267.903586100001</v>
      </c>
      <c r="T193" s="120">
        <f t="shared" si="103"/>
        <v>28918.385934999998</v>
      </c>
      <c r="U193" s="120">
        <f t="shared" si="103"/>
        <v>28918.385934999998</v>
      </c>
      <c r="V193" s="21"/>
      <c r="X193" s="107"/>
      <c r="Z193" s="107"/>
      <c r="AB193" s="107"/>
    </row>
    <row r="194" spans="1:28" x14ac:dyDescent="0.15">
      <c r="A194" s="177"/>
      <c r="B194" s="18"/>
      <c r="C194" s="18"/>
      <c r="D194" s="18"/>
      <c r="E194" s="212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66"/>
      <c r="Q194" s="84"/>
      <c r="R194" s="84"/>
      <c r="S194" s="82"/>
      <c r="T194" s="18"/>
      <c r="U194" s="18"/>
      <c r="X194" s="9"/>
      <c r="Z194" s="9"/>
      <c r="AB194" s="9"/>
    </row>
    <row r="195" spans="1:28" x14ac:dyDescent="0.15">
      <c r="A195" s="176" t="s">
        <v>58</v>
      </c>
      <c r="B195" s="18"/>
      <c r="C195" s="18"/>
      <c r="D195" s="18"/>
      <c r="E195" s="212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66"/>
      <c r="Q195" s="66"/>
      <c r="R195" s="66"/>
      <c r="S195" s="82"/>
      <c r="T195" s="18"/>
      <c r="U195" s="18"/>
    </row>
    <row r="196" spans="1:28" x14ac:dyDescent="0.15">
      <c r="A196" s="177" t="s">
        <v>9</v>
      </c>
      <c r="B196" s="213">
        <f>5215-B197</f>
        <v>4443.7</v>
      </c>
      <c r="C196" s="213">
        <f>7612-665</f>
        <v>6947</v>
      </c>
      <c r="D196" s="213">
        <v>-1016.4</v>
      </c>
      <c r="E196" s="213">
        <v>3944.2</v>
      </c>
      <c r="F196" s="213">
        <v>4440</v>
      </c>
      <c r="G196" s="213">
        <v>4046.7</v>
      </c>
      <c r="H196" s="213">
        <f>5173.1-H197</f>
        <v>4436.2000000000007</v>
      </c>
      <c r="I196" s="213">
        <f>5132.8-I197</f>
        <v>4482.1000000000004</v>
      </c>
      <c r="J196" s="213">
        <f>4989.4-J197+11.1</f>
        <v>4370.7520000000004</v>
      </c>
      <c r="K196" s="213">
        <f>Detail!W74/1000-K197</f>
        <v>4500.0090543999995</v>
      </c>
      <c r="L196" s="213">
        <f>Detail!X74/1000-L197</f>
        <v>4329.0380399999995</v>
      </c>
      <c r="M196" s="213">
        <f>Detail!Y74/1000-M197</f>
        <v>4472.486249999999</v>
      </c>
      <c r="N196" s="21">
        <f t="shared" ref="N196:N201" si="104">SUM(B196:M196)</f>
        <v>49395.785344399999</v>
      </c>
      <c r="O196" s="82">
        <f t="shared" ref="O196:O201" si="105">SUM(B196:D196)</f>
        <v>10374.300000000001</v>
      </c>
      <c r="P196" s="82">
        <f t="shared" ref="P196:P201" si="106">SUM(E196:G196)</f>
        <v>12430.900000000001</v>
      </c>
      <c r="Q196" s="82">
        <f t="shared" ref="Q196:Q201" si="107">SUM(H196:J196)</f>
        <v>13289.052000000001</v>
      </c>
      <c r="R196" s="82">
        <f t="shared" ref="R196:R201" si="108">SUM(K196:M196)</f>
        <v>13301.533344399999</v>
      </c>
      <c r="S196" s="82">
        <f t="shared" ref="S196:S201" si="109">SUM(O196:R196)</f>
        <v>49395.785344400007</v>
      </c>
      <c r="T196" s="21">
        <f>51950.1130344+6109.628-517.9+70</f>
        <v>57611.841034399993</v>
      </c>
      <c r="U196" s="21">
        <f>51950.1130344+24239.785-517.9+70</f>
        <v>75741.998034400007</v>
      </c>
    </row>
    <row r="197" spans="1:28" x14ac:dyDescent="0.15">
      <c r="A197" s="177" t="s">
        <v>66</v>
      </c>
      <c r="B197" s="213">
        <v>771.3</v>
      </c>
      <c r="C197" s="213">
        <v>665</v>
      </c>
      <c r="D197" s="213">
        <v>737.6</v>
      </c>
      <c r="E197" s="213">
        <v>713.1</v>
      </c>
      <c r="F197" s="213">
        <v>736.9</v>
      </c>
      <c r="G197" s="213">
        <v>715.2</v>
      </c>
      <c r="H197" s="213">
        <v>736.9</v>
      </c>
      <c r="I197" s="213">
        <v>650.70000000000005</v>
      </c>
      <c r="J197" s="213">
        <f>Detail!V104/1000</f>
        <v>629.74800000000005</v>
      </c>
      <c r="K197" s="213">
        <f>Detail!W104/1000</f>
        <v>650.7396</v>
      </c>
      <c r="L197" s="213"/>
      <c r="M197" s="213"/>
      <c r="N197" s="21">
        <f t="shared" si="104"/>
        <v>7007.1876000000002</v>
      </c>
      <c r="O197" s="82">
        <f t="shared" si="105"/>
        <v>2173.9</v>
      </c>
      <c r="P197" s="82">
        <f t="shared" si="106"/>
        <v>2165.1999999999998</v>
      </c>
      <c r="Q197" s="82">
        <f t="shared" si="107"/>
        <v>2017.348</v>
      </c>
      <c r="R197" s="82">
        <f t="shared" si="108"/>
        <v>650.7396</v>
      </c>
      <c r="S197" s="82">
        <f t="shared" si="109"/>
        <v>7007.1876000000002</v>
      </c>
      <c r="T197" s="21"/>
      <c r="U197" s="21"/>
    </row>
    <row r="198" spans="1:28" x14ac:dyDescent="0.15">
      <c r="A198" s="177" t="s">
        <v>36</v>
      </c>
      <c r="B198" s="213">
        <v>333</v>
      </c>
      <c r="C198" s="213">
        <v>310</v>
      </c>
      <c r="D198" s="213">
        <v>345.7</v>
      </c>
      <c r="E198" s="213">
        <v>253.9</v>
      </c>
      <c r="F198" s="213">
        <v>284.39999999999998</v>
      </c>
      <c r="G198" s="213">
        <v>292.39999999999998</v>
      </c>
      <c r="H198" s="213">
        <v>310.3</v>
      </c>
      <c r="I198" s="213">
        <v>383</v>
      </c>
      <c r="J198" s="213">
        <v>286.39999999999998</v>
      </c>
      <c r="K198" s="213">
        <f>Detail!W97/1000</f>
        <v>332.78875099999993</v>
      </c>
      <c r="L198" s="213">
        <f>Detail!X97/1000</f>
        <v>381.97709999999995</v>
      </c>
      <c r="M198" s="213">
        <f>Detail!Y97/1000</f>
        <v>330.47705000000002</v>
      </c>
      <c r="N198" s="21">
        <f t="shared" si="104"/>
        <v>3844.3429010000004</v>
      </c>
      <c r="O198" s="82">
        <f t="shared" si="105"/>
        <v>988.7</v>
      </c>
      <c r="P198" s="82">
        <f t="shared" si="106"/>
        <v>830.69999999999993</v>
      </c>
      <c r="Q198" s="82">
        <f t="shared" si="107"/>
        <v>979.69999999999993</v>
      </c>
      <c r="R198" s="82">
        <f t="shared" si="108"/>
        <v>1045.2429009999998</v>
      </c>
      <c r="S198" s="82">
        <f t="shared" si="109"/>
        <v>3844.342901</v>
      </c>
      <c r="T198" s="21">
        <f>3251.144481+192.372+529.2</f>
        <v>3972.7164809999995</v>
      </c>
      <c r="U198" s="21">
        <f>3251.144481+763.215+529.2</f>
        <v>4543.5594810000002</v>
      </c>
      <c r="W198" s="29"/>
      <c r="Y198" s="29"/>
      <c r="AA198" s="29"/>
    </row>
    <row r="199" spans="1:28" x14ac:dyDescent="0.15">
      <c r="A199" s="177" t="s">
        <v>45</v>
      </c>
      <c r="B199" s="213">
        <v>10</v>
      </c>
      <c r="C199" s="213">
        <v>9</v>
      </c>
      <c r="D199" s="213">
        <v>9.1999999999999993</v>
      </c>
      <c r="E199" s="213">
        <v>6.3</v>
      </c>
      <c r="F199" s="213">
        <v>7.7</v>
      </c>
      <c r="G199" s="213">
        <v>6.9</v>
      </c>
      <c r="H199" s="213">
        <v>4.7</v>
      </c>
      <c r="I199" s="213">
        <v>4.5999999999999996</v>
      </c>
      <c r="J199" s="213">
        <v>0</v>
      </c>
      <c r="K199" s="213">
        <v>0</v>
      </c>
      <c r="L199" s="213">
        <v>0</v>
      </c>
      <c r="M199" s="213">
        <v>0</v>
      </c>
      <c r="N199" s="21">
        <f t="shared" si="104"/>
        <v>58.400000000000006</v>
      </c>
      <c r="O199" s="82">
        <f t="shared" si="105"/>
        <v>28.2</v>
      </c>
      <c r="P199" s="82">
        <f t="shared" si="106"/>
        <v>20.9</v>
      </c>
      <c r="Q199" s="82">
        <f t="shared" si="107"/>
        <v>9.3000000000000007</v>
      </c>
      <c r="R199" s="82">
        <f t="shared" si="108"/>
        <v>0</v>
      </c>
      <c r="S199" s="82">
        <f t="shared" si="109"/>
        <v>58.399999999999991</v>
      </c>
      <c r="T199" s="21">
        <v>0</v>
      </c>
      <c r="U199" s="21">
        <v>0</v>
      </c>
      <c r="W199" s="29"/>
      <c r="Y199" s="29"/>
      <c r="AA199" s="29"/>
    </row>
    <row r="200" spans="1:28" x14ac:dyDescent="0.15">
      <c r="A200" s="177" t="s">
        <v>205</v>
      </c>
      <c r="B200" s="213">
        <v>20</v>
      </c>
      <c r="C200" s="213">
        <v>17</v>
      </c>
      <c r="D200" s="213">
        <v>9.5</v>
      </c>
      <c r="E200" s="213">
        <v>0</v>
      </c>
      <c r="F200" s="213">
        <v>0</v>
      </c>
      <c r="G200" s="213">
        <v>0</v>
      </c>
      <c r="H200" s="213">
        <v>0</v>
      </c>
      <c r="I200" s="213">
        <v>0</v>
      </c>
      <c r="J200" s="213">
        <v>0</v>
      </c>
      <c r="K200" s="213">
        <v>0</v>
      </c>
      <c r="L200" s="213">
        <v>0</v>
      </c>
      <c r="M200" s="213">
        <v>0</v>
      </c>
      <c r="N200" s="21">
        <f t="shared" si="104"/>
        <v>46.5</v>
      </c>
      <c r="O200" s="82">
        <f t="shared" si="105"/>
        <v>46.5</v>
      </c>
      <c r="P200" s="82">
        <f t="shared" si="106"/>
        <v>0</v>
      </c>
      <c r="Q200" s="82">
        <f t="shared" si="107"/>
        <v>0</v>
      </c>
      <c r="R200" s="82">
        <f t="shared" si="108"/>
        <v>0</v>
      </c>
      <c r="S200" s="82">
        <f t="shared" si="109"/>
        <v>46.5</v>
      </c>
      <c r="T200" s="21"/>
      <c r="U200" s="21"/>
      <c r="W200" s="29"/>
      <c r="Y200" s="29"/>
      <c r="AA200" s="29"/>
    </row>
    <row r="201" spans="1:28" x14ac:dyDescent="0.15">
      <c r="A201" s="177" t="s">
        <v>37</v>
      </c>
      <c r="B201" s="214"/>
      <c r="C201" s="214">
        <v>0</v>
      </c>
      <c r="D201" s="214">
        <v>0</v>
      </c>
      <c r="E201" s="214">
        <v>0</v>
      </c>
      <c r="F201" s="214">
        <v>0</v>
      </c>
      <c r="G201" s="214">
        <v>0</v>
      </c>
      <c r="H201" s="214">
        <v>0</v>
      </c>
      <c r="I201" s="214">
        <v>0.01</v>
      </c>
      <c r="J201" s="214">
        <v>0</v>
      </c>
      <c r="K201" s="214">
        <f>Detail!W101/1000</f>
        <v>21.7</v>
      </c>
      <c r="L201" s="214">
        <f>Detail!X101/1000</f>
        <v>21</v>
      </c>
      <c r="M201" s="214">
        <f>Detail!Y101/1000</f>
        <v>40.299999999999997</v>
      </c>
      <c r="N201" s="115">
        <f t="shared" si="104"/>
        <v>83.009999999999991</v>
      </c>
      <c r="O201" s="82">
        <f t="shared" si="105"/>
        <v>0</v>
      </c>
      <c r="P201" s="82">
        <f t="shared" si="106"/>
        <v>0</v>
      </c>
      <c r="Q201" s="82">
        <f t="shared" si="107"/>
        <v>0.01</v>
      </c>
      <c r="R201" s="82">
        <f t="shared" si="108"/>
        <v>83</v>
      </c>
      <c r="S201" s="82">
        <f t="shared" si="109"/>
        <v>83.01</v>
      </c>
      <c r="T201" s="112">
        <v>138</v>
      </c>
      <c r="U201" s="112">
        <v>138</v>
      </c>
      <c r="X201" s="29"/>
      <c r="Z201" s="29"/>
      <c r="AB201" s="29"/>
    </row>
    <row r="202" spans="1:28" x14ac:dyDescent="0.15">
      <c r="A202" s="176" t="s">
        <v>16</v>
      </c>
      <c r="B202" s="120">
        <f>SUM(B196:B201)</f>
        <v>5578</v>
      </c>
      <c r="C202" s="120">
        <f>SUM(C196:C201)</f>
        <v>7948</v>
      </c>
      <c r="D202" s="120">
        <f t="shared" ref="D202:N202" si="110">SUM(D196:D201)</f>
        <v>85.600000000000037</v>
      </c>
      <c r="E202" s="120">
        <f t="shared" si="110"/>
        <v>4917.5</v>
      </c>
      <c r="F202" s="120">
        <f t="shared" si="110"/>
        <v>5468.9999999999991</v>
      </c>
      <c r="G202" s="120">
        <f t="shared" si="110"/>
        <v>5061.1999999999989</v>
      </c>
      <c r="H202" s="120">
        <f t="shared" si="110"/>
        <v>5488.1</v>
      </c>
      <c r="I202" s="120">
        <f t="shared" si="110"/>
        <v>5520.4100000000008</v>
      </c>
      <c r="J202" s="120">
        <f t="shared" si="110"/>
        <v>5286.9</v>
      </c>
      <c r="K202" s="120">
        <f t="shared" si="110"/>
        <v>5505.2374053999993</v>
      </c>
      <c r="L202" s="120">
        <f t="shared" si="110"/>
        <v>4732.0151399999995</v>
      </c>
      <c r="M202" s="120">
        <f t="shared" si="110"/>
        <v>4843.2632999999996</v>
      </c>
      <c r="N202" s="120">
        <f t="shared" si="110"/>
        <v>60435.225845400004</v>
      </c>
      <c r="O202" s="574">
        <f t="shared" ref="O202:U202" si="111">SUM(O196:O201)</f>
        <v>13611.600000000002</v>
      </c>
      <c r="P202" s="574">
        <f t="shared" si="111"/>
        <v>15447.700000000003</v>
      </c>
      <c r="Q202" s="574">
        <f t="shared" si="111"/>
        <v>16295.410000000002</v>
      </c>
      <c r="R202" s="574">
        <f t="shared" si="111"/>
        <v>15080.515845399999</v>
      </c>
      <c r="S202" s="574">
        <f t="shared" si="111"/>
        <v>60435.225845400011</v>
      </c>
      <c r="T202" s="120">
        <f t="shared" si="111"/>
        <v>61722.557515399996</v>
      </c>
      <c r="U202" s="120">
        <f t="shared" si="111"/>
        <v>80423.557515400011</v>
      </c>
      <c r="X202" s="29"/>
      <c r="Z202" s="29"/>
      <c r="AB202" s="29"/>
    </row>
    <row r="203" spans="1:28" x14ac:dyDescent="0.15">
      <c r="A203" s="17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66"/>
      <c r="Q203" s="84"/>
      <c r="R203" s="84"/>
      <c r="S203" s="82"/>
      <c r="T203" s="18"/>
      <c r="U203" s="18"/>
      <c r="X203" s="9"/>
      <c r="Z203" s="9"/>
      <c r="AB203" s="9"/>
    </row>
    <row r="204" spans="1:28" x14ac:dyDescent="0.15">
      <c r="A204" s="176" t="s">
        <v>17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82"/>
      <c r="Q204" s="84"/>
      <c r="R204" s="84"/>
      <c r="S204" s="82"/>
      <c r="T204" s="18"/>
      <c r="U204" s="18"/>
    </row>
    <row r="205" spans="1:28" x14ac:dyDescent="0.15">
      <c r="A205" s="177" t="s">
        <v>9</v>
      </c>
      <c r="B205" s="213">
        <v>300</v>
      </c>
      <c r="C205" s="213">
        <v>263</v>
      </c>
      <c r="D205" s="213">
        <v>291.89999999999998</v>
      </c>
      <c r="E205" s="213">
        <v>248.3</v>
      </c>
      <c r="F205" s="213">
        <v>293.60000000000002</v>
      </c>
      <c r="G205" s="213">
        <v>283.8</v>
      </c>
      <c r="H205" s="213">
        <v>292.10000000000002</v>
      </c>
      <c r="I205" s="213">
        <v>292.5</v>
      </c>
      <c r="J205" s="213">
        <v>284.89999999999998</v>
      </c>
      <c r="K205" s="213">
        <f>Detail!W269/1000</f>
        <v>296.09340000000009</v>
      </c>
      <c r="L205" s="213">
        <f>Detail!X269/1000</f>
        <v>286.54200000000003</v>
      </c>
      <c r="M205" s="213">
        <f>Detail!Y269/1000</f>
        <v>305.39340000000004</v>
      </c>
      <c r="N205" s="21">
        <f>SUM(B205:M205)</f>
        <v>3438.1288000000004</v>
      </c>
      <c r="O205" s="82">
        <f>SUM(B205:D205)</f>
        <v>854.9</v>
      </c>
      <c r="P205" s="82">
        <f>SUM(E205:G205)</f>
        <v>825.7</v>
      </c>
      <c r="Q205" s="82">
        <f>SUM(H205:J205)</f>
        <v>869.5</v>
      </c>
      <c r="R205" s="82">
        <f>SUM(K205:M205)</f>
        <v>888.02880000000016</v>
      </c>
      <c r="S205" s="82">
        <f>SUM(O205:R205)</f>
        <v>3438.1288</v>
      </c>
      <c r="T205" s="21">
        <f>3495.561+35382.74</f>
        <v>38878.300999999999</v>
      </c>
      <c r="U205" s="21">
        <f>3495.561+140377.2</f>
        <v>143872.761</v>
      </c>
    </row>
    <row r="206" spans="1:28" x14ac:dyDescent="0.15">
      <c r="A206" s="177" t="s">
        <v>36</v>
      </c>
      <c r="B206" s="213">
        <v>34</v>
      </c>
      <c r="C206" s="213">
        <v>31</v>
      </c>
      <c r="D206" s="213">
        <v>33.6</v>
      </c>
      <c r="E206" s="213">
        <v>24.7</v>
      </c>
      <c r="F206" s="213">
        <v>31.9</v>
      </c>
      <c r="G206" s="213">
        <v>31.2</v>
      </c>
      <c r="H206" s="213">
        <v>33.4</v>
      </c>
      <c r="I206" s="213">
        <v>33</v>
      </c>
      <c r="J206" s="213">
        <v>30.1</v>
      </c>
      <c r="K206" s="213">
        <f>Detail!W275/1000</f>
        <v>29.406599999999997</v>
      </c>
      <c r="L206" s="213">
        <f>Detail!X275/1000</f>
        <v>28.457999999999995</v>
      </c>
      <c r="M206" s="213">
        <f>Detail!Y275/1000</f>
        <v>29.406599999999997</v>
      </c>
      <c r="N206" s="21">
        <f>SUM(B206:M206)</f>
        <v>370.1712</v>
      </c>
      <c r="O206" s="82">
        <f>SUM(B206:D206)</f>
        <v>98.6</v>
      </c>
      <c r="P206" s="82">
        <f>SUM(E206:G206)</f>
        <v>87.8</v>
      </c>
      <c r="Q206" s="82">
        <f>SUM(H206:J206)</f>
        <v>96.5</v>
      </c>
      <c r="R206" s="82">
        <f>SUM(K206:M206)</f>
        <v>87.271199999999993</v>
      </c>
      <c r="S206" s="82">
        <f>SUM(O206:R206)</f>
        <v>370.1712</v>
      </c>
      <c r="T206" s="21">
        <f>346.239+727.26</f>
        <v>1073.499</v>
      </c>
      <c r="U206" s="21">
        <f>346.239+2885.3</f>
        <v>3231.5390000000002</v>
      </c>
    </row>
    <row r="207" spans="1:28" x14ac:dyDescent="0.15">
      <c r="A207" s="234"/>
      <c r="B207" s="235"/>
      <c r="C207" s="213">
        <v>0</v>
      </c>
      <c r="D207" s="213">
        <v>0</v>
      </c>
      <c r="E207" s="213">
        <v>0</v>
      </c>
      <c r="F207" s="213">
        <v>0</v>
      </c>
      <c r="G207" s="213">
        <v>0</v>
      </c>
      <c r="H207" s="213">
        <v>0</v>
      </c>
      <c r="I207" s="213">
        <v>0</v>
      </c>
      <c r="J207" s="213">
        <v>0</v>
      </c>
      <c r="K207" s="213">
        <v>0</v>
      </c>
      <c r="L207" s="213">
        <f>33.7-33.7</f>
        <v>0</v>
      </c>
      <c r="M207" s="213">
        <f>34.6-34.6</f>
        <v>0</v>
      </c>
      <c r="N207" s="21">
        <f>SUM(B207:M207)</f>
        <v>0</v>
      </c>
      <c r="O207" s="82">
        <f>SUM(B207:D207)</f>
        <v>0</v>
      </c>
      <c r="P207" s="82">
        <f>SUM(E207:G207)</f>
        <v>0</v>
      </c>
      <c r="Q207" s="82">
        <f>SUM(H207:J207)</f>
        <v>0</v>
      </c>
      <c r="R207" s="82">
        <f>SUM(K207:M207)</f>
        <v>0</v>
      </c>
      <c r="S207" s="82">
        <f>SUM(O207:R207)</f>
        <v>0</v>
      </c>
      <c r="T207" s="21">
        <v>0</v>
      </c>
      <c r="U207" s="21">
        <v>0</v>
      </c>
      <c r="W207" s="29"/>
      <c r="Y207" s="29"/>
      <c r="AA207" s="29"/>
    </row>
    <row r="208" spans="1:28" x14ac:dyDescent="0.15">
      <c r="A208" s="177" t="s">
        <v>37</v>
      </c>
      <c r="B208" s="214">
        <v>0</v>
      </c>
      <c r="C208" s="214">
        <v>0</v>
      </c>
      <c r="D208" s="214">
        <v>0</v>
      </c>
      <c r="E208" s="214">
        <v>0</v>
      </c>
      <c r="F208" s="214">
        <v>0</v>
      </c>
      <c r="G208" s="214">
        <v>0</v>
      </c>
      <c r="H208" s="214">
        <v>0</v>
      </c>
      <c r="I208" s="214">
        <v>0</v>
      </c>
      <c r="J208" s="214">
        <v>0</v>
      </c>
      <c r="K208" s="214">
        <v>0</v>
      </c>
      <c r="L208" s="214">
        <v>0</v>
      </c>
      <c r="M208" s="214">
        <v>0</v>
      </c>
      <c r="N208" s="115">
        <f>SUM(B208:M208)</f>
        <v>0</v>
      </c>
      <c r="O208" s="82">
        <f>SUM(B208:D208)</f>
        <v>0</v>
      </c>
      <c r="P208" s="82">
        <f>SUM(E208:G208)</f>
        <v>0</v>
      </c>
      <c r="Q208" s="82">
        <f>SUM(H208:J208)</f>
        <v>0</v>
      </c>
      <c r="R208" s="82">
        <f>SUM(K208:M208)</f>
        <v>0</v>
      </c>
      <c r="S208" s="82">
        <f>SUM(O208:R208)</f>
        <v>0</v>
      </c>
      <c r="T208" s="112">
        <v>0</v>
      </c>
      <c r="U208" s="112">
        <v>0</v>
      </c>
      <c r="X208" s="29"/>
      <c r="Z208" s="29"/>
      <c r="AB208" s="29"/>
    </row>
    <row r="209" spans="1:28" x14ac:dyDescent="0.15">
      <c r="A209" s="176" t="s">
        <v>18</v>
      </c>
      <c r="B209" s="120">
        <f>SUM(B205:B208)</f>
        <v>334</v>
      </c>
      <c r="C209" s="120">
        <f>SUM(C205:C208)</f>
        <v>294</v>
      </c>
      <c r="D209" s="120">
        <f t="shared" ref="D209:N209" si="112">SUM(D205:D208)</f>
        <v>325.5</v>
      </c>
      <c r="E209" s="120">
        <f t="shared" si="112"/>
        <v>273</v>
      </c>
      <c r="F209" s="120">
        <f t="shared" si="112"/>
        <v>325.5</v>
      </c>
      <c r="G209" s="120">
        <f t="shared" si="112"/>
        <v>315</v>
      </c>
      <c r="H209" s="120">
        <f t="shared" si="112"/>
        <v>325.5</v>
      </c>
      <c r="I209" s="120">
        <f t="shared" si="112"/>
        <v>325.5</v>
      </c>
      <c r="J209" s="120">
        <f t="shared" si="112"/>
        <v>315</v>
      </c>
      <c r="K209" s="120">
        <f t="shared" si="112"/>
        <v>325.50000000000011</v>
      </c>
      <c r="L209" s="120">
        <f t="shared" si="112"/>
        <v>315</v>
      </c>
      <c r="M209" s="120">
        <f t="shared" si="112"/>
        <v>334.80000000000007</v>
      </c>
      <c r="N209" s="120">
        <f t="shared" si="112"/>
        <v>3808.3</v>
      </c>
      <c r="O209" s="575">
        <f t="shared" ref="O209:U209" si="113">SUM(O205:O208)</f>
        <v>953.5</v>
      </c>
      <c r="P209" s="575">
        <f t="shared" si="113"/>
        <v>913.5</v>
      </c>
      <c r="Q209" s="575">
        <f t="shared" si="113"/>
        <v>966</v>
      </c>
      <c r="R209" s="575">
        <f t="shared" si="113"/>
        <v>975.30000000000018</v>
      </c>
      <c r="S209" s="575">
        <f t="shared" si="113"/>
        <v>3808.3</v>
      </c>
      <c r="T209" s="120">
        <f t="shared" si="113"/>
        <v>39951.800000000003</v>
      </c>
      <c r="U209" s="120">
        <f t="shared" si="113"/>
        <v>147104.29999999999</v>
      </c>
      <c r="X209" s="29"/>
      <c r="Z209" s="29"/>
      <c r="AB209" s="29"/>
    </row>
    <row r="210" spans="1:28" x14ac:dyDescent="0.15">
      <c r="A210" s="17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66"/>
      <c r="Q210" s="84"/>
      <c r="R210" s="82"/>
      <c r="S210" s="82"/>
      <c r="T210" s="18"/>
      <c r="U210" s="18"/>
      <c r="X210" s="29"/>
      <c r="Z210" s="29"/>
      <c r="AB210" s="29"/>
    </row>
    <row r="211" spans="1:28" x14ac:dyDescent="0.15">
      <c r="A211" s="176" t="s">
        <v>67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82"/>
      <c r="Q211" s="84">
        <f>N211-P211</f>
        <v>0</v>
      </c>
      <c r="R211" s="84">
        <f>N211</f>
        <v>0</v>
      </c>
      <c r="S211" s="82"/>
      <c r="T211" s="18"/>
      <c r="U211" s="18"/>
    </row>
    <row r="212" spans="1:28" x14ac:dyDescent="0.15">
      <c r="A212" s="177" t="s">
        <v>9</v>
      </c>
      <c r="B212" s="213">
        <v>944</v>
      </c>
      <c r="C212" s="213">
        <v>3817</v>
      </c>
      <c r="D212" s="213">
        <v>1006</v>
      </c>
      <c r="E212" s="213">
        <v>960.3</v>
      </c>
      <c r="F212" s="213">
        <v>949.6</v>
      </c>
      <c r="G212" s="213">
        <v>930.8</v>
      </c>
      <c r="H212" s="213">
        <v>959</v>
      </c>
      <c r="I212" s="213">
        <v>961.8</v>
      </c>
      <c r="J212" s="213">
        <v>940</v>
      </c>
      <c r="K212" s="213">
        <f>Detail!W231/1000</f>
        <v>958.75367800000015</v>
      </c>
      <c r="L212" s="213">
        <f>Detail!X231/1000</f>
        <v>1004.3787</v>
      </c>
      <c r="M212" s="213">
        <f>Detail!Y231/1000</f>
        <v>1459.7236972000001</v>
      </c>
      <c r="N212" s="21">
        <f>SUM(B212:M212)</f>
        <v>14891.356075200001</v>
      </c>
      <c r="O212" s="82">
        <f t="shared" ref="O212:O218" si="114">SUM(B212:D212)</f>
        <v>5767</v>
      </c>
      <c r="P212" s="82">
        <f>SUM(E212:G212)</f>
        <v>2840.7</v>
      </c>
      <c r="Q212" s="82">
        <f t="shared" ref="Q212:Q220" si="115">SUM(H212:J212)</f>
        <v>2860.8</v>
      </c>
      <c r="R212" s="82">
        <f t="shared" ref="R212:R220" si="116">SUM(K212:M212)</f>
        <v>3422.8560752000003</v>
      </c>
      <c r="S212" s="82">
        <f t="shared" ref="S212:S220" si="117">SUM(O212:R212)</f>
        <v>14891.356075200001</v>
      </c>
      <c r="T212" s="21">
        <v>11303.979806800002</v>
      </c>
      <c r="U212" s="21">
        <v>11303.979806800002</v>
      </c>
    </row>
    <row r="213" spans="1:28" x14ac:dyDescent="0.15">
      <c r="A213" s="177" t="s">
        <v>36</v>
      </c>
      <c r="B213" s="213">
        <v>104</v>
      </c>
      <c r="C213" s="213">
        <v>103</v>
      </c>
      <c r="D213" s="213">
        <v>116.2</v>
      </c>
      <c r="E213" s="213">
        <v>91.3</v>
      </c>
      <c r="F213" s="213">
        <v>91.8</v>
      </c>
      <c r="G213" s="213">
        <v>96.1</v>
      </c>
      <c r="H213" s="213">
        <v>102.3</v>
      </c>
      <c r="I213" s="213">
        <v>144.4</v>
      </c>
      <c r="J213" s="213">
        <v>85.1</v>
      </c>
      <c r="K213" s="213">
        <f>Detail!W246/1000</f>
        <v>100.570572</v>
      </c>
      <c r="L213" s="213">
        <f>Detail!X246/1000</f>
        <v>110.77380000000001</v>
      </c>
      <c r="M213" s="213">
        <f>Detail!Y246/1000</f>
        <v>119.97740279999999</v>
      </c>
      <c r="N213" s="21">
        <f>SUM(B213:M213)</f>
        <v>1265.5217747999998</v>
      </c>
      <c r="O213" s="82">
        <f t="shared" si="114"/>
        <v>323.2</v>
      </c>
      <c r="P213" s="82">
        <f>SUM(E213:G213)</f>
        <v>279.2</v>
      </c>
      <c r="Q213" s="82">
        <f t="shared" si="115"/>
        <v>331.79999999999995</v>
      </c>
      <c r="R213" s="82">
        <f t="shared" si="116"/>
        <v>331.32177480000001</v>
      </c>
      <c r="S213" s="82">
        <f t="shared" si="117"/>
        <v>1265.5217748</v>
      </c>
      <c r="T213" s="21">
        <v>1170.4089431999998</v>
      </c>
      <c r="U213" s="21">
        <v>1170.4089431999998</v>
      </c>
      <c r="W213" s="29"/>
      <c r="Y213" s="29"/>
      <c r="AA213" s="29"/>
    </row>
    <row r="214" spans="1:28" x14ac:dyDescent="0.15">
      <c r="A214" s="177" t="s">
        <v>45</v>
      </c>
      <c r="B214" s="213">
        <v>0</v>
      </c>
      <c r="C214" s="213">
        <v>0</v>
      </c>
      <c r="D214" s="213">
        <v>0</v>
      </c>
      <c r="E214" s="213">
        <v>0</v>
      </c>
      <c r="F214" s="213">
        <v>0</v>
      </c>
      <c r="G214" s="213">
        <v>0</v>
      </c>
      <c r="H214" s="213">
        <v>0</v>
      </c>
      <c r="I214" s="213">
        <v>0</v>
      </c>
      <c r="J214" s="213">
        <v>0</v>
      </c>
      <c r="K214" s="213">
        <v>0</v>
      </c>
      <c r="L214" s="213">
        <v>0</v>
      </c>
      <c r="M214" s="213">
        <v>0</v>
      </c>
      <c r="N214" s="21">
        <f>SUM(B214:M214)</f>
        <v>0</v>
      </c>
      <c r="O214" s="82">
        <f t="shared" si="114"/>
        <v>0</v>
      </c>
      <c r="P214" s="82">
        <f>SUM(E214:G214)</f>
        <v>0</v>
      </c>
      <c r="Q214" s="82">
        <f t="shared" si="115"/>
        <v>0</v>
      </c>
      <c r="R214" s="82">
        <f t="shared" si="116"/>
        <v>0</v>
      </c>
      <c r="S214" s="82">
        <f t="shared" si="117"/>
        <v>0</v>
      </c>
      <c r="T214" s="21">
        <v>0</v>
      </c>
      <c r="U214" s="21">
        <v>0</v>
      </c>
      <c r="W214" s="29"/>
      <c r="Y214" s="29"/>
      <c r="AA214" s="29"/>
    </row>
    <row r="215" spans="1:28" x14ac:dyDescent="0.15">
      <c r="A215" s="177" t="s">
        <v>201</v>
      </c>
      <c r="B215" s="213">
        <v>1</v>
      </c>
      <c r="C215" s="213">
        <v>0</v>
      </c>
      <c r="D215" s="213">
        <v>0</v>
      </c>
      <c r="E215" s="213">
        <v>0</v>
      </c>
      <c r="F215" s="213">
        <v>0</v>
      </c>
      <c r="G215" s="213">
        <v>0</v>
      </c>
      <c r="H215" s="213">
        <v>0</v>
      </c>
      <c r="I215" s="213">
        <v>0</v>
      </c>
      <c r="J215" s="213">
        <v>0</v>
      </c>
      <c r="K215" s="213">
        <v>0</v>
      </c>
      <c r="L215" s="213">
        <v>0</v>
      </c>
      <c r="M215" s="213">
        <v>0</v>
      </c>
      <c r="N215" s="21">
        <f>SUM(B215:M215)</f>
        <v>1</v>
      </c>
      <c r="O215" s="82">
        <f t="shared" si="114"/>
        <v>1</v>
      </c>
      <c r="P215" s="82">
        <f>SUM(E215:G215)</f>
        <v>0</v>
      </c>
      <c r="Q215" s="82">
        <f t="shared" si="115"/>
        <v>0</v>
      </c>
      <c r="R215" s="82">
        <f t="shared" si="116"/>
        <v>0</v>
      </c>
      <c r="S215" s="82">
        <f t="shared" si="117"/>
        <v>1</v>
      </c>
      <c r="T215" s="21"/>
      <c r="U215" s="21"/>
      <c r="W215" s="29"/>
      <c r="Y215" s="29"/>
      <c r="AA215" s="29"/>
    </row>
    <row r="216" spans="1:28" x14ac:dyDescent="0.15">
      <c r="A216" s="178" t="s">
        <v>37</v>
      </c>
      <c r="B216" s="214">
        <v>0</v>
      </c>
      <c r="C216" s="214"/>
      <c r="D216" s="214">
        <v>0</v>
      </c>
      <c r="E216" s="214">
        <v>0</v>
      </c>
      <c r="F216" s="214">
        <v>0</v>
      </c>
      <c r="G216" s="214">
        <v>5</v>
      </c>
      <c r="H216" s="214">
        <v>0</v>
      </c>
      <c r="I216" s="214">
        <v>0</v>
      </c>
      <c r="J216" s="214">
        <v>0</v>
      </c>
      <c r="K216" s="214">
        <v>0</v>
      </c>
      <c r="L216" s="214">
        <v>0</v>
      </c>
      <c r="M216" s="214">
        <v>0</v>
      </c>
      <c r="N216" s="115">
        <f>SUM(B216:M216)</f>
        <v>5</v>
      </c>
      <c r="O216" s="82">
        <f t="shared" si="114"/>
        <v>0</v>
      </c>
      <c r="P216" s="82">
        <f>SUM(E216:G216)</f>
        <v>5</v>
      </c>
      <c r="Q216" s="82">
        <f t="shared" si="115"/>
        <v>0</v>
      </c>
      <c r="R216" s="82">
        <f t="shared" si="116"/>
        <v>0</v>
      </c>
      <c r="S216" s="82">
        <f t="shared" si="117"/>
        <v>5</v>
      </c>
      <c r="T216" s="112">
        <v>0</v>
      </c>
      <c r="U216" s="112">
        <v>0</v>
      </c>
      <c r="X216" s="29"/>
      <c r="Z216" s="29"/>
      <c r="AB216" s="29"/>
    </row>
    <row r="217" spans="1:28" x14ac:dyDescent="0.15">
      <c r="A217" s="176" t="s">
        <v>20</v>
      </c>
      <c r="B217" s="121">
        <f t="shared" ref="B217:U217" si="118">SUM(B212:B216)</f>
        <v>1049</v>
      </c>
      <c r="C217" s="121">
        <f t="shared" si="118"/>
        <v>3920</v>
      </c>
      <c r="D217" s="121">
        <f t="shared" si="118"/>
        <v>1122.2</v>
      </c>
      <c r="E217" s="121">
        <f t="shared" si="118"/>
        <v>1051.5999999999999</v>
      </c>
      <c r="F217" s="121">
        <f t="shared" si="118"/>
        <v>1041.4000000000001</v>
      </c>
      <c r="G217" s="121">
        <f t="shared" si="118"/>
        <v>1031.8999999999999</v>
      </c>
      <c r="H217" s="121">
        <f t="shared" si="118"/>
        <v>1061.3</v>
      </c>
      <c r="I217" s="121">
        <f t="shared" si="118"/>
        <v>1106.2</v>
      </c>
      <c r="J217" s="121">
        <f t="shared" si="118"/>
        <v>1025.0999999999999</v>
      </c>
      <c r="K217" s="121">
        <f t="shared" si="118"/>
        <v>1059.3242500000001</v>
      </c>
      <c r="L217" s="121">
        <f t="shared" si="118"/>
        <v>1115.1524999999999</v>
      </c>
      <c r="M217" s="121">
        <f t="shared" si="118"/>
        <v>1579.7011</v>
      </c>
      <c r="N217" s="166">
        <f t="shared" si="118"/>
        <v>16162.877850000001</v>
      </c>
      <c r="O217" s="576">
        <f t="shared" si="118"/>
        <v>6091.2</v>
      </c>
      <c r="P217" s="576">
        <f t="shared" si="118"/>
        <v>3124.8999999999996</v>
      </c>
      <c r="Q217" s="576">
        <f t="shared" si="118"/>
        <v>3192.6000000000004</v>
      </c>
      <c r="R217" s="576">
        <f t="shared" si="118"/>
        <v>3754.1778500000005</v>
      </c>
      <c r="S217" s="576">
        <f t="shared" si="118"/>
        <v>16162.877850000001</v>
      </c>
      <c r="T217" s="166">
        <f t="shared" si="118"/>
        <v>12474.388750000002</v>
      </c>
      <c r="U217" s="166">
        <f t="shared" si="118"/>
        <v>12474.388750000002</v>
      </c>
      <c r="X217" s="29"/>
      <c r="Z217" s="29"/>
      <c r="AB217" s="29"/>
    </row>
    <row r="218" spans="1:28" x14ac:dyDescent="0.15">
      <c r="A218" s="179" t="s">
        <v>68</v>
      </c>
      <c r="B218" s="120">
        <f>+B188+B196+B205+B212+B189+B197</f>
        <v>8948</v>
      </c>
      <c r="C218" s="120">
        <f>+C188+C196+C205+C212+C189+C197</f>
        <v>13940</v>
      </c>
      <c r="D218" s="120">
        <f t="shared" ref="D218:M218" si="119">+D188+D196+D205+D212+D189+D197</f>
        <v>3508.2</v>
      </c>
      <c r="E218" s="120">
        <f t="shared" si="119"/>
        <v>8274.6</v>
      </c>
      <c r="F218" s="120">
        <f t="shared" si="119"/>
        <v>8917.0000000000018</v>
      </c>
      <c r="G218" s="120">
        <f t="shared" si="119"/>
        <v>8393.2000000000007</v>
      </c>
      <c r="H218" s="120">
        <f t="shared" si="119"/>
        <v>8902.2000000000007</v>
      </c>
      <c r="I218" s="120">
        <f t="shared" si="119"/>
        <v>8962.3000000000011</v>
      </c>
      <c r="J218" s="120">
        <f t="shared" si="119"/>
        <v>8642</v>
      </c>
      <c r="K218" s="120">
        <f t="shared" si="119"/>
        <v>8903.3299024000007</v>
      </c>
      <c r="L218" s="120">
        <f t="shared" si="119"/>
        <v>7735.7108399999997</v>
      </c>
      <c r="M218" s="120">
        <f t="shared" si="119"/>
        <v>8423.8805171999993</v>
      </c>
      <c r="N218" s="166">
        <f>SUM(B218:M218)</f>
        <v>103550.4212596</v>
      </c>
      <c r="O218" s="82">
        <f t="shared" si="114"/>
        <v>26396.2</v>
      </c>
      <c r="P218" s="557">
        <f>SUM(E218:G218)</f>
        <v>25584.800000000003</v>
      </c>
      <c r="Q218" s="82">
        <f t="shared" si="115"/>
        <v>26506.5</v>
      </c>
      <c r="R218" s="82">
        <f t="shared" si="116"/>
        <v>25062.9212596</v>
      </c>
      <c r="S218" s="82">
        <f t="shared" si="117"/>
        <v>103550.4212596</v>
      </c>
      <c r="T218" s="166">
        <f>T212+T205+T196+T188</f>
        <v>133013.86134119998</v>
      </c>
      <c r="U218" s="166">
        <f>U212+U205+U196+U188</f>
        <v>256138.47834120001</v>
      </c>
      <c r="W218" s="30"/>
      <c r="X218" s="30"/>
      <c r="Y218" s="30"/>
      <c r="Z218" s="30"/>
      <c r="AA218" s="30"/>
      <c r="AB218" s="30"/>
    </row>
    <row r="219" spans="1:28" x14ac:dyDescent="0.15">
      <c r="A219" s="179" t="s">
        <v>69</v>
      </c>
      <c r="B219" s="122">
        <f>B190+B192+B198+B199+B201+B206+B208+B213+B214+B215+B216+B191++B200</f>
        <v>898</v>
      </c>
      <c r="C219" s="122">
        <f>C190+C191+C192+C198+C199+C200+C201+C206+C207+C208+C213+C214+C215+C216</f>
        <v>792</v>
      </c>
      <c r="D219" s="122">
        <f t="shared" ref="D219:M219" si="120">+D193+D202+D209+D217-D218</f>
        <v>875</v>
      </c>
      <c r="E219" s="122">
        <f t="shared" si="120"/>
        <v>2132.5</v>
      </c>
      <c r="F219" s="122">
        <f t="shared" si="120"/>
        <v>3054.9999999999964</v>
      </c>
      <c r="G219" s="122">
        <f t="shared" si="120"/>
        <v>1667.6999999999971</v>
      </c>
      <c r="H219" s="122">
        <f t="shared" si="120"/>
        <v>1133.6999999999989</v>
      </c>
      <c r="I219" s="122">
        <f t="shared" si="120"/>
        <v>1344.9099999999999</v>
      </c>
      <c r="J219" s="122">
        <f t="shared" si="120"/>
        <v>855.60000000000036</v>
      </c>
      <c r="K219" s="122">
        <f t="shared" si="120"/>
        <v>807.76605799999743</v>
      </c>
      <c r="L219" s="122">
        <f t="shared" si="120"/>
        <v>777.84480400000029</v>
      </c>
      <c r="M219" s="122">
        <f t="shared" si="120"/>
        <v>783.86515990000044</v>
      </c>
      <c r="N219" s="166">
        <f>SUM(B219:M219)</f>
        <v>15123.886021899991</v>
      </c>
      <c r="O219" s="82">
        <f>SUM(B219:D219)</f>
        <v>2565</v>
      </c>
      <c r="P219" s="557">
        <f>SUM(E219:G219)</f>
        <v>6855.1999999999935</v>
      </c>
      <c r="Q219" s="82">
        <f t="shared" si="115"/>
        <v>3334.2099999999991</v>
      </c>
      <c r="R219" s="82">
        <f t="shared" si="116"/>
        <v>2369.4760218999982</v>
      </c>
      <c r="S219" s="82">
        <f t="shared" si="117"/>
        <v>15123.886021899991</v>
      </c>
      <c r="T219" s="166">
        <f>T216+T215+T214+T213+T208+T207+T206+T201+T199+T198+T192+T191+T190</f>
        <v>10053.2708592</v>
      </c>
      <c r="U219" s="166">
        <f>U216+U215+U214+U213+U208+U207+U206+U201+U199+U198+U192+U191+U190</f>
        <v>12782.153859200002</v>
      </c>
      <c r="W219" s="32"/>
      <c r="X219" s="32"/>
      <c r="Y219" s="32"/>
      <c r="Z219" s="32"/>
      <c r="AA219" s="32"/>
      <c r="AB219" s="32"/>
    </row>
    <row r="220" spans="1:28" x14ac:dyDescent="0.15">
      <c r="A220" s="187" t="s">
        <v>70</v>
      </c>
      <c r="B220" s="122">
        <f>SUM(B218:B219)</f>
        <v>9846</v>
      </c>
      <c r="C220" s="122">
        <f>SUM(C218:C219)</f>
        <v>14732</v>
      </c>
      <c r="D220" s="122">
        <f t="shared" ref="D220:P220" si="121">SUM(D218:D219)</f>
        <v>4383.2</v>
      </c>
      <c r="E220" s="122">
        <f t="shared" si="121"/>
        <v>10407.1</v>
      </c>
      <c r="F220" s="122">
        <f t="shared" si="121"/>
        <v>11971.999999999998</v>
      </c>
      <c r="G220" s="122">
        <f t="shared" si="121"/>
        <v>10060.899999999998</v>
      </c>
      <c r="H220" s="122">
        <f t="shared" si="121"/>
        <v>10035.9</v>
      </c>
      <c r="I220" s="122">
        <f t="shared" si="121"/>
        <v>10307.210000000001</v>
      </c>
      <c r="J220" s="122">
        <f t="shared" si="121"/>
        <v>9497.6</v>
      </c>
      <c r="K220" s="122">
        <f t="shared" si="121"/>
        <v>9711.0959603999981</v>
      </c>
      <c r="L220" s="122">
        <f t="shared" si="121"/>
        <v>8513.555644</v>
      </c>
      <c r="M220" s="122">
        <f t="shared" si="121"/>
        <v>9207.7456770999997</v>
      </c>
      <c r="N220" s="166">
        <f t="shared" si="121"/>
        <v>118674.30728149999</v>
      </c>
      <c r="O220" s="166">
        <f t="shared" si="121"/>
        <v>28961.200000000001</v>
      </c>
      <c r="P220" s="166">
        <f t="shared" si="121"/>
        <v>32439.999999999996</v>
      </c>
      <c r="Q220" s="82">
        <f t="shared" si="115"/>
        <v>29840.71</v>
      </c>
      <c r="R220" s="82">
        <f t="shared" si="116"/>
        <v>27432.397281499998</v>
      </c>
      <c r="S220" s="82">
        <f t="shared" si="117"/>
        <v>118674.30728150001</v>
      </c>
      <c r="T220" s="166">
        <f>SUM(T218:T219)</f>
        <v>143067.1322004</v>
      </c>
      <c r="U220" s="166">
        <f>SUM(U218:U219)</f>
        <v>268920.6322004</v>
      </c>
    </row>
    <row r="221" spans="1:28" x14ac:dyDescent="0.15">
      <c r="A221" s="180"/>
      <c r="B221" s="567">
        <f>B219/(B41/31)/1000</f>
        <v>2.5110407135331726E-2</v>
      </c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6"/>
      <c r="O221" s="126"/>
      <c r="P221" s="108"/>
      <c r="Q221" s="108"/>
      <c r="R221" s="108"/>
      <c r="S221" s="108"/>
      <c r="T221" s="126"/>
      <c r="U221" s="126"/>
    </row>
    <row r="222" spans="1:28" ht="15.75" x14ac:dyDescent="0.15">
      <c r="A222" s="175" t="s">
        <v>23</v>
      </c>
      <c r="B222" s="568">
        <f>B220/B42*31/1000</f>
        <v>0.27581651270030466</v>
      </c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3"/>
      <c r="O222" s="123"/>
      <c r="P222" s="108"/>
      <c r="Q222" s="108"/>
      <c r="R222" s="108"/>
      <c r="S222" s="108"/>
      <c r="T222" s="123"/>
      <c r="U222" s="123"/>
    </row>
    <row r="223" spans="1:28" x14ac:dyDescent="0.15">
      <c r="A223" s="176" t="s">
        <v>195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21"/>
      <c r="O223" s="21"/>
      <c r="P223" s="69"/>
      <c r="Q223" s="69"/>
      <c r="R223" s="69"/>
      <c r="S223" s="69"/>
      <c r="T223" s="21"/>
      <c r="U223" s="21"/>
    </row>
    <row r="224" spans="1:28" x14ac:dyDescent="0.15">
      <c r="A224" s="177" t="s">
        <v>9</v>
      </c>
      <c r="B224" s="213">
        <v>20</v>
      </c>
      <c r="C224" s="213">
        <v>17</v>
      </c>
      <c r="D224" s="213">
        <v>16.8</v>
      </c>
      <c r="E224" s="213">
        <f>18.7+36</f>
        <v>54.7</v>
      </c>
      <c r="F224" s="213">
        <v>24.6</v>
      </c>
      <c r="G224" s="213">
        <v>43.4</v>
      </c>
      <c r="H224" s="213">
        <v>40</v>
      </c>
      <c r="I224" s="213">
        <f>27-1</f>
        <v>26</v>
      </c>
      <c r="J224" s="213">
        <v>18</v>
      </c>
      <c r="K224" s="213">
        <v>0</v>
      </c>
      <c r="L224" s="213">
        <v>0</v>
      </c>
      <c r="M224" s="213">
        <v>0</v>
      </c>
      <c r="N224" s="21">
        <f>SUM(B224:M224)</f>
        <v>260.5</v>
      </c>
      <c r="O224" s="82">
        <f>SUM(B224:D224)</f>
        <v>53.8</v>
      </c>
      <c r="P224" s="82">
        <f>SUM(E224:G224)</f>
        <v>122.70000000000002</v>
      </c>
      <c r="Q224" s="82">
        <f>SUM(H224:J224)</f>
        <v>84</v>
      </c>
      <c r="R224" s="82">
        <f>SUM(K224:M224)</f>
        <v>0</v>
      </c>
      <c r="S224" s="82">
        <f>SUM(O224:R224)</f>
        <v>260.5</v>
      </c>
      <c r="T224" s="21">
        <v>0</v>
      </c>
      <c r="U224" s="21">
        <v>0</v>
      </c>
    </row>
    <row r="225" spans="1:28" x14ac:dyDescent="0.15">
      <c r="A225" s="177" t="s">
        <v>36</v>
      </c>
      <c r="B225" s="213">
        <v>2</v>
      </c>
      <c r="C225" s="213">
        <v>3</v>
      </c>
      <c r="D225" s="213">
        <v>3.2</v>
      </c>
      <c r="E225" s="213">
        <v>5.0999999999999996</v>
      </c>
      <c r="F225" s="213">
        <v>0</v>
      </c>
      <c r="G225" s="213">
        <v>6.4</v>
      </c>
      <c r="H225" s="213">
        <v>0</v>
      </c>
      <c r="I225" s="213">
        <v>0</v>
      </c>
      <c r="J225" s="213">
        <v>0</v>
      </c>
      <c r="K225" s="213">
        <v>0</v>
      </c>
      <c r="L225" s="213">
        <v>0</v>
      </c>
      <c r="M225" s="213">
        <v>0</v>
      </c>
      <c r="N225" s="21">
        <f>SUM(B225:M225)</f>
        <v>19.7</v>
      </c>
      <c r="O225" s="82">
        <f>SUM(B225:D225)</f>
        <v>8.1999999999999993</v>
      </c>
      <c r="P225" s="82">
        <f>SUM(E225:G225)</f>
        <v>11.5</v>
      </c>
      <c r="Q225" s="82">
        <f>SUM(H225:J225)</f>
        <v>0</v>
      </c>
      <c r="R225" s="82">
        <f>SUM(K225:M225)</f>
        <v>0</v>
      </c>
      <c r="S225" s="82">
        <f>SUM(O225:R225)</f>
        <v>19.7</v>
      </c>
      <c r="T225" s="21">
        <v>0</v>
      </c>
      <c r="U225" s="21">
        <v>0</v>
      </c>
      <c r="W225" s="29"/>
      <c r="Y225" s="29"/>
      <c r="AA225" s="29"/>
    </row>
    <row r="226" spans="1:28" x14ac:dyDescent="0.15">
      <c r="A226" s="177" t="s">
        <v>45</v>
      </c>
      <c r="B226" s="213">
        <v>0</v>
      </c>
      <c r="C226" s="213">
        <v>0</v>
      </c>
      <c r="D226" s="213">
        <v>0</v>
      </c>
      <c r="E226" s="213">
        <v>0</v>
      </c>
      <c r="F226" s="213">
        <v>7.9</v>
      </c>
      <c r="G226" s="213">
        <v>0</v>
      </c>
      <c r="H226" s="213">
        <v>0</v>
      </c>
      <c r="I226" s="213">
        <v>0</v>
      </c>
      <c r="J226" s="213">
        <v>0</v>
      </c>
      <c r="K226" s="213">
        <v>0</v>
      </c>
      <c r="L226" s="213">
        <v>0</v>
      </c>
      <c r="M226" s="213">
        <v>0</v>
      </c>
      <c r="N226" s="21">
        <f>SUM(B226:M226)</f>
        <v>7.9</v>
      </c>
      <c r="O226" s="82">
        <f>SUM(B226:D226)</f>
        <v>0</v>
      </c>
      <c r="P226" s="82">
        <f>SUM(E226:G226)</f>
        <v>7.9</v>
      </c>
      <c r="Q226" s="82">
        <f>SUM(H226:J226)</f>
        <v>0</v>
      </c>
      <c r="R226" s="82">
        <f>SUM(K226:M226)</f>
        <v>0</v>
      </c>
      <c r="S226" s="82">
        <f>SUM(O226:R226)</f>
        <v>7.9</v>
      </c>
      <c r="T226" s="21">
        <v>0</v>
      </c>
      <c r="U226" s="21">
        <v>0</v>
      </c>
      <c r="W226" s="29"/>
      <c r="Y226" s="29"/>
      <c r="AA226" s="29"/>
    </row>
    <row r="227" spans="1:28" x14ac:dyDescent="0.15">
      <c r="A227" s="178" t="s">
        <v>37</v>
      </c>
      <c r="B227" s="214">
        <v>0</v>
      </c>
      <c r="C227" s="214">
        <v>0</v>
      </c>
      <c r="D227" s="214">
        <v>41.6</v>
      </c>
      <c r="E227" s="214">
        <f>7.1+0.2</f>
        <v>7.3</v>
      </c>
      <c r="F227" s="214">
        <v>2.2999999999999998</v>
      </c>
      <c r="G227" s="214">
        <v>17.5</v>
      </c>
      <c r="H227" s="214">
        <v>5</v>
      </c>
      <c r="I227" s="214">
        <v>0</v>
      </c>
      <c r="J227" s="214">
        <v>0</v>
      </c>
      <c r="K227" s="214">
        <v>0</v>
      </c>
      <c r="L227" s="214">
        <v>0</v>
      </c>
      <c r="M227" s="214">
        <v>0</v>
      </c>
      <c r="N227" s="115">
        <f>SUM(B227:M227)</f>
        <v>73.699999999999989</v>
      </c>
      <c r="O227" s="82">
        <f>SUM(B227:D227)</f>
        <v>41.6</v>
      </c>
      <c r="P227" s="82">
        <f>SUM(E227:G227)</f>
        <v>27.1</v>
      </c>
      <c r="Q227" s="82">
        <f>SUM(H227:J227)</f>
        <v>5</v>
      </c>
      <c r="R227" s="82">
        <f>SUM(K227:M227)</f>
        <v>0</v>
      </c>
      <c r="S227" s="82">
        <f>SUM(O227:R227)</f>
        <v>73.7</v>
      </c>
      <c r="T227" s="112">
        <v>0</v>
      </c>
      <c r="U227" s="112">
        <v>0</v>
      </c>
      <c r="X227" s="9"/>
      <c r="Z227" s="9"/>
      <c r="AB227" s="9"/>
    </row>
    <row r="228" spans="1:28" s="62" customFormat="1" x14ac:dyDescent="0.15">
      <c r="A228" s="176" t="s">
        <v>24</v>
      </c>
      <c r="B228" s="120">
        <f>SUM(B224:B227)</f>
        <v>22</v>
      </c>
      <c r="C228" s="120">
        <f>SUM(C224:C227)</f>
        <v>20</v>
      </c>
      <c r="D228" s="120">
        <f t="shared" ref="D228:N228" si="122">SUM(D224:D227)</f>
        <v>61.6</v>
      </c>
      <c r="E228" s="120">
        <f t="shared" si="122"/>
        <v>67.100000000000009</v>
      </c>
      <c r="F228" s="120">
        <f t="shared" si="122"/>
        <v>34.799999999999997</v>
      </c>
      <c r="G228" s="120">
        <f t="shared" si="122"/>
        <v>67.3</v>
      </c>
      <c r="H228" s="120">
        <f t="shared" si="122"/>
        <v>45</v>
      </c>
      <c r="I228" s="120">
        <f t="shared" si="122"/>
        <v>26</v>
      </c>
      <c r="J228" s="120">
        <f t="shared" si="122"/>
        <v>18</v>
      </c>
      <c r="K228" s="120">
        <f t="shared" si="122"/>
        <v>0</v>
      </c>
      <c r="L228" s="120">
        <f t="shared" si="122"/>
        <v>0</v>
      </c>
      <c r="M228" s="120">
        <f t="shared" si="122"/>
        <v>0</v>
      </c>
      <c r="N228" s="120">
        <f t="shared" si="122"/>
        <v>361.79999999999995</v>
      </c>
      <c r="O228" s="120">
        <f t="shared" ref="O228:U228" si="123">SUM(O224:O227)</f>
        <v>103.6</v>
      </c>
      <c r="P228" s="120">
        <f t="shared" si="123"/>
        <v>169.20000000000002</v>
      </c>
      <c r="Q228" s="120">
        <f t="shared" si="123"/>
        <v>89</v>
      </c>
      <c r="R228" s="120">
        <f t="shared" si="123"/>
        <v>0</v>
      </c>
      <c r="S228" s="120">
        <f t="shared" si="123"/>
        <v>361.79999999999995</v>
      </c>
      <c r="T228" s="120">
        <f t="shared" si="123"/>
        <v>0</v>
      </c>
      <c r="U228" s="120">
        <f t="shared" si="123"/>
        <v>0</v>
      </c>
      <c r="V228" s="21"/>
      <c r="X228" s="107"/>
      <c r="Z228" s="107"/>
      <c r="AB228" s="107"/>
    </row>
    <row r="229" spans="1:28" x14ac:dyDescent="0.15">
      <c r="A229" s="177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3"/>
      <c r="O229" s="123"/>
      <c r="P229" s="108"/>
      <c r="Q229" s="108"/>
      <c r="R229" s="108"/>
      <c r="S229" s="108"/>
      <c r="T229" s="123"/>
      <c r="U229" s="123"/>
    </row>
    <row r="230" spans="1:28" x14ac:dyDescent="0.15">
      <c r="A230" s="176" t="s">
        <v>25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21"/>
      <c r="O230" s="21"/>
      <c r="P230" s="69"/>
      <c r="Q230" s="69"/>
      <c r="R230" s="69"/>
      <c r="S230" s="69"/>
      <c r="T230" s="21"/>
      <c r="U230" s="21"/>
    </row>
    <row r="231" spans="1:28" x14ac:dyDescent="0.15">
      <c r="A231" s="177" t="s">
        <v>9</v>
      </c>
      <c r="B231" s="213">
        <v>509</v>
      </c>
      <c r="C231" s="213">
        <v>472</v>
      </c>
      <c r="D231" s="213">
        <v>1031.5</v>
      </c>
      <c r="E231" s="213">
        <v>480.2</v>
      </c>
      <c r="F231" s="213">
        <v>578.4</v>
      </c>
      <c r="G231" s="213">
        <v>810.9</v>
      </c>
      <c r="H231" s="213">
        <v>719</v>
      </c>
      <c r="I231" s="213">
        <v>517.20000000000005</v>
      </c>
      <c r="J231" s="213">
        <v>453.1</v>
      </c>
      <c r="K231" s="213">
        <f>Detail!W519/1000</f>
        <v>394.53213299999999</v>
      </c>
      <c r="L231" s="213">
        <f>Detail!X519/1000</f>
        <v>703.43808000000001</v>
      </c>
      <c r="M231" s="213">
        <f>Detail!Y519/1000</f>
        <v>830.25622904340003</v>
      </c>
      <c r="N231" s="21">
        <f>SUM(B231:M231)</f>
        <v>7499.5264420433996</v>
      </c>
      <c r="O231" s="82">
        <f>SUM(B231:D231)</f>
        <v>2012.5</v>
      </c>
      <c r="P231" s="82">
        <f>SUM(E231:G231)</f>
        <v>1869.5</v>
      </c>
      <c r="Q231" s="82">
        <f>SUM(H231:J231)</f>
        <v>1689.3000000000002</v>
      </c>
      <c r="R231" s="82">
        <f>SUM(K231:M231)</f>
        <v>1928.2264420434001</v>
      </c>
      <c r="S231" s="82">
        <f>SUM(O231:R231)</f>
        <v>7499.5264420434005</v>
      </c>
      <c r="T231" s="21">
        <f>4262.6436639623-63</f>
        <v>4199.6436639622998</v>
      </c>
      <c r="U231" s="21">
        <f>4262.6436639623+337</f>
        <v>4599.6436639622998</v>
      </c>
    </row>
    <row r="232" spans="1:28" x14ac:dyDescent="0.15">
      <c r="A232" s="177" t="s">
        <v>36</v>
      </c>
      <c r="B232" s="213">
        <v>52</v>
      </c>
      <c r="C232" s="213">
        <v>55</v>
      </c>
      <c r="D232" s="213">
        <v>72.5</v>
      </c>
      <c r="E232" s="213">
        <v>85.4</v>
      </c>
      <c r="F232" s="213">
        <v>95.6</v>
      </c>
      <c r="G232" s="213">
        <v>89.2</v>
      </c>
      <c r="H232" s="213">
        <v>100</v>
      </c>
      <c r="I232" s="213">
        <v>105</v>
      </c>
      <c r="J232" s="213">
        <v>82.3</v>
      </c>
      <c r="K232" s="213">
        <f>Detail!W544/1000</f>
        <v>77.117366999999987</v>
      </c>
      <c r="L232" s="213">
        <f>Detail!X544/1000</f>
        <v>82.996920000000003</v>
      </c>
      <c r="M232" s="213">
        <f>Detail!Y544/1000</f>
        <v>93.604840956599986</v>
      </c>
      <c r="N232" s="21">
        <f>SUM(B232:M232)</f>
        <v>990.7191279566</v>
      </c>
      <c r="O232" s="82">
        <f>SUM(B232:D232)</f>
        <v>179.5</v>
      </c>
      <c r="P232" s="82">
        <f>SUM(E232:G232)</f>
        <v>270.2</v>
      </c>
      <c r="Q232" s="82">
        <f>SUM(H232:J232)</f>
        <v>287.3</v>
      </c>
      <c r="R232" s="82">
        <f>SUM(K232:M232)</f>
        <v>253.71912795659998</v>
      </c>
      <c r="S232" s="82">
        <f>SUM(O232:R232)</f>
        <v>990.7191279566</v>
      </c>
      <c r="T232" s="21">
        <v>921.23161603769984</v>
      </c>
      <c r="U232" s="21">
        <v>921.23161603769984</v>
      </c>
      <c r="W232" s="29"/>
      <c r="Y232" s="29"/>
      <c r="AA232" s="29"/>
    </row>
    <row r="233" spans="1:28" x14ac:dyDescent="0.15">
      <c r="A233" s="177" t="s">
        <v>45</v>
      </c>
      <c r="B233" s="213">
        <v>0</v>
      </c>
      <c r="C233" s="213">
        <v>0</v>
      </c>
      <c r="D233" s="213">
        <v>0</v>
      </c>
      <c r="E233" s="213">
        <v>0</v>
      </c>
      <c r="F233" s="213">
        <v>0</v>
      </c>
      <c r="G233" s="213">
        <v>0</v>
      </c>
      <c r="H233" s="213">
        <v>0</v>
      </c>
      <c r="I233" s="213">
        <v>0</v>
      </c>
      <c r="J233" s="213">
        <v>0</v>
      </c>
      <c r="K233" s="213">
        <v>0</v>
      </c>
      <c r="L233" s="213">
        <v>0</v>
      </c>
      <c r="M233" s="213">
        <v>0</v>
      </c>
      <c r="N233" s="21">
        <f>SUM(B233:M233)</f>
        <v>0</v>
      </c>
      <c r="O233" s="82">
        <f>SUM(B233:D233)</f>
        <v>0</v>
      </c>
      <c r="P233" s="82">
        <f>SUM(E233:G233)</f>
        <v>0</v>
      </c>
      <c r="Q233" s="82">
        <f>SUM(H233:J233)</f>
        <v>0</v>
      </c>
      <c r="R233" s="82">
        <f>SUM(K233:M233)</f>
        <v>0</v>
      </c>
      <c r="S233" s="82">
        <f>SUM(O233:R233)</f>
        <v>0</v>
      </c>
      <c r="T233" s="21">
        <v>0</v>
      </c>
      <c r="U233" s="21">
        <v>0</v>
      </c>
      <c r="W233" s="29"/>
      <c r="Y233" s="29"/>
      <c r="AA233" s="29"/>
    </row>
    <row r="234" spans="1:28" x14ac:dyDescent="0.15">
      <c r="A234" s="177" t="s">
        <v>202</v>
      </c>
      <c r="B234" s="213">
        <v>-41</v>
      </c>
      <c r="C234" s="213">
        <v>20</v>
      </c>
      <c r="D234" s="213">
        <v>6.3</v>
      </c>
      <c r="E234" s="213">
        <v>52.3</v>
      </c>
      <c r="F234" s="213">
        <v>0.3</v>
      </c>
      <c r="G234" s="213">
        <v>3</v>
      </c>
      <c r="H234" s="213">
        <v>0</v>
      </c>
      <c r="I234" s="213">
        <v>0</v>
      </c>
      <c r="J234" s="213">
        <v>0</v>
      </c>
      <c r="K234" s="213">
        <v>0</v>
      </c>
      <c r="L234" s="213">
        <v>0</v>
      </c>
      <c r="M234" s="213">
        <v>0</v>
      </c>
      <c r="N234" s="21">
        <f>SUM(B234:M234)</f>
        <v>40.899999999999991</v>
      </c>
      <c r="O234" s="82">
        <f>SUM(B234:D234)</f>
        <v>-14.7</v>
      </c>
      <c r="P234" s="82">
        <f>SUM(E234:G234)</f>
        <v>55.599999999999994</v>
      </c>
      <c r="Q234" s="82">
        <f>SUM(H234:J234)</f>
        <v>0</v>
      </c>
      <c r="R234" s="82">
        <f>SUM(K234:M234)</f>
        <v>0</v>
      </c>
      <c r="S234" s="82">
        <f>SUM(O234:R234)</f>
        <v>40.899999999999991</v>
      </c>
      <c r="T234" s="21"/>
      <c r="U234" s="21"/>
      <c r="W234" s="29"/>
      <c r="Y234" s="29"/>
      <c r="AA234" s="29"/>
    </row>
    <row r="235" spans="1:28" x14ac:dyDescent="0.15">
      <c r="A235" s="177" t="s">
        <v>37</v>
      </c>
      <c r="B235" s="214">
        <v>104</v>
      </c>
      <c r="C235" s="214">
        <v>70</v>
      </c>
      <c r="D235" s="214">
        <v>36.200000000000003</v>
      </c>
      <c r="E235" s="214">
        <v>111</v>
      </c>
      <c r="F235" s="214">
        <v>41.6</v>
      </c>
      <c r="G235" s="214">
        <v>37.9</v>
      </c>
      <c r="H235" s="214">
        <v>45</v>
      </c>
      <c r="I235" s="214">
        <v>21.6</v>
      </c>
      <c r="J235" s="214">
        <v>24.8</v>
      </c>
      <c r="K235" s="214">
        <f>Detail!W548/1000</f>
        <v>10.252319999999999</v>
      </c>
      <c r="L235" s="214">
        <f>Detail!X548/1000</f>
        <v>17.677799999999998</v>
      </c>
      <c r="M235" s="214">
        <f>Detail!Y548/1000</f>
        <v>41.553329999999995</v>
      </c>
      <c r="N235" s="115">
        <f>SUM(B235:M235)</f>
        <v>561.58344999999997</v>
      </c>
      <c r="O235" s="82">
        <f>SUM(B235:D235)</f>
        <v>210.2</v>
      </c>
      <c r="P235" s="82">
        <f>SUM(E235:G235)</f>
        <v>190.5</v>
      </c>
      <c r="Q235" s="82">
        <f>SUM(H235:J235)</f>
        <v>91.399999999999991</v>
      </c>
      <c r="R235" s="82">
        <f>SUM(K235:M235)</f>
        <v>69.483449999999991</v>
      </c>
      <c r="S235" s="82">
        <f>SUM(O235:R235)</f>
        <v>561.58344999999997</v>
      </c>
      <c r="T235" s="112">
        <v>361.51403000000005</v>
      </c>
      <c r="U235" s="112">
        <v>361.51403000000005</v>
      </c>
      <c r="X235" s="29"/>
      <c r="Z235" s="29"/>
      <c r="AB235" s="29"/>
    </row>
    <row r="236" spans="1:28" x14ac:dyDescent="0.15">
      <c r="A236" s="176" t="s">
        <v>26</v>
      </c>
      <c r="B236" s="120">
        <f>SUM(B231:B235)</f>
        <v>624</v>
      </c>
      <c r="C236" s="120">
        <f>SUM(C231:C235)</f>
        <v>617</v>
      </c>
      <c r="D236" s="120">
        <f t="shared" ref="D236:N236" si="124">SUM(D231:D235)</f>
        <v>1146.5</v>
      </c>
      <c r="E236" s="120">
        <f t="shared" si="124"/>
        <v>728.9</v>
      </c>
      <c r="F236" s="120">
        <f t="shared" si="124"/>
        <v>715.9</v>
      </c>
      <c r="G236" s="120">
        <f t="shared" si="124"/>
        <v>941</v>
      </c>
      <c r="H236" s="120">
        <f t="shared" si="124"/>
        <v>864</v>
      </c>
      <c r="I236" s="120">
        <f t="shared" si="124"/>
        <v>643.80000000000007</v>
      </c>
      <c r="J236" s="120">
        <f t="shared" si="124"/>
        <v>560.19999999999993</v>
      </c>
      <c r="K236" s="120">
        <f t="shared" si="124"/>
        <v>481.90181999999999</v>
      </c>
      <c r="L236" s="120">
        <f t="shared" si="124"/>
        <v>804.11280000000011</v>
      </c>
      <c r="M236" s="120">
        <f t="shared" si="124"/>
        <v>965.4144</v>
      </c>
      <c r="N236" s="120">
        <f t="shared" si="124"/>
        <v>9092.7290199999989</v>
      </c>
      <c r="O236" s="120">
        <f t="shared" ref="O236:U236" si="125">SUM(O231:O235)</f>
        <v>2387.5</v>
      </c>
      <c r="P236" s="120">
        <f t="shared" si="125"/>
        <v>2385.7999999999997</v>
      </c>
      <c r="Q236" s="120">
        <f t="shared" si="125"/>
        <v>2068</v>
      </c>
      <c r="R236" s="120">
        <f t="shared" si="125"/>
        <v>2251.42902</v>
      </c>
      <c r="S236" s="120">
        <f t="shared" si="125"/>
        <v>9092.7290200000007</v>
      </c>
      <c r="T236" s="120">
        <f t="shared" si="125"/>
        <v>5482.3893099999996</v>
      </c>
      <c r="U236" s="120">
        <f t="shared" si="125"/>
        <v>5882.3893099999996</v>
      </c>
    </row>
    <row r="237" spans="1:28" x14ac:dyDescent="0.15">
      <c r="A237" s="176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3"/>
      <c r="O237" s="123"/>
      <c r="P237" s="82"/>
      <c r="Q237" s="84"/>
      <c r="R237" s="84"/>
      <c r="S237" s="82"/>
      <c r="T237" s="123"/>
      <c r="U237" s="123"/>
    </row>
    <row r="238" spans="1:28" x14ac:dyDescent="0.15">
      <c r="A238" s="176" t="s">
        <v>27</v>
      </c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21"/>
      <c r="O238" s="21"/>
      <c r="P238" s="82"/>
      <c r="Q238" s="84"/>
      <c r="R238" s="84"/>
      <c r="S238" s="82"/>
      <c r="T238" s="21"/>
      <c r="U238" s="21"/>
    </row>
    <row r="239" spans="1:28" x14ac:dyDescent="0.15">
      <c r="A239" s="177" t="s">
        <v>9</v>
      </c>
      <c r="B239" s="213">
        <v>257</v>
      </c>
      <c r="C239" s="213">
        <v>231</v>
      </c>
      <c r="D239" s="213">
        <v>256.7</v>
      </c>
      <c r="E239" s="213">
        <v>247.3</v>
      </c>
      <c r="F239" s="213">
        <v>256.2</v>
      </c>
      <c r="G239" s="213">
        <v>248.3</v>
      </c>
      <c r="H239" s="213">
        <v>257</v>
      </c>
      <c r="I239" s="213">
        <v>256.7</v>
      </c>
      <c r="J239" s="213">
        <v>238.7</v>
      </c>
      <c r="K239" s="213">
        <f>Detail!W578/1000</f>
        <v>252.96</v>
      </c>
      <c r="L239" s="213">
        <f>Detail!X578/1000</f>
        <v>244.8</v>
      </c>
      <c r="M239" s="213">
        <f>Detail!Y578/1000</f>
        <v>252.96</v>
      </c>
      <c r="N239" s="21">
        <f>SUM(B239:M239)</f>
        <v>2999.6200000000003</v>
      </c>
      <c r="O239" s="82">
        <f>SUM(B239:D239)</f>
        <v>744.7</v>
      </c>
      <c r="P239" s="82">
        <f>SUM(E239:G239)</f>
        <v>751.8</v>
      </c>
      <c r="Q239" s="82">
        <f>SUM(H239:J239)</f>
        <v>752.40000000000009</v>
      </c>
      <c r="R239" s="82">
        <f>SUM(K239:M239)</f>
        <v>750.72</v>
      </c>
      <c r="S239" s="82">
        <f>SUM(O239:R239)</f>
        <v>2999.62</v>
      </c>
      <c r="T239" s="21">
        <v>2978.4</v>
      </c>
      <c r="U239" s="21">
        <v>2978.4</v>
      </c>
    </row>
    <row r="240" spans="1:28" x14ac:dyDescent="0.15">
      <c r="A240" s="177" t="s">
        <v>36</v>
      </c>
      <c r="B240" s="213">
        <v>6</v>
      </c>
      <c r="C240" s="213">
        <v>5</v>
      </c>
      <c r="D240" s="213">
        <v>6.5</v>
      </c>
      <c r="E240" s="213">
        <v>10.1</v>
      </c>
      <c r="F240" s="213">
        <v>6.6</v>
      </c>
      <c r="G240" s="213">
        <v>6.9</v>
      </c>
      <c r="H240" s="213">
        <v>14</v>
      </c>
      <c r="I240" s="213">
        <v>13.6</v>
      </c>
      <c r="J240" s="213">
        <v>9.6999999999999993</v>
      </c>
      <c r="K240" s="213">
        <f>Detail!W585/1000</f>
        <v>7.5501119999999995</v>
      </c>
      <c r="L240" s="213">
        <f>Detail!X585/1000</f>
        <v>10.874879999999999</v>
      </c>
      <c r="M240" s="213">
        <f>Detail!Y585/1000</f>
        <v>11.237375999999998</v>
      </c>
      <c r="N240" s="21">
        <f>SUM(B240:M240)</f>
        <v>108.06236800000001</v>
      </c>
      <c r="O240" s="82">
        <f>SUM(B240:D240)</f>
        <v>17.5</v>
      </c>
      <c r="P240" s="82">
        <f>SUM(E240:G240)</f>
        <v>23.6</v>
      </c>
      <c r="Q240" s="82">
        <f>SUM(H240:J240)</f>
        <v>37.299999999999997</v>
      </c>
      <c r="R240" s="82">
        <f>SUM(K240:M240)</f>
        <v>29.662367999999997</v>
      </c>
      <c r="S240" s="82">
        <f>SUM(O240:R240)</f>
        <v>108.06236800000001</v>
      </c>
      <c r="T240" s="21">
        <v>129.01175999999998</v>
      </c>
      <c r="U240" s="21">
        <v>129.01175999999998</v>
      </c>
      <c r="W240" s="29"/>
      <c r="Y240" s="29"/>
      <c r="AA240" s="29"/>
    </row>
    <row r="241" spans="1:28" x14ac:dyDescent="0.15">
      <c r="A241" s="177" t="s">
        <v>45</v>
      </c>
      <c r="B241" s="213">
        <v>0</v>
      </c>
      <c r="C241" s="213">
        <v>0</v>
      </c>
      <c r="D241" s="213">
        <v>0</v>
      </c>
      <c r="E241" s="213">
        <v>0</v>
      </c>
      <c r="F241" s="213">
        <v>0</v>
      </c>
      <c r="G241" s="213">
        <v>0</v>
      </c>
      <c r="H241" s="213">
        <v>0</v>
      </c>
      <c r="I241" s="213">
        <v>0</v>
      </c>
      <c r="J241" s="213">
        <v>0</v>
      </c>
      <c r="K241" s="213">
        <v>0</v>
      </c>
      <c r="L241" s="213">
        <v>0</v>
      </c>
      <c r="M241" s="213">
        <v>0</v>
      </c>
      <c r="N241" s="21">
        <f>SUM(B241:M241)</f>
        <v>0</v>
      </c>
      <c r="O241" s="82">
        <f>SUM(B241:D241)</f>
        <v>0</v>
      </c>
      <c r="P241" s="82">
        <f>SUM(E241:G241)</f>
        <v>0</v>
      </c>
      <c r="Q241" s="82">
        <f>SUM(H241:J241)</f>
        <v>0</v>
      </c>
      <c r="R241" s="82">
        <f>SUM(K241:M241)</f>
        <v>0</v>
      </c>
      <c r="S241" s="82">
        <f>SUM(O241:R241)</f>
        <v>0</v>
      </c>
      <c r="T241" s="21">
        <v>0</v>
      </c>
      <c r="U241" s="21">
        <v>0</v>
      </c>
      <c r="W241" s="29"/>
      <c r="Y241" s="29"/>
      <c r="AA241" s="29"/>
    </row>
    <row r="242" spans="1:28" x14ac:dyDescent="0.15">
      <c r="A242" s="177" t="s">
        <v>37</v>
      </c>
      <c r="B242" s="214">
        <v>24</v>
      </c>
      <c r="C242" s="214">
        <v>13</v>
      </c>
      <c r="D242" s="214">
        <v>0.9</v>
      </c>
      <c r="E242" s="214">
        <v>0</v>
      </c>
      <c r="F242" s="214">
        <v>30.4</v>
      </c>
      <c r="G242" s="214">
        <v>29.7</v>
      </c>
      <c r="H242" s="214">
        <v>8</v>
      </c>
      <c r="I242" s="214">
        <v>4.7</v>
      </c>
      <c r="J242" s="214">
        <v>0</v>
      </c>
      <c r="K242" s="214">
        <v>0</v>
      </c>
      <c r="L242" s="214">
        <v>0</v>
      </c>
      <c r="M242" s="214">
        <v>0</v>
      </c>
      <c r="N242" s="115">
        <f>SUM(B242:M242)</f>
        <v>110.7</v>
      </c>
      <c r="O242" s="82">
        <f>SUM(B242:D242)</f>
        <v>37.9</v>
      </c>
      <c r="P242" s="82">
        <f>SUM(E242:G242)</f>
        <v>60.099999999999994</v>
      </c>
      <c r="Q242" s="82">
        <f>SUM(H242:J242)</f>
        <v>12.7</v>
      </c>
      <c r="R242" s="82">
        <f>SUM(K242:M242)</f>
        <v>0</v>
      </c>
      <c r="S242" s="82">
        <f>SUM(O242:R242)</f>
        <v>110.7</v>
      </c>
      <c r="T242" s="112">
        <v>0</v>
      </c>
      <c r="U242" s="112">
        <v>0</v>
      </c>
      <c r="X242" s="29"/>
      <c r="Z242" s="29"/>
      <c r="AB242" s="29"/>
    </row>
    <row r="243" spans="1:28" x14ac:dyDescent="0.15">
      <c r="A243" s="176" t="s">
        <v>28</v>
      </c>
      <c r="B243" s="120">
        <f>SUM(B239:B242)</f>
        <v>287</v>
      </c>
      <c r="C243" s="120">
        <f>SUM(C239:C242)</f>
        <v>249</v>
      </c>
      <c r="D243" s="120">
        <f t="shared" ref="D243:N243" si="126">SUM(D239:D242)</f>
        <v>264.09999999999997</v>
      </c>
      <c r="E243" s="120">
        <f t="shared" si="126"/>
        <v>257.40000000000003</v>
      </c>
      <c r="F243" s="120">
        <f t="shared" si="126"/>
        <v>293.2</v>
      </c>
      <c r="G243" s="120">
        <f t="shared" si="126"/>
        <v>284.90000000000003</v>
      </c>
      <c r="H243" s="120">
        <f t="shared" si="126"/>
        <v>279</v>
      </c>
      <c r="I243" s="120">
        <f t="shared" si="126"/>
        <v>275</v>
      </c>
      <c r="J243" s="120">
        <f t="shared" si="126"/>
        <v>248.39999999999998</v>
      </c>
      <c r="K243" s="120">
        <f t="shared" si="126"/>
        <v>260.51011199999999</v>
      </c>
      <c r="L243" s="120">
        <f t="shared" si="126"/>
        <v>255.67488</v>
      </c>
      <c r="M243" s="120">
        <f t="shared" si="126"/>
        <v>264.19737600000002</v>
      </c>
      <c r="N243" s="120">
        <f t="shared" si="126"/>
        <v>3218.382368</v>
      </c>
      <c r="O243" s="577">
        <f t="shared" ref="O243:U243" si="127">SUM(O239:O242)</f>
        <v>800.1</v>
      </c>
      <c r="P243" s="577">
        <f t="shared" si="127"/>
        <v>835.5</v>
      </c>
      <c r="Q243" s="577">
        <f t="shared" si="127"/>
        <v>802.40000000000009</v>
      </c>
      <c r="R243" s="577">
        <f t="shared" si="127"/>
        <v>780.38236800000004</v>
      </c>
      <c r="S243" s="577">
        <f t="shared" si="127"/>
        <v>3218.3823679999996</v>
      </c>
      <c r="T243" s="120">
        <f t="shared" si="127"/>
        <v>3107.41176</v>
      </c>
      <c r="U243" s="120">
        <f t="shared" si="127"/>
        <v>3107.41176</v>
      </c>
      <c r="X243" s="29"/>
      <c r="Z243" s="29"/>
      <c r="AB243" s="29"/>
    </row>
    <row r="244" spans="1:28" x14ac:dyDescent="0.15">
      <c r="A244" s="177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3"/>
      <c r="O244" s="123"/>
      <c r="P244" s="82"/>
      <c r="Q244" s="82"/>
      <c r="R244" s="82"/>
      <c r="S244" s="82"/>
      <c r="T244" s="123"/>
      <c r="U244" s="123"/>
      <c r="X244" s="29"/>
      <c r="Z244" s="29"/>
      <c r="AB244" s="29"/>
    </row>
    <row r="245" spans="1:28" x14ac:dyDescent="0.15">
      <c r="A245" s="176" t="s">
        <v>29</v>
      </c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21"/>
      <c r="O245" s="21"/>
      <c r="P245" s="311"/>
      <c r="Q245" s="84"/>
      <c r="R245" s="84"/>
      <c r="S245" s="82"/>
      <c r="T245" s="21"/>
      <c r="U245" s="21"/>
    </row>
    <row r="246" spans="1:28" x14ac:dyDescent="0.15">
      <c r="A246" s="177" t="s">
        <v>9</v>
      </c>
      <c r="B246" s="213">
        <v>615</v>
      </c>
      <c r="C246" s="213">
        <v>419</v>
      </c>
      <c r="D246" s="213">
        <v>382.1</v>
      </c>
      <c r="E246" s="213">
        <v>429.6</v>
      </c>
      <c r="F246" s="213">
        <v>462</v>
      </c>
      <c r="G246" s="213">
        <v>358.2</v>
      </c>
      <c r="H246" s="213">
        <v>457</v>
      </c>
      <c r="I246" s="213">
        <v>463.3</v>
      </c>
      <c r="J246" s="213">
        <v>447.2</v>
      </c>
      <c r="K246" s="213">
        <f>Detail!W610/1000</f>
        <v>463.43759999999997</v>
      </c>
      <c r="L246" s="213">
        <f>Detail!X610/1000</f>
        <v>448.488</v>
      </c>
      <c r="M246" s="213">
        <f>Detail!Y610/1000</f>
        <v>335.35552000000001</v>
      </c>
      <c r="N246" s="21">
        <f>SUM(B246:M246)</f>
        <v>5280.6811200000002</v>
      </c>
      <c r="O246" s="82">
        <f>SUM(B246:D246)</f>
        <v>1416.1</v>
      </c>
      <c r="P246" s="82">
        <f>SUM(E246:G246)</f>
        <v>1249.8</v>
      </c>
      <c r="Q246" s="82">
        <f>SUM(H246:J246)</f>
        <v>1367.5</v>
      </c>
      <c r="R246" s="82">
        <f>SUM(K246:M246)</f>
        <v>1247.2811200000001</v>
      </c>
      <c r="S246" s="82">
        <f>SUM(O246:R246)</f>
        <v>5280.6811199999993</v>
      </c>
      <c r="T246" s="21">
        <f>5349.573888-24.1</f>
        <v>5325.4738879999995</v>
      </c>
      <c r="U246" s="21">
        <f>5349.573888-24.1</f>
        <v>5325.4738879999995</v>
      </c>
    </row>
    <row r="247" spans="1:28" x14ac:dyDescent="0.15">
      <c r="A247" s="177" t="s">
        <v>36</v>
      </c>
      <c r="B247" s="213">
        <v>30</v>
      </c>
      <c r="C247" s="213">
        <v>22</v>
      </c>
      <c r="D247" s="213">
        <v>21.2</v>
      </c>
      <c r="E247" s="213">
        <v>47</v>
      </c>
      <c r="F247" s="213">
        <v>42.4</v>
      </c>
      <c r="G247" s="213">
        <v>38.1</v>
      </c>
      <c r="H247" s="213">
        <v>36</v>
      </c>
      <c r="I247" s="213">
        <v>36.1</v>
      </c>
      <c r="J247" s="213">
        <v>36</v>
      </c>
      <c r="K247" s="213">
        <f>Detail!W616/1000</f>
        <v>35.811199999999999</v>
      </c>
      <c r="L247" s="213">
        <f>Detail!X616/1000</f>
        <v>34.655999999999999</v>
      </c>
      <c r="M247" s="213">
        <f>Detail!Y616/1000</f>
        <v>24.244479999999999</v>
      </c>
      <c r="N247" s="21">
        <f>SUM(B247:M247)</f>
        <v>403.51168000000001</v>
      </c>
      <c r="O247" s="82">
        <f>SUM(B247:D247)</f>
        <v>73.2</v>
      </c>
      <c r="P247" s="82">
        <f>SUM(E247:G247)</f>
        <v>127.5</v>
      </c>
      <c r="Q247" s="82">
        <f>SUM(H247:J247)</f>
        <v>108.1</v>
      </c>
      <c r="R247" s="82">
        <f>SUM(K247:M247)</f>
        <v>94.711679999999987</v>
      </c>
      <c r="S247" s="82">
        <f>SUM(O247:R247)</f>
        <v>403.51167999999996</v>
      </c>
      <c r="T247" s="21">
        <v>414.46009599999996</v>
      </c>
      <c r="U247" s="21">
        <v>414.46009599999996</v>
      </c>
      <c r="W247" s="29"/>
      <c r="Y247" s="29"/>
      <c r="AA247" s="29"/>
    </row>
    <row r="248" spans="1:28" x14ac:dyDescent="0.15">
      <c r="A248" s="177" t="s">
        <v>45</v>
      </c>
      <c r="B248" s="213"/>
      <c r="C248" s="213">
        <v>0</v>
      </c>
      <c r="D248" s="213">
        <v>0</v>
      </c>
      <c r="E248" s="213">
        <v>0</v>
      </c>
      <c r="F248" s="213">
        <v>0</v>
      </c>
      <c r="G248" s="213">
        <v>0</v>
      </c>
      <c r="H248" s="213">
        <v>0</v>
      </c>
      <c r="I248" s="213">
        <v>0</v>
      </c>
      <c r="J248" s="213">
        <v>0</v>
      </c>
      <c r="K248" s="213">
        <v>0</v>
      </c>
      <c r="L248" s="213">
        <v>0</v>
      </c>
      <c r="M248" s="213">
        <v>0</v>
      </c>
      <c r="N248" s="21">
        <f>SUM(B248:M248)</f>
        <v>0</v>
      </c>
      <c r="O248" s="82">
        <f>SUM(B248:D248)</f>
        <v>0</v>
      </c>
      <c r="P248" s="82">
        <f>SUM(E248:G248)</f>
        <v>0</v>
      </c>
      <c r="Q248" s="82">
        <f>SUM(H248:J248)</f>
        <v>0</v>
      </c>
      <c r="R248" s="82">
        <f>SUM(K248:M248)</f>
        <v>0</v>
      </c>
      <c r="S248" s="82">
        <f>SUM(O248:R248)</f>
        <v>0</v>
      </c>
      <c r="T248" s="21">
        <v>0</v>
      </c>
      <c r="U248" s="21">
        <v>0</v>
      </c>
      <c r="W248" s="29"/>
      <c r="Y248" s="29"/>
      <c r="AA248" s="29"/>
    </row>
    <row r="249" spans="1:28" x14ac:dyDescent="0.15">
      <c r="A249" s="178" t="s">
        <v>37</v>
      </c>
      <c r="B249" s="214">
        <f>11+4</f>
        <v>15</v>
      </c>
      <c r="C249" s="214">
        <v>33</v>
      </c>
      <c r="D249" s="214">
        <v>24.7</v>
      </c>
      <c r="E249" s="214">
        <v>33.799999999999997</v>
      </c>
      <c r="F249" s="214">
        <v>25.9</v>
      </c>
      <c r="G249" s="214">
        <v>11.6</v>
      </c>
      <c r="H249" s="214">
        <v>15</v>
      </c>
      <c r="I249" s="214">
        <v>3.2</v>
      </c>
      <c r="J249" s="214">
        <v>0</v>
      </c>
      <c r="K249" s="214">
        <f>Detail!W620/1000</f>
        <v>12.4</v>
      </c>
      <c r="L249" s="214">
        <f>Detail!X620/1000</f>
        <v>10.836</v>
      </c>
      <c r="M249" s="214">
        <f>Detail!Y620/1000</f>
        <v>34.037379999999999</v>
      </c>
      <c r="N249" s="115">
        <f>SUM(B249:M249)</f>
        <v>219.47338000000002</v>
      </c>
      <c r="O249" s="82">
        <f>SUM(B249:D249)</f>
        <v>72.7</v>
      </c>
      <c r="P249" s="82">
        <f>SUM(E249:G249)</f>
        <v>71.3</v>
      </c>
      <c r="Q249" s="82">
        <f>SUM(H249:J249)</f>
        <v>18.2</v>
      </c>
      <c r="R249" s="82">
        <f>SUM(K249:M249)</f>
        <v>57.273380000000003</v>
      </c>
      <c r="S249" s="82">
        <f>SUM(O249:R249)</f>
        <v>219.47337999999999</v>
      </c>
      <c r="T249" s="112">
        <v>142.83929999999998</v>
      </c>
      <c r="U249" s="112">
        <v>142.83929999999998</v>
      </c>
      <c r="X249" s="29"/>
      <c r="Z249" s="29"/>
      <c r="AB249" s="29"/>
    </row>
    <row r="250" spans="1:28" x14ac:dyDescent="0.15">
      <c r="A250" s="176" t="s">
        <v>30</v>
      </c>
      <c r="B250" s="121">
        <f>SUM(B246:B249)</f>
        <v>660</v>
      </c>
      <c r="C250" s="121">
        <f>SUM(C246:C249)</f>
        <v>474</v>
      </c>
      <c r="D250" s="121">
        <f t="shared" ref="D250:P250" si="128">SUM(D246:D249)</f>
        <v>428</v>
      </c>
      <c r="E250" s="121">
        <f t="shared" si="128"/>
        <v>510.40000000000003</v>
      </c>
      <c r="F250" s="121">
        <f t="shared" si="128"/>
        <v>530.29999999999995</v>
      </c>
      <c r="G250" s="121">
        <f t="shared" si="128"/>
        <v>407.90000000000003</v>
      </c>
      <c r="H250" s="121">
        <f t="shared" si="128"/>
        <v>508</v>
      </c>
      <c r="I250" s="121">
        <f t="shared" si="128"/>
        <v>502.6</v>
      </c>
      <c r="J250" s="121">
        <f t="shared" si="128"/>
        <v>483.2</v>
      </c>
      <c r="K250" s="121">
        <f t="shared" si="128"/>
        <v>511.64879999999994</v>
      </c>
      <c r="L250" s="121">
        <f t="shared" si="128"/>
        <v>493.98</v>
      </c>
      <c r="M250" s="121">
        <f t="shared" si="128"/>
        <v>393.63738000000001</v>
      </c>
      <c r="N250" s="166">
        <f t="shared" si="128"/>
        <v>5903.6661800000002</v>
      </c>
      <c r="O250" s="166">
        <f t="shared" si="128"/>
        <v>1562</v>
      </c>
      <c r="P250" s="166">
        <f t="shared" si="128"/>
        <v>1448.6</v>
      </c>
      <c r="Q250" s="166">
        <f>SUM(Q246:Q249)</f>
        <v>1493.8</v>
      </c>
      <c r="R250" s="166">
        <f>SUM(R246:R249)</f>
        <v>1399.2661800000001</v>
      </c>
      <c r="S250" s="166">
        <f>SUM(S246:S249)</f>
        <v>5903.6661799999993</v>
      </c>
      <c r="T250" s="166">
        <f>SUM(T246:T249)</f>
        <v>5882.773283999999</v>
      </c>
      <c r="U250" s="166">
        <f>SUM(U246:U249)</f>
        <v>5882.773283999999</v>
      </c>
      <c r="X250" s="29"/>
      <c r="Z250" s="29"/>
      <c r="AB250" s="29"/>
    </row>
    <row r="251" spans="1:28" x14ac:dyDescent="0.15">
      <c r="A251" s="179" t="s">
        <v>71</v>
      </c>
      <c r="B251" s="120">
        <f>+B224+B231+B239+B246</f>
        <v>1401</v>
      </c>
      <c r="C251" s="120">
        <f>+C224+C231+C239+C246</f>
        <v>1139</v>
      </c>
      <c r="D251" s="120">
        <f t="shared" ref="D251:P251" si="129">+D224+D231+D239+D246</f>
        <v>1687.1</v>
      </c>
      <c r="E251" s="120">
        <f t="shared" si="129"/>
        <v>1211.8000000000002</v>
      </c>
      <c r="F251" s="120">
        <f t="shared" si="129"/>
        <v>1321.2</v>
      </c>
      <c r="G251" s="120">
        <f t="shared" si="129"/>
        <v>1460.8</v>
      </c>
      <c r="H251" s="120">
        <f t="shared" si="129"/>
        <v>1473</v>
      </c>
      <c r="I251" s="120">
        <f t="shared" si="129"/>
        <v>1263.2</v>
      </c>
      <c r="J251" s="120">
        <f t="shared" si="129"/>
        <v>1157</v>
      </c>
      <c r="K251" s="120">
        <f t="shared" si="129"/>
        <v>1110.9297329999999</v>
      </c>
      <c r="L251" s="120">
        <f t="shared" si="129"/>
        <v>1396.7260800000001</v>
      </c>
      <c r="M251" s="120">
        <f t="shared" si="129"/>
        <v>1418.5717490434001</v>
      </c>
      <c r="N251" s="166">
        <f t="shared" si="129"/>
        <v>16040.3275620434</v>
      </c>
      <c r="O251" s="166">
        <f>+O224+O231+O239+O246</f>
        <v>4227.1000000000004</v>
      </c>
      <c r="P251" s="166">
        <f t="shared" si="129"/>
        <v>3993.8</v>
      </c>
      <c r="Q251" s="166">
        <f>+Q224+Q231+Q239+Q246</f>
        <v>3893.2000000000003</v>
      </c>
      <c r="R251" s="166">
        <f>+R224+R231+R239+R246</f>
        <v>3926.2275620434002</v>
      </c>
      <c r="S251" s="166">
        <f>+S224+S231+S239+S246</f>
        <v>16040.3275620434</v>
      </c>
      <c r="T251" s="166">
        <f>+T224+T231+T239+T246</f>
        <v>12503.517551962301</v>
      </c>
      <c r="U251" s="166">
        <f>+U224+U231+U239+U246</f>
        <v>12903.517551962301</v>
      </c>
    </row>
    <row r="252" spans="1:28" x14ac:dyDescent="0.15">
      <c r="A252" s="179" t="s">
        <v>72</v>
      </c>
      <c r="B252" s="122">
        <f>B225+B226+B227+B232+B233+B234+B235+B240+B241+B242+B247+B248+B249</f>
        <v>192</v>
      </c>
      <c r="C252" s="122">
        <f>+C228+C236+C243+C250-C251</f>
        <v>221</v>
      </c>
      <c r="D252" s="122">
        <f t="shared" ref="D252:M252" si="130">+D228+D236+D243+D250-D251</f>
        <v>213.09999999999991</v>
      </c>
      <c r="E252" s="122">
        <f t="shared" si="130"/>
        <v>352</v>
      </c>
      <c r="F252" s="122">
        <f t="shared" si="130"/>
        <v>252.99999999999977</v>
      </c>
      <c r="G252" s="122">
        <f t="shared" si="130"/>
        <v>240.30000000000018</v>
      </c>
      <c r="H252" s="122">
        <f t="shared" si="130"/>
        <v>223</v>
      </c>
      <c r="I252" s="122">
        <f t="shared" si="130"/>
        <v>184.20000000000005</v>
      </c>
      <c r="J252" s="122">
        <f t="shared" si="130"/>
        <v>152.79999999999995</v>
      </c>
      <c r="K252" s="122">
        <f t="shared" si="130"/>
        <v>143.13099899999997</v>
      </c>
      <c r="L252" s="122">
        <f t="shared" si="130"/>
        <v>157.04160000000002</v>
      </c>
      <c r="M252" s="122">
        <f t="shared" si="130"/>
        <v>204.67740695659973</v>
      </c>
      <c r="N252" s="166">
        <f>SUM(B252:M252)</f>
        <v>2536.2500059565991</v>
      </c>
      <c r="O252" s="166">
        <f>SUM(B252:D252)</f>
        <v>626.09999999999991</v>
      </c>
      <c r="P252" s="166">
        <f>SUM(E252:G252)</f>
        <v>845.3</v>
      </c>
      <c r="Q252" s="166">
        <f>SUM(H252:J252)</f>
        <v>560</v>
      </c>
      <c r="R252" s="166">
        <f>SUM(K252:M252)</f>
        <v>504.85000595659972</v>
      </c>
      <c r="S252" s="166">
        <f>SUM(O252:R252)</f>
        <v>2536.2500059565996</v>
      </c>
      <c r="T252" s="166">
        <f>T249+T248+T247+T242+T241+T240+T235+T233+T234+T232+T227+T226+T225</f>
        <v>1969.0568020377</v>
      </c>
      <c r="U252" s="166">
        <f>U249+U248+U247+U242+U241+U240+U235+U233+U234+U232+U227+U226+U225</f>
        <v>1969.0568020377</v>
      </c>
      <c r="W252" s="33"/>
      <c r="X252" s="33"/>
      <c r="Y252" s="33"/>
      <c r="Z252" s="33"/>
      <c r="AA252" s="33"/>
      <c r="AB252" s="33"/>
    </row>
    <row r="253" spans="1:28" x14ac:dyDescent="0.15">
      <c r="A253" s="187" t="s">
        <v>73</v>
      </c>
      <c r="B253" s="122">
        <f>SUM(B251:B252)</f>
        <v>1593</v>
      </c>
      <c r="C253" s="122">
        <f>SUM(C251:C252)</f>
        <v>1360</v>
      </c>
      <c r="D253" s="122">
        <f t="shared" ref="D253:P253" si="131">SUM(D251:D252)</f>
        <v>1900.1999999999998</v>
      </c>
      <c r="E253" s="122">
        <f t="shared" si="131"/>
        <v>1563.8000000000002</v>
      </c>
      <c r="F253" s="122">
        <f t="shared" si="131"/>
        <v>1574.1999999999998</v>
      </c>
      <c r="G253" s="122">
        <f t="shared" si="131"/>
        <v>1701.1000000000001</v>
      </c>
      <c r="H253" s="122">
        <f t="shared" si="131"/>
        <v>1696</v>
      </c>
      <c r="I253" s="122">
        <f t="shared" si="131"/>
        <v>1447.4</v>
      </c>
      <c r="J253" s="122">
        <f t="shared" si="131"/>
        <v>1309.8</v>
      </c>
      <c r="K253" s="122">
        <f t="shared" si="131"/>
        <v>1254.0607319999999</v>
      </c>
      <c r="L253" s="122">
        <f t="shared" si="131"/>
        <v>1553.7676800000002</v>
      </c>
      <c r="M253" s="122">
        <f t="shared" si="131"/>
        <v>1623.2491559999999</v>
      </c>
      <c r="N253" s="166">
        <f t="shared" si="131"/>
        <v>18576.577568000001</v>
      </c>
      <c r="O253" s="166">
        <f t="shared" si="131"/>
        <v>4853.2000000000007</v>
      </c>
      <c r="P253" s="166">
        <f t="shared" si="131"/>
        <v>4839.1000000000004</v>
      </c>
      <c r="Q253" s="166">
        <f>SUM(Q251:Q252)</f>
        <v>4453.2000000000007</v>
      </c>
      <c r="R253" s="166">
        <f>SUM(R251:R252)</f>
        <v>4431.0775679999997</v>
      </c>
      <c r="S253" s="166">
        <f>SUM(S251:S252)</f>
        <v>18576.577568000001</v>
      </c>
      <c r="T253" s="166">
        <f>SUM(T251:T252)</f>
        <v>14472.574354</v>
      </c>
      <c r="U253" s="166">
        <f>SUM(U251:U252)</f>
        <v>14872.574354</v>
      </c>
    </row>
    <row r="254" spans="1:28" x14ac:dyDescent="0.15">
      <c r="A254" s="180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6"/>
      <c r="O254" s="126"/>
      <c r="P254" s="108"/>
      <c r="Q254" s="108"/>
      <c r="R254" s="108"/>
      <c r="S254" s="108"/>
      <c r="T254" s="126"/>
      <c r="U254" s="126"/>
    </row>
    <row r="255" spans="1:28" ht="15.75" x14ac:dyDescent="0.15">
      <c r="A255" s="175" t="s">
        <v>33</v>
      </c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08"/>
      <c r="Q255" s="108"/>
      <c r="R255" s="108"/>
      <c r="S255" s="108"/>
      <c r="T255" s="123"/>
      <c r="U255" s="123"/>
    </row>
    <row r="256" spans="1:28" x14ac:dyDescent="0.15">
      <c r="A256" s="176" t="s">
        <v>34</v>
      </c>
      <c r="B256" s="125"/>
      <c r="C256" s="125"/>
      <c r="D256" s="125"/>
      <c r="E256" s="125"/>
      <c r="F256" s="125"/>
      <c r="G256" s="125"/>
      <c r="H256" s="125"/>
      <c r="I256" s="125"/>
      <c r="J256" s="125"/>
      <c r="K256" s="125"/>
      <c r="L256" s="125"/>
      <c r="M256" s="125"/>
      <c r="N256" s="126"/>
      <c r="O256" s="126"/>
      <c r="P256" s="82"/>
      <c r="Q256" s="84"/>
      <c r="R256" s="84"/>
      <c r="S256" s="82"/>
      <c r="T256" s="126"/>
      <c r="U256" s="126"/>
    </row>
    <row r="257" spans="1:28" x14ac:dyDescent="0.15">
      <c r="A257" s="177" t="s">
        <v>9</v>
      </c>
      <c r="B257" s="217">
        <v>427</v>
      </c>
      <c r="C257" s="217">
        <v>311</v>
      </c>
      <c r="D257" s="217">
        <v>387.8</v>
      </c>
      <c r="E257" s="217">
        <v>375.4</v>
      </c>
      <c r="F257" s="217">
        <v>388.1</v>
      </c>
      <c r="G257" s="217">
        <v>376.4</v>
      </c>
      <c r="H257" s="217">
        <v>394</v>
      </c>
      <c r="I257" s="217">
        <v>373.4</v>
      </c>
      <c r="J257" s="217">
        <v>421.4</v>
      </c>
      <c r="K257" s="217">
        <f>Detail!W362/1000</f>
        <v>383.93777759999995</v>
      </c>
      <c r="L257" s="217">
        <f>Detail!X362/1000</f>
        <v>389.51853600000004</v>
      </c>
      <c r="M257" s="217">
        <f>Detail!Y362/1000</f>
        <v>404.72908080000002</v>
      </c>
      <c r="N257" s="21">
        <f>SUM(B257:M257)</f>
        <v>4632.6853943999995</v>
      </c>
      <c r="O257" s="82">
        <f>SUM(B257:D257)</f>
        <v>1125.8</v>
      </c>
      <c r="P257" s="82">
        <f>SUM(E257:G257)</f>
        <v>1139.9000000000001</v>
      </c>
      <c r="Q257" s="82">
        <f>SUM(H257:J257)</f>
        <v>1188.8</v>
      </c>
      <c r="R257" s="82">
        <f>SUM(K257:M257)</f>
        <v>1178.1853944</v>
      </c>
      <c r="S257" s="82">
        <f>SUM(O257:R257)</f>
        <v>4632.6853943999995</v>
      </c>
      <c r="T257" s="21">
        <v>4825.4303013999997</v>
      </c>
      <c r="U257" s="21">
        <v>4825.4303013999997</v>
      </c>
    </row>
    <row r="258" spans="1:28" x14ac:dyDescent="0.15">
      <c r="A258" s="177" t="s">
        <v>36</v>
      </c>
      <c r="B258" s="213">
        <v>8</v>
      </c>
      <c r="C258" s="213">
        <v>8</v>
      </c>
      <c r="D258" s="213">
        <v>8.1999999999999993</v>
      </c>
      <c r="E258" s="213">
        <v>6.1</v>
      </c>
      <c r="F258" s="213">
        <v>7.1</v>
      </c>
      <c r="G258" s="213">
        <v>6.8</v>
      </c>
      <c r="H258" s="213">
        <v>23.9</v>
      </c>
      <c r="I258" s="213">
        <v>26</v>
      </c>
      <c r="J258" s="213">
        <v>7.8</v>
      </c>
      <c r="K258" s="213">
        <f>Detail!W374/1000</f>
        <v>12.087222400000002</v>
      </c>
      <c r="L258" s="213">
        <f>Detail!X374/1000</f>
        <v>11.431464</v>
      </c>
      <c r="M258" s="213">
        <f>Detail!Y374/1000</f>
        <v>9.5859192000000011</v>
      </c>
      <c r="N258" s="21">
        <f>SUM(B258:M258)</f>
        <v>135.00460559999999</v>
      </c>
      <c r="O258" s="82">
        <f>SUM(B258:D258)</f>
        <v>24.2</v>
      </c>
      <c r="P258" s="82">
        <f>SUM(E258:G258)</f>
        <v>20</v>
      </c>
      <c r="Q258" s="82">
        <f>SUM(H258:J258)</f>
        <v>57.699999999999996</v>
      </c>
      <c r="R258" s="82">
        <f>SUM(K258:M258)</f>
        <v>33.104605599999999</v>
      </c>
      <c r="S258" s="82">
        <f>SUM(O258:R258)</f>
        <v>135.00460559999999</v>
      </c>
      <c r="T258" s="21">
        <v>136.2346986</v>
      </c>
      <c r="U258" s="21">
        <v>136.2346986</v>
      </c>
      <c r="W258" s="29"/>
      <c r="Y258" s="29"/>
      <c r="AA258" s="29"/>
    </row>
    <row r="259" spans="1:28" x14ac:dyDescent="0.15">
      <c r="A259" s="177" t="s">
        <v>45</v>
      </c>
      <c r="B259" s="213">
        <v>1</v>
      </c>
      <c r="C259" s="213"/>
      <c r="D259" s="213">
        <v>0</v>
      </c>
      <c r="E259" s="213">
        <v>0</v>
      </c>
      <c r="F259" s="213">
        <v>0</v>
      </c>
      <c r="G259" s="213">
        <v>0</v>
      </c>
      <c r="H259" s="213">
        <v>0</v>
      </c>
      <c r="I259" s="213">
        <v>0</v>
      </c>
      <c r="J259" s="213">
        <v>0</v>
      </c>
      <c r="K259" s="213">
        <v>0</v>
      </c>
      <c r="L259" s="213">
        <v>0</v>
      </c>
      <c r="M259" s="213">
        <v>0</v>
      </c>
      <c r="N259" s="21">
        <f>SUM(B259:M259)</f>
        <v>1</v>
      </c>
      <c r="O259" s="82">
        <f>SUM(B259:D259)</f>
        <v>1</v>
      </c>
      <c r="P259" s="82">
        <f>SUM(E259:G259)</f>
        <v>0</v>
      </c>
      <c r="Q259" s="82">
        <f>SUM(H259:J259)</f>
        <v>0</v>
      </c>
      <c r="R259" s="82">
        <f>SUM(K259:M259)</f>
        <v>0</v>
      </c>
      <c r="S259" s="82">
        <f>SUM(O259:R259)</f>
        <v>1</v>
      </c>
      <c r="T259" s="21">
        <v>0</v>
      </c>
      <c r="U259" s="21">
        <v>0</v>
      </c>
      <c r="W259" s="29"/>
      <c r="Y259" s="29"/>
      <c r="AA259" s="29"/>
    </row>
    <row r="260" spans="1:28" x14ac:dyDescent="0.15">
      <c r="A260" s="177" t="s">
        <v>37</v>
      </c>
      <c r="B260" s="214">
        <v>44</v>
      </c>
      <c r="C260" s="214">
        <v>91</v>
      </c>
      <c r="D260" s="214">
        <v>8.6999999999999993</v>
      </c>
      <c r="E260" s="214">
        <v>9.6999999999999993</v>
      </c>
      <c r="F260" s="214">
        <v>10.199999999999999</v>
      </c>
      <c r="G260" s="214">
        <v>21.3</v>
      </c>
      <c r="H260" s="214">
        <v>155.19999999999999</v>
      </c>
      <c r="I260" s="214">
        <v>89.8</v>
      </c>
      <c r="J260" s="214">
        <v>0</v>
      </c>
      <c r="K260" s="214">
        <f>Detail!W378/1000</f>
        <v>39.99</v>
      </c>
      <c r="L260" s="214">
        <f>Detail!X378/1000</f>
        <v>38.700000000000003</v>
      </c>
      <c r="M260" s="214">
        <f>Detail!Y378/1000</f>
        <v>10.881</v>
      </c>
      <c r="N260" s="115">
        <f>SUM(B260:M260)</f>
        <v>519.471</v>
      </c>
      <c r="O260" s="82">
        <f>SUM(B260:D260)</f>
        <v>143.69999999999999</v>
      </c>
      <c r="P260" s="82">
        <f>SUM(E260:G260)</f>
        <v>41.2</v>
      </c>
      <c r="Q260" s="82">
        <f>SUM(H260:J260)</f>
        <v>245</v>
      </c>
      <c r="R260" s="82">
        <f>SUM(K260:M260)</f>
        <v>89.570999999999998</v>
      </c>
      <c r="S260" s="82">
        <f>SUM(O260:R260)</f>
        <v>519.471</v>
      </c>
      <c r="T260" s="112">
        <v>193.92698000000004</v>
      </c>
      <c r="U260" s="112">
        <v>193.92698000000004</v>
      </c>
      <c r="X260" s="29"/>
      <c r="Z260" s="29"/>
      <c r="AB260" s="29"/>
    </row>
    <row r="261" spans="1:28" x14ac:dyDescent="0.15">
      <c r="A261" s="176" t="s">
        <v>38</v>
      </c>
      <c r="B261" s="127">
        <f>SUM(B257:B260)</f>
        <v>480</v>
      </c>
      <c r="C261" s="127">
        <f>SUM(C257:C260)</f>
        <v>410</v>
      </c>
      <c r="D261" s="127">
        <f t="shared" ref="D261:S261" si="132">SUM(D257:D260)</f>
        <v>404.7</v>
      </c>
      <c r="E261" s="127">
        <f t="shared" si="132"/>
        <v>391.2</v>
      </c>
      <c r="F261" s="127">
        <f t="shared" si="132"/>
        <v>405.40000000000003</v>
      </c>
      <c r="G261" s="127">
        <f t="shared" si="132"/>
        <v>404.5</v>
      </c>
      <c r="H261" s="127">
        <f t="shared" si="132"/>
        <v>573.09999999999991</v>
      </c>
      <c r="I261" s="127">
        <f t="shared" si="132"/>
        <v>489.2</v>
      </c>
      <c r="J261" s="127">
        <f t="shared" si="132"/>
        <v>429.2</v>
      </c>
      <c r="K261" s="127">
        <f t="shared" si="132"/>
        <v>436.01499999999999</v>
      </c>
      <c r="L261" s="127">
        <f t="shared" si="132"/>
        <v>439.65000000000003</v>
      </c>
      <c r="M261" s="127">
        <f t="shared" si="132"/>
        <v>425.19600000000003</v>
      </c>
      <c r="N261" s="120">
        <f t="shared" si="132"/>
        <v>5288.1610000000001</v>
      </c>
      <c r="O261" s="578">
        <f t="shared" si="132"/>
        <v>1294.7</v>
      </c>
      <c r="P261" s="578">
        <f t="shared" si="132"/>
        <v>1201.1000000000001</v>
      </c>
      <c r="Q261" s="578">
        <f t="shared" si="132"/>
        <v>1491.5</v>
      </c>
      <c r="R261" s="578">
        <f t="shared" si="132"/>
        <v>1300.8609999999999</v>
      </c>
      <c r="S261" s="578">
        <f t="shared" si="132"/>
        <v>5288.1610000000001</v>
      </c>
      <c r="T261" s="120">
        <f>SUM(T257:T260)</f>
        <v>5155.5919800000001</v>
      </c>
      <c r="U261" s="120">
        <f>SUM(U257:U260)</f>
        <v>5155.5919800000001</v>
      </c>
      <c r="X261" s="29"/>
      <c r="Z261" s="29"/>
      <c r="AB261" s="29"/>
    </row>
    <row r="262" spans="1:28" x14ac:dyDescent="0.15">
      <c r="A262" s="177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08"/>
      <c r="Q262" s="108"/>
      <c r="R262" s="108"/>
      <c r="S262" s="108"/>
      <c r="T262" s="123"/>
      <c r="U262" s="123"/>
    </row>
    <row r="263" spans="1:28" x14ac:dyDescent="0.15">
      <c r="A263" s="176" t="s">
        <v>39</v>
      </c>
      <c r="B263" s="125"/>
      <c r="C263" s="125"/>
      <c r="D263" s="125"/>
      <c r="E263" s="125"/>
      <c r="F263" s="125"/>
      <c r="G263" s="125"/>
      <c r="H263" s="125"/>
      <c r="I263" s="125"/>
      <c r="J263" s="125"/>
      <c r="K263" s="125"/>
      <c r="L263" s="125"/>
      <c r="M263" s="125"/>
      <c r="N263" s="126"/>
      <c r="O263" s="126"/>
      <c r="P263" s="82"/>
      <c r="Q263" s="84"/>
      <c r="R263" s="84"/>
      <c r="S263" s="82"/>
      <c r="T263" s="126"/>
      <c r="U263" s="126"/>
    </row>
    <row r="264" spans="1:28" x14ac:dyDescent="0.15">
      <c r="A264" s="177" t="s">
        <v>9</v>
      </c>
      <c r="B264" s="213">
        <v>320</v>
      </c>
      <c r="C264" s="213">
        <v>325</v>
      </c>
      <c r="D264" s="213">
        <v>378.8</v>
      </c>
      <c r="E264" s="213">
        <v>498.7</v>
      </c>
      <c r="F264" s="213">
        <v>508.4</v>
      </c>
      <c r="G264" s="213">
        <v>431.5</v>
      </c>
      <c r="H264" s="213">
        <v>418.6</v>
      </c>
      <c r="I264" s="213">
        <v>490.6</v>
      </c>
      <c r="J264" s="213">
        <v>345.4</v>
      </c>
      <c r="K264" s="213">
        <f>Detail!W421/1000</f>
        <v>287.77642705</v>
      </c>
      <c r="L264" s="213">
        <f>Detail!X421/1000</f>
        <v>269.32982249999998</v>
      </c>
      <c r="M264" s="213">
        <f>Detail!Y421/1000</f>
        <v>270.81134845000003</v>
      </c>
      <c r="N264" s="21">
        <f>SUM(B264:M264)</f>
        <v>4544.917598</v>
      </c>
      <c r="O264" s="82">
        <f>SUM(B264:D264)</f>
        <v>1023.8</v>
      </c>
      <c r="P264" s="82">
        <f>SUM(E264:G264)</f>
        <v>1438.6</v>
      </c>
      <c r="Q264" s="82">
        <f>SUM(H264:J264)</f>
        <v>1254.5999999999999</v>
      </c>
      <c r="R264" s="82">
        <f>SUM(K264:M264)</f>
        <v>827.917598</v>
      </c>
      <c r="S264" s="82">
        <f>SUM(O264:R264)</f>
        <v>4544.917598</v>
      </c>
      <c r="T264" s="21">
        <v>2883.8940675299996</v>
      </c>
      <c r="U264" s="21">
        <v>2883.8940675299996</v>
      </c>
    </row>
    <row r="265" spans="1:28" x14ac:dyDescent="0.15">
      <c r="A265" s="177" t="s">
        <v>36</v>
      </c>
      <c r="B265" s="213">
        <v>24</v>
      </c>
      <c r="C265" s="213">
        <v>22</v>
      </c>
      <c r="D265" s="213">
        <v>21.9</v>
      </c>
      <c r="E265" s="213">
        <v>24.8</v>
      </c>
      <c r="F265" s="213">
        <v>22.8</v>
      </c>
      <c r="G265" s="213">
        <v>24</v>
      </c>
      <c r="H265" s="213">
        <v>8.4</v>
      </c>
      <c r="I265" s="213">
        <v>9</v>
      </c>
      <c r="J265" s="213">
        <v>25.3</v>
      </c>
      <c r="K265" s="213">
        <f>Detail!W434/1000</f>
        <v>19.94507295</v>
      </c>
      <c r="L265" s="213">
        <f>Detail!X434/1000</f>
        <v>23.965177499999999</v>
      </c>
      <c r="M265" s="213">
        <f>Detail!Y434/1000</f>
        <v>32.260151549999996</v>
      </c>
      <c r="N265" s="21">
        <f>SUM(B265:M265)</f>
        <v>258.37040200000001</v>
      </c>
      <c r="O265" s="82">
        <f>SUM(B265:D265)</f>
        <v>67.900000000000006</v>
      </c>
      <c r="P265" s="82">
        <f>SUM(E265:G265)</f>
        <v>71.599999999999994</v>
      </c>
      <c r="Q265" s="82">
        <f>SUM(H265:J265)</f>
        <v>42.7</v>
      </c>
      <c r="R265" s="82">
        <f>SUM(K265:M265)</f>
        <v>76.170401999999996</v>
      </c>
      <c r="S265" s="82">
        <f>SUM(O265:R265)</f>
        <v>258.37040200000001</v>
      </c>
      <c r="T265" s="21">
        <f>319.86443247-37.9</f>
        <v>281.96443247000002</v>
      </c>
      <c r="U265" s="21">
        <f>319.86443247-37.9</f>
        <v>281.96443247000002</v>
      </c>
      <c r="W265" s="29"/>
      <c r="Y265" s="29"/>
      <c r="AA265" s="29"/>
    </row>
    <row r="266" spans="1:28" x14ac:dyDescent="0.15">
      <c r="A266" s="177" t="s">
        <v>45</v>
      </c>
      <c r="B266" s="213">
        <v>0</v>
      </c>
      <c r="C266" s="235">
        <v>0</v>
      </c>
      <c r="D266" s="213">
        <v>0</v>
      </c>
      <c r="E266" s="213">
        <v>0</v>
      </c>
      <c r="F266" s="213">
        <v>0</v>
      </c>
      <c r="G266" s="213">
        <v>0</v>
      </c>
      <c r="H266" s="213">
        <v>0</v>
      </c>
      <c r="I266" s="213">
        <v>0</v>
      </c>
      <c r="J266" s="213">
        <v>0</v>
      </c>
      <c r="K266" s="213">
        <v>0</v>
      </c>
      <c r="L266" s="213">
        <v>0</v>
      </c>
      <c r="M266" s="213">
        <v>0</v>
      </c>
      <c r="N266" s="21">
        <f>SUM(B266:M266)</f>
        <v>0</v>
      </c>
      <c r="O266" s="82">
        <f>SUM(B266:D266)</f>
        <v>0</v>
      </c>
      <c r="P266" s="82">
        <f>SUM(E266:G266)</f>
        <v>0</v>
      </c>
      <c r="Q266" s="82">
        <f>SUM(H266:J266)</f>
        <v>0</v>
      </c>
      <c r="R266" s="82">
        <f>SUM(K266:M266)</f>
        <v>0</v>
      </c>
      <c r="S266" s="82">
        <f>SUM(O266:R266)</f>
        <v>0</v>
      </c>
      <c r="T266" s="21">
        <v>0</v>
      </c>
      <c r="U266" s="21">
        <v>0</v>
      </c>
      <c r="W266" s="29"/>
      <c r="Y266" s="29"/>
      <c r="AA266" s="29"/>
    </row>
    <row r="267" spans="1:28" x14ac:dyDescent="0.15">
      <c r="A267" s="178" t="s">
        <v>37</v>
      </c>
      <c r="B267" s="214">
        <v>121</v>
      </c>
      <c r="C267" s="214">
        <v>109</v>
      </c>
      <c r="D267" s="214">
        <v>140.80000000000001</v>
      </c>
      <c r="E267" s="214">
        <v>177</v>
      </c>
      <c r="F267" s="214">
        <v>314.89999999999998</v>
      </c>
      <c r="G267" s="214">
        <v>187.9</v>
      </c>
      <c r="H267" s="214">
        <v>1.5</v>
      </c>
      <c r="I267" s="214">
        <v>0.6</v>
      </c>
      <c r="J267" s="214">
        <v>12.2</v>
      </c>
      <c r="K267" s="214">
        <f>Detail!W438/1000</f>
        <v>12.1706</v>
      </c>
      <c r="L267" s="214">
        <f>Detail!X438/1000</f>
        <v>11.778</v>
      </c>
      <c r="M267" s="214">
        <f>Detail!Y438/1000</f>
        <v>47.793010000000002</v>
      </c>
      <c r="N267" s="115">
        <f>SUM(B267:M267)</f>
        <v>1136.6416099999999</v>
      </c>
      <c r="O267" s="82">
        <f>SUM(B267:D267)</f>
        <v>370.8</v>
      </c>
      <c r="P267" s="82">
        <f>SUM(E267:G267)</f>
        <v>679.8</v>
      </c>
      <c r="Q267" s="82">
        <f>SUM(H267:J267)</f>
        <v>14.299999999999999</v>
      </c>
      <c r="R267" s="82">
        <f>SUM(K267:M267)</f>
        <v>71.741610000000009</v>
      </c>
      <c r="S267" s="82">
        <f>SUM(O267:R267)</f>
        <v>1136.6416099999999</v>
      </c>
      <c r="T267" s="112">
        <v>541.21141000000011</v>
      </c>
      <c r="U267" s="112">
        <v>541.21141000000011</v>
      </c>
      <c r="X267" s="29"/>
      <c r="Z267" s="29"/>
      <c r="AB267" s="29"/>
    </row>
    <row r="268" spans="1:28" x14ac:dyDescent="0.15">
      <c r="A268" s="176" t="s">
        <v>74</v>
      </c>
      <c r="B268" s="128">
        <f>SUM(B264:B267)</f>
        <v>465</v>
      </c>
      <c r="C268" s="128">
        <f>SUM(C264:C267)</f>
        <v>456</v>
      </c>
      <c r="D268" s="128">
        <f t="shared" ref="D268:P268" si="133">SUM(D264:D267)</f>
        <v>541.5</v>
      </c>
      <c r="E268" s="128">
        <f t="shared" si="133"/>
        <v>700.5</v>
      </c>
      <c r="F268" s="128">
        <f t="shared" si="133"/>
        <v>846.09999999999991</v>
      </c>
      <c r="G268" s="128">
        <f t="shared" si="133"/>
        <v>643.4</v>
      </c>
      <c r="H268" s="128">
        <f t="shared" si="133"/>
        <v>428.5</v>
      </c>
      <c r="I268" s="128">
        <f t="shared" si="133"/>
        <v>500.20000000000005</v>
      </c>
      <c r="J268" s="128">
        <f t="shared" si="133"/>
        <v>382.9</v>
      </c>
      <c r="K268" s="128">
        <f t="shared" si="133"/>
        <v>319.89209999999997</v>
      </c>
      <c r="L268" s="128">
        <f t="shared" si="133"/>
        <v>305.07299999999998</v>
      </c>
      <c r="M268" s="128">
        <f t="shared" si="133"/>
        <v>350.86451</v>
      </c>
      <c r="N268" s="166">
        <f t="shared" si="133"/>
        <v>5939.9296100000001</v>
      </c>
      <c r="O268" s="166">
        <f t="shared" si="133"/>
        <v>1462.5</v>
      </c>
      <c r="P268" s="166">
        <f t="shared" si="133"/>
        <v>2190</v>
      </c>
      <c r="Q268" s="166">
        <f>SUM(Q264:Q267)</f>
        <v>1311.6</v>
      </c>
      <c r="R268" s="166">
        <f>SUM(R264:R267)</f>
        <v>975.82961</v>
      </c>
      <c r="S268" s="166">
        <f>SUM(S264:S267)</f>
        <v>5939.9296100000001</v>
      </c>
      <c r="T268" s="166">
        <f>SUM(T264:T267)</f>
        <v>3707.0699099999993</v>
      </c>
      <c r="U268" s="166">
        <f>SUM(U264:U267)</f>
        <v>3707.0699099999993</v>
      </c>
    </row>
    <row r="269" spans="1:28" x14ac:dyDescent="0.15">
      <c r="A269" s="179" t="s">
        <v>75</v>
      </c>
      <c r="B269" s="128">
        <f>+B257+B264</f>
        <v>747</v>
      </c>
      <c r="C269" s="128">
        <f>+C257+C264</f>
        <v>636</v>
      </c>
      <c r="D269" s="128">
        <f t="shared" ref="D269:N269" si="134">+D257+D264</f>
        <v>766.6</v>
      </c>
      <c r="E269" s="128">
        <f t="shared" si="134"/>
        <v>874.09999999999991</v>
      </c>
      <c r="F269" s="128">
        <f t="shared" si="134"/>
        <v>896.5</v>
      </c>
      <c r="G269" s="128">
        <f t="shared" si="134"/>
        <v>807.9</v>
      </c>
      <c r="H269" s="128">
        <f t="shared" si="134"/>
        <v>812.6</v>
      </c>
      <c r="I269" s="128">
        <f t="shared" si="134"/>
        <v>864</v>
      </c>
      <c r="J269" s="128">
        <f t="shared" si="134"/>
        <v>766.8</v>
      </c>
      <c r="K269" s="128">
        <f t="shared" si="134"/>
        <v>671.71420464999994</v>
      </c>
      <c r="L269" s="128">
        <f t="shared" si="134"/>
        <v>658.84835850000002</v>
      </c>
      <c r="M269" s="128">
        <f t="shared" si="134"/>
        <v>675.54042924999999</v>
      </c>
      <c r="N269" s="166">
        <f t="shared" si="134"/>
        <v>9177.6029923999995</v>
      </c>
      <c r="O269" s="166">
        <f t="shared" ref="O269:U269" si="135">+O257+O264</f>
        <v>2149.6</v>
      </c>
      <c r="P269" s="166">
        <f t="shared" si="135"/>
        <v>2578.5</v>
      </c>
      <c r="Q269" s="166">
        <f t="shared" si="135"/>
        <v>2443.3999999999996</v>
      </c>
      <c r="R269" s="166">
        <f t="shared" si="135"/>
        <v>2006.1029923999999</v>
      </c>
      <c r="S269" s="166">
        <f t="shared" si="135"/>
        <v>9177.6029923999995</v>
      </c>
      <c r="T269" s="166">
        <f t="shared" si="135"/>
        <v>7709.3243689299998</v>
      </c>
      <c r="U269" s="166">
        <f t="shared" si="135"/>
        <v>7709.3243689299998</v>
      </c>
    </row>
    <row r="270" spans="1:28" x14ac:dyDescent="0.15">
      <c r="A270" s="179" t="s">
        <v>76</v>
      </c>
      <c r="B270" s="123">
        <f>+B261+B268-B269</f>
        <v>198</v>
      </c>
      <c r="C270" s="123">
        <f>+C261+C268-C269</f>
        <v>230</v>
      </c>
      <c r="D270" s="123">
        <f t="shared" ref="D270:P270" si="136">+D261+D268-D269</f>
        <v>179.60000000000002</v>
      </c>
      <c r="E270" s="123">
        <f t="shared" si="136"/>
        <v>217.60000000000014</v>
      </c>
      <c r="F270" s="123">
        <f t="shared" si="136"/>
        <v>355</v>
      </c>
      <c r="G270" s="123">
        <f t="shared" si="136"/>
        <v>240.00000000000011</v>
      </c>
      <c r="H270" s="123">
        <f t="shared" si="136"/>
        <v>188.99999999999989</v>
      </c>
      <c r="I270" s="123">
        <f t="shared" si="136"/>
        <v>125.40000000000009</v>
      </c>
      <c r="J270" s="123">
        <f t="shared" si="136"/>
        <v>45.299999999999955</v>
      </c>
      <c r="K270" s="123">
        <f t="shared" si="136"/>
        <v>84.192895349999958</v>
      </c>
      <c r="L270" s="123">
        <f t="shared" si="136"/>
        <v>85.874641499999939</v>
      </c>
      <c r="M270" s="123">
        <f t="shared" si="136"/>
        <v>100.52008075000003</v>
      </c>
      <c r="N270" s="166">
        <f t="shared" si="136"/>
        <v>2050.4876175999998</v>
      </c>
      <c r="O270" s="166">
        <f t="shared" si="136"/>
        <v>607.59999999999991</v>
      </c>
      <c r="P270" s="166">
        <f t="shared" si="136"/>
        <v>812.60000000000036</v>
      </c>
      <c r="Q270" s="166">
        <f>+Q261+Q268-Q269</f>
        <v>359.70000000000027</v>
      </c>
      <c r="R270" s="166">
        <f>+R261+R268-R269</f>
        <v>270.5876175999997</v>
      </c>
      <c r="S270" s="166">
        <f>+S261+S268-S269</f>
        <v>2050.4876175999998</v>
      </c>
      <c r="T270" s="166">
        <f>+T261+T268-T269</f>
        <v>1153.3375210699996</v>
      </c>
      <c r="U270" s="166">
        <f>+U261+U268-U269</f>
        <v>1153.3375210699996</v>
      </c>
    </row>
    <row r="271" spans="1:28" s="62" customFormat="1" x14ac:dyDescent="0.15">
      <c r="A271" s="187" t="s">
        <v>77</v>
      </c>
      <c r="B271" s="122">
        <f>SUM(B269:B270)</f>
        <v>945</v>
      </c>
      <c r="C271" s="122">
        <f>SUM(C269:C270)</f>
        <v>866</v>
      </c>
      <c r="D271" s="122">
        <f t="shared" ref="D271:N271" si="137">SUM(D269:D270)</f>
        <v>946.2</v>
      </c>
      <c r="E271" s="122">
        <f t="shared" si="137"/>
        <v>1091.7</v>
      </c>
      <c r="F271" s="122">
        <f t="shared" si="137"/>
        <v>1251.5</v>
      </c>
      <c r="G271" s="122">
        <f t="shared" si="137"/>
        <v>1047.9000000000001</v>
      </c>
      <c r="H271" s="122">
        <f t="shared" si="137"/>
        <v>1001.5999999999999</v>
      </c>
      <c r="I271" s="122">
        <f t="shared" si="137"/>
        <v>989.40000000000009</v>
      </c>
      <c r="J271" s="122">
        <f t="shared" si="137"/>
        <v>812.09999999999991</v>
      </c>
      <c r="K271" s="122">
        <f t="shared" si="137"/>
        <v>755.9070999999999</v>
      </c>
      <c r="L271" s="122">
        <f t="shared" si="137"/>
        <v>744.72299999999996</v>
      </c>
      <c r="M271" s="122">
        <f t="shared" si="137"/>
        <v>776.06051000000002</v>
      </c>
      <c r="N271" s="166">
        <f t="shared" si="137"/>
        <v>11228.090609999999</v>
      </c>
      <c r="O271" s="74">
        <f t="shared" ref="O271:U271" si="138">SUM(O269:O270)</f>
        <v>2757.2</v>
      </c>
      <c r="P271" s="74">
        <f t="shared" si="138"/>
        <v>3391.1000000000004</v>
      </c>
      <c r="Q271" s="74">
        <f t="shared" si="138"/>
        <v>2803.1</v>
      </c>
      <c r="R271" s="74">
        <f t="shared" si="138"/>
        <v>2276.6906099999997</v>
      </c>
      <c r="S271" s="74">
        <f t="shared" si="138"/>
        <v>11228.090609999999</v>
      </c>
      <c r="T271" s="166">
        <f t="shared" si="138"/>
        <v>8862.6618899999994</v>
      </c>
      <c r="U271" s="166">
        <f t="shared" si="138"/>
        <v>8862.6618899999994</v>
      </c>
      <c r="V271" s="21"/>
      <c r="W271" s="109"/>
      <c r="X271" s="109"/>
      <c r="Y271" s="109"/>
      <c r="Z271" s="109"/>
      <c r="AA271" s="109"/>
      <c r="AB271" s="109"/>
    </row>
    <row r="272" spans="1:28" s="62" customFormat="1" x14ac:dyDescent="0.15">
      <c r="A272" s="180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6"/>
      <c r="O272" s="126"/>
      <c r="P272" s="110"/>
      <c r="Q272" s="110"/>
      <c r="R272" s="110"/>
      <c r="S272" s="110"/>
      <c r="T272" s="126"/>
      <c r="U272" s="126"/>
      <c r="V272" s="21"/>
      <c r="W272" s="109"/>
      <c r="X272" s="109"/>
      <c r="Y272" s="109"/>
      <c r="Z272" s="109"/>
      <c r="AA272" s="109"/>
      <c r="AB272" s="109"/>
    </row>
    <row r="273" spans="1:28" s="62" customFormat="1" ht="15.75" x14ac:dyDescent="0.15">
      <c r="A273" s="175" t="s">
        <v>43</v>
      </c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10"/>
      <c r="Q273" s="110"/>
      <c r="R273" s="110"/>
      <c r="S273" s="110"/>
      <c r="T273" s="123"/>
      <c r="U273" s="123"/>
      <c r="V273" s="21"/>
      <c r="W273" s="109"/>
      <c r="X273" s="109"/>
      <c r="Y273" s="109"/>
      <c r="Z273" s="109"/>
      <c r="AA273" s="109"/>
      <c r="AB273" s="109"/>
    </row>
    <row r="274" spans="1:28" x14ac:dyDescent="0.15">
      <c r="A274" s="176" t="s">
        <v>63</v>
      </c>
      <c r="B274" s="125"/>
      <c r="C274" s="125"/>
      <c r="D274" s="125"/>
      <c r="E274" s="125"/>
      <c r="F274" s="125"/>
      <c r="G274" s="125"/>
      <c r="H274" s="125"/>
      <c r="I274" s="125"/>
      <c r="J274" s="125"/>
      <c r="K274" s="125"/>
      <c r="L274" s="125"/>
      <c r="M274" s="125"/>
      <c r="N274" s="126"/>
      <c r="O274" s="126"/>
      <c r="P274" s="82"/>
      <c r="Q274" s="84"/>
      <c r="R274" s="84">
        <f>N274</f>
        <v>0</v>
      </c>
      <c r="S274" s="82"/>
      <c r="T274" s="126"/>
      <c r="U274" s="126"/>
    </row>
    <row r="275" spans="1:28" x14ac:dyDescent="0.15">
      <c r="A275" s="177" t="s">
        <v>9</v>
      </c>
      <c r="B275" s="213">
        <v>1516</v>
      </c>
      <c r="C275" s="213">
        <v>1370</v>
      </c>
      <c r="D275" s="213">
        <f>Detail!P312/1000</f>
        <v>1516.4580000000001</v>
      </c>
      <c r="E275" s="213">
        <f>1467.6+0.1</f>
        <v>1467.6999999999998</v>
      </c>
      <c r="F275" s="213">
        <f>Detail!R312/1000</f>
        <v>1516.4580000000001</v>
      </c>
      <c r="G275" s="213">
        <f>Detail!S312/1000</f>
        <v>1467.54</v>
      </c>
      <c r="H275" s="213">
        <v>1514</v>
      </c>
      <c r="I275" s="213">
        <v>1486.7</v>
      </c>
      <c r="J275" s="213">
        <f>Detail!V312/1000</f>
        <v>1467.54</v>
      </c>
      <c r="K275" s="213">
        <f>Detail!W312/1000</f>
        <v>1516.4580000000001</v>
      </c>
      <c r="L275" s="213">
        <f>Detail!X312/1000</f>
        <v>1498.23</v>
      </c>
      <c r="M275" s="213">
        <f>Detail!Y312/1000</f>
        <v>1548.171</v>
      </c>
      <c r="N275" s="21">
        <f>SUM(B275:M275)</f>
        <v>17885.255000000001</v>
      </c>
      <c r="O275" s="82">
        <f>SUM(B275:D275)</f>
        <v>4402.4580000000005</v>
      </c>
      <c r="P275" s="82">
        <f>SUM(E275:G275)</f>
        <v>4451.6980000000003</v>
      </c>
      <c r="Q275" s="82">
        <f>SUM(H275:J275)</f>
        <v>4468.24</v>
      </c>
      <c r="R275" s="82">
        <f>SUM(K275:M275)</f>
        <v>4562.8590000000004</v>
      </c>
      <c r="S275" s="82">
        <f>SUM(O275:R275)</f>
        <v>17885.255000000001</v>
      </c>
      <c r="T275" s="21">
        <v>17917.473000000002</v>
      </c>
      <c r="U275" s="21">
        <v>17917.473000000002</v>
      </c>
    </row>
    <row r="276" spans="1:28" x14ac:dyDescent="0.15">
      <c r="A276" s="177" t="s">
        <v>36</v>
      </c>
      <c r="B276" s="213">
        <v>15</v>
      </c>
      <c r="C276" s="213">
        <v>14</v>
      </c>
      <c r="D276" s="213">
        <f>15+0.2</f>
        <v>15.2</v>
      </c>
      <c r="E276" s="213">
        <v>13.7</v>
      </c>
      <c r="F276" s="213">
        <v>12.4</v>
      </c>
      <c r="G276" s="213">
        <v>15.5</v>
      </c>
      <c r="H276" s="213">
        <v>12.4</v>
      </c>
      <c r="I276" s="213">
        <v>9.6999999999999993</v>
      </c>
      <c r="J276" s="213">
        <v>14.7</v>
      </c>
      <c r="K276" s="213">
        <f>Detail!W325/1000</f>
        <v>14.508697500000002</v>
      </c>
      <c r="L276" s="213">
        <f>Detail!X325/1000</f>
        <v>14.009985</v>
      </c>
      <c r="M276" s="213">
        <f>Detail!Y325/1000</f>
        <v>14.603836500000002</v>
      </c>
      <c r="N276" s="21">
        <f>SUM(B276:M276)</f>
        <v>165.72251900000003</v>
      </c>
      <c r="O276" s="82">
        <f>SUM(B276:D276)</f>
        <v>44.2</v>
      </c>
      <c r="P276" s="82">
        <f>SUM(E276:G276)</f>
        <v>41.6</v>
      </c>
      <c r="Q276" s="82">
        <f>SUM(H276:J276)</f>
        <v>36.799999999999997</v>
      </c>
      <c r="R276" s="82">
        <f>SUM(K276:M276)</f>
        <v>43.122519000000004</v>
      </c>
      <c r="S276" s="82">
        <f>SUM(O276:R276)</f>
        <v>165.72251900000001</v>
      </c>
      <c r="T276" s="21">
        <v>174.624054</v>
      </c>
      <c r="U276" s="21">
        <v>174.624054</v>
      </c>
      <c r="W276" s="29"/>
      <c r="Y276" s="34"/>
      <c r="AA276" s="34"/>
    </row>
    <row r="277" spans="1:28" x14ac:dyDescent="0.15">
      <c r="A277" s="192" t="s">
        <v>198</v>
      </c>
      <c r="B277" s="217">
        <v>1</v>
      </c>
      <c r="C277" s="217">
        <v>1</v>
      </c>
      <c r="D277" s="217">
        <v>0.8</v>
      </c>
      <c r="E277" s="217">
        <v>0.7</v>
      </c>
      <c r="F277" s="213">
        <v>2.7</v>
      </c>
      <c r="G277" s="213"/>
      <c r="H277" s="213">
        <v>5.3</v>
      </c>
      <c r="I277" s="213">
        <v>5.9</v>
      </c>
      <c r="J277" s="213"/>
      <c r="K277" s="213"/>
      <c r="L277" s="213"/>
      <c r="M277" s="213"/>
      <c r="N277" s="21">
        <f>SUM(B277:M277)</f>
        <v>17.399999999999999</v>
      </c>
      <c r="O277" s="82">
        <f>SUM(B277:D277)</f>
        <v>2.8</v>
      </c>
      <c r="P277" s="82">
        <f>SUM(E277:G277)</f>
        <v>3.4000000000000004</v>
      </c>
      <c r="Q277" s="82">
        <f>SUM(H277:J277)</f>
        <v>11.2</v>
      </c>
      <c r="R277" s="82">
        <f>SUM(K277:M277)</f>
        <v>0</v>
      </c>
      <c r="S277" s="82">
        <f>SUM(O277:R277)</f>
        <v>17.399999999999999</v>
      </c>
      <c r="T277" s="21">
        <v>0</v>
      </c>
      <c r="U277" s="21">
        <v>0</v>
      </c>
      <c r="W277" s="29"/>
      <c r="Y277" s="29"/>
      <c r="AA277" s="29"/>
    </row>
    <row r="278" spans="1:28" x14ac:dyDescent="0.15">
      <c r="A278" s="178" t="s">
        <v>37</v>
      </c>
      <c r="B278" s="214">
        <v>0</v>
      </c>
      <c r="C278" s="214">
        <v>0</v>
      </c>
      <c r="D278" s="214">
        <v>1.5</v>
      </c>
      <c r="E278" s="214">
        <v>10.9</v>
      </c>
      <c r="F278" s="214">
        <v>10.3</v>
      </c>
      <c r="G278" s="214">
        <v>0</v>
      </c>
      <c r="H278" s="214">
        <v>0</v>
      </c>
      <c r="I278" s="214">
        <v>0</v>
      </c>
      <c r="J278" s="214">
        <v>0</v>
      </c>
      <c r="K278" s="214">
        <v>0</v>
      </c>
      <c r="L278" s="214">
        <v>0</v>
      </c>
      <c r="M278" s="214">
        <v>0</v>
      </c>
      <c r="N278" s="115">
        <f>SUM(B278:M278)</f>
        <v>22.700000000000003</v>
      </c>
      <c r="O278" s="82">
        <f>SUM(B278:D278)</f>
        <v>1.5</v>
      </c>
      <c r="P278" s="82">
        <f>SUM(E278:G278)</f>
        <v>21.200000000000003</v>
      </c>
      <c r="Q278" s="82">
        <f>SUM(H278:J278)</f>
        <v>0</v>
      </c>
      <c r="R278" s="82">
        <f>SUM(K278:M278)</f>
        <v>0</v>
      </c>
      <c r="S278" s="82">
        <f>SUM(O278:R278)</f>
        <v>22.700000000000003</v>
      </c>
      <c r="T278" s="112">
        <v>1</v>
      </c>
      <c r="U278" s="112">
        <v>1</v>
      </c>
      <c r="X278" s="29"/>
      <c r="Z278" s="29"/>
      <c r="AB278" s="29"/>
    </row>
    <row r="279" spans="1:28" x14ac:dyDescent="0.15">
      <c r="A279" s="179" t="s">
        <v>78</v>
      </c>
      <c r="B279" s="128">
        <f>+B275</f>
        <v>1516</v>
      </c>
      <c r="C279" s="128">
        <f>+C275</f>
        <v>1370</v>
      </c>
      <c r="D279" s="128">
        <f t="shared" ref="D279:N279" si="139">+D275</f>
        <v>1516.4580000000001</v>
      </c>
      <c r="E279" s="128">
        <f t="shared" si="139"/>
        <v>1467.6999999999998</v>
      </c>
      <c r="F279" s="128">
        <f t="shared" si="139"/>
        <v>1516.4580000000001</v>
      </c>
      <c r="G279" s="128">
        <f t="shared" si="139"/>
        <v>1467.54</v>
      </c>
      <c r="H279" s="128">
        <f t="shared" si="139"/>
        <v>1514</v>
      </c>
      <c r="I279" s="128">
        <f t="shared" si="139"/>
        <v>1486.7</v>
      </c>
      <c r="J279" s="128">
        <f t="shared" si="139"/>
        <v>1467.54</v>
      </c>
      <c r="K279" s="128">
        <f t="shared" si="139"/>
        <v>1516.4580000000001</v>
      </c>
      <c r="L279" s="128">
        <f t="shared" si="139"/>
        <v>1498.23</v>
      </c>
      <c r="M279" s="128">
        <f t="shared" si="139"/>
        <v>1548.171</v>
      </c>
      <c r="N279" s="166">
        <f t="shared" si="139"/>
        <v>17885.255000000001</v>
      </c>
      <c r="O279" s="166">
        <f>+O275</f>
        <v>4402.4580000000005</v>
      </c>
      <c r="P279" s="166">
        <f>+P275</f>
        <v>4451.6980000000003</v>
      </c>
      <c r="Q279" s="166">
        <f>+Q275</f>
        <v>4468.24</v>
      </c>
      <c r="R279" s="166">
        <f>+R275</f>
        <v>4562.8590000000004</v>
      </c>
      <c r="S279" s="86">
        <f>O279+P279+Q279+R279</f>
        <v>17885.255000000001</v>
      </c>
      <c r="T279" s="166">
        <f>+T275</f>
        <v>17917.473000000002</v>
      </c>
      <c r="U279" s="166">
        <f>+U275</f>
        <v>17917.473000000002</v>
      </c>
      <c r="W279" s="29"/>
      <c r="X279" s="29"/>
      <c r="Y279" s="29"/>
      <c r="Z279" s="29"/>
      <c r="AA279" s="29"/>
      <c r="AB279" s="29"/>
    </row>
    <row r="280" spans="1:28" x14ac:dyDescent="0.15">
      <c r="A280" s="179" t="s">
        <v>79</v>
      </c>
      <c r="B280" s="128">
        <f>SUM(B276:B278)</f>
        <v>16</v>
      </c>
      <c r="C280" s="128">
        <f>SUM(C276:C278)</f>
        <v>15</v>
      </c>
      <c r="D280" s="128">
        <f t="shared" ref="D280:N280" si="140">SUM(D276:D278)</f>
        <v>17.5</v>
      </c>
      <c r="E280" s="128">
        <f t="shared" si="140"/>
        <v>25.299999999999997</v>
      </c>
      <c r="F280" s="128">
        <f t="shared" si="140"/>
        <v>25.400000000000002</v>
      </c>
      <c r="G280" s="128">
        <f t="shared" si="140"/>
        <v>15.5</v>
      </c>
      <c r="H280" s="128">
        <f t="shared" si="140"/>
        <v>17.7</v>
      </c>
      <c r="I280" s="128">
        <f t="shared" si="140"/>
        <v>15.6</v>
      </c>
      <c r="J280" s="128">
        <f t="shared" si="140"/>
        <v>14.7</v>
      </c>
      <c r="K280" s="128">
        <f t="shared" si="140"/>
        <v>14.508697500000002</v>
      </c>
      <c r="L280" s="128">
        <f t="shared" si="140"/>
        <v>14.009985</v>
      </c>
      <c r="M280" s="128">
        <f t="shared" si="140"/>
        <v>14.603836500000002</v>
      </c>
      <c r="N280" s="166">
        <f t="shared" si="140"/>
        <v>205.82251900000006</v>
      </c>
      <c r="O280" s="166">
        <f>SUM(O276:O278)</f>
        <v>48.5</v>
      </c>
      <c r="P280" s="166">
        <f>SUM(P276:P278)</f>
        <v>66.2</v>
      </c>
      <c r="Q280" s="166">
        <f>SUM(Q276:Q278)</f>
        <v>48</v>
      </c>
      <c r="R280" s="166">
        <f>SUM(R276:R278)</f>
        <v>43.122519000000004</v>
      </c>
      <c r="S280" s="86">
        <f>O280+P280+Q280+R280</f>
        <v>205.822519</v>
      </c>
      <c r="T280" s="166">
        <f>SUM(T276:T278)</f>
        <v>175.624054</v>
      </c>
      <c r="U280" s="166">
        <f>SUM(U276:U278)</f>
        <v>175.624054</v>
      </c>
      <c r="W280" s="29"/>
      <c r="X280" s="29"/>
      <c r="Y280" s="29"/>
      <c r="Z280" s="29"/>
      <c r="AA280" s="29"/>
      <c r="AB280" s="29"/>
    </row>
    <row r="281" spans="1:28" x14ac:dyDescent="0.15">
      <c r="A281" s="187" t="s">
        <v>80</v>
      </c>
      <c r="B281" s="129">
        <f>SUM(B275:B278)</f>
        <v>1532</v>
      </c>
      <c r="C281" s="129">
        <f>SUM(C275:C278)</f>
        <v>1385</v>
      </c>
      <c r="D281" s="129">
        <f t="shared" ref="D281:N281" si="141">SUM(D275:D278)</f>
        <v>1533.9580000000001</v>
      </c>
      <c r="E281" s="129">
        <f t="shared" si="141"/>
        <v>1493</v>
      </c>
      <c r="F281" s="129">
        <f t="shared" si="141"/>
        <v>1541.8580000000002</v>
      </c>
      <c r="G281" s="129">
        <f t="shared" si="141"/>
        <v>1483.04</v>
      </c>
      <c r="H281" s="129">
        <f t="shared" si="141"/>
        <v>1531.7</v>
      </c>
      <c r="I281" s="129">
        <f t="shared" si="141"/>
        <v>1502.3000000000002</v>
      </c>
      <c r="J281" s="129">
        <f t="shared" si="141"/>
        <v>1482.24</v>
      </c>
      <c r="K281" s="129">
        <f t="shared" si="141"/>
        <v>1530.9666975</v>
      </c>
      <c r="L281" s="129">
        <f t="shared" si="141"/>
        <v>1512.2399849999999</v>
      </c>
      <c r="M281" s="129">
        <f t="shared" si="141"/>
        <v>1562.7748365</v>
      </c>
      <c r="N281" s="166">
        <f t="shared" si="141"/>
        <v>18091.077519000002</v>
      </c>
      <c r="O281" s="166">
        <f>SUM(O275:O278)</f>
        <v>4450.9580000000005</v>
      </c>
      <c r="P281" s="166">
        <f>SUM(P275:P278)</f>
        <v>4517.8980000000001</v>
      </c>
      <c r="Q281" s="166">
        <f>SUM(Q275:Q278)</f>
        <v>4516.24</v>
      </c>
      <c r="R281" s="166">
        <f>SUM(R275:R278)</f>
        <v>4605.9815189999999</v>
      </c>
      <c r="S281" s="86">
        <f>O281+P281+Q281+R281</f>
        <v>18091.077518999999</v>
      </c>
      <c r="T281" s="166">
        <f>SUM(T275:T278)</f>
        <v>18093.097054000002</v>
      </c>
      <c r="U281" s="166">
        <f>SUM(U275:U278)</f>
        <v>18093.097054000002</v>
      </c>
    </row>
    <row r="282" spans="1:28" x14ac:dyDescent="0.15">
      <c r="A282" s="180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10"/>
      <c r="Q282" s="110"/>
      <c r="R282" s="110"/>
      <c r="S282" s="110"/>
      <c r="T282" s="123"/>
      <c r="U282" s="123"/>
    </row>
    <row r="283" spans="1:28" x14ac:dyDescent="0.15">
      <c r="A283" s="14"/>
      <c r="B283" s="125"/>
      <c r="C283" s="125"/>
      <c r="D283" s="125"/>
      <c r="E283" s="125"/>
      <c r="F283" s="125"/>
      <c r="G283" s="125"/>
      <c r="H283" s="125"/>
      <c r="I283" s="125"/>
      <c r="J283" s="125"/>
      <c r="K283" s="125"/>
      <c r="L283" s="125"/>
      <c r="M283" s="125"/>
      <c r="N283" s="126"/>
      <c r="O283" s="126"/>
      <c r="P283" s="82"/>
      <c r="Q283" s="82"/>
      <c r="R283" s="84">
        <f>N283-P283</f>
        <v>0</v>
      </c>
      <c r="S283" s="82" t="e">
        <f>IF(#REF!=1,SUM(B281:D281),IF(#REF!=2,SUM(E281:G281),IF(#REF!=3,SUM(H281:J281),IF(#REF!=4,SUM(K281:M281),"    WRONG  "))))</f>
        <v>#REF!</v>
      </c>
      <c r="T283" s="126"/>
      <c r="U283" s="126"/>
    </row>
    <row r="284" spans="1:28" ht="15.75" x14ac:dyDescent="0.15">
      <c r="A284" s="183" t="s">
        <v>49</v>
      </c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3"/>
      <c r="O284" s="116"/>
      <c r="P284" s="69"/>
      <c r="Q284" s="69"/>
      <c r="R284" s="69"/>
      <c r="S284" s="69"/>
      <c r="T284" s="163"/>
      <c r="U284" s="163"/>
    </row>
    <row r="285" spans="1:28" x14ac:dyDescent="0.15">
      <c r="A285" s="184" t="s">
        <v>9</v>
      </c>
      <c r="B285" s="215">
        <f>+B218+B251+B269+B279</f>
        <v>12612</v>
      </c>
      <c r="C285" s="215">
        <f>+C218+C251+C269+C279</f>
        <v>17085</v>
      </c>
      <c r="D285" s="215">
        <f>+D218+D251+D269+D279</f>
        <v>7478.3580000000002</v>
      </c>
      <c r="E285" s="215">
        <f>+E218+E251+E269+E279</f>
        <v>11828.2</v>
      </c>
      <c r="F285" s="215">
        <f t="shared" ref="F285:M285" si="142">+F218+F251+F269+F279</f>
        <v>12651.158000000003</v>
      </c>
      <c r="G285" s="215">
        <f t="shared" si="142"/>
        <v>12129.439999999999</v>
      </c>
      <c r="H285" s="215">
        <f t="shared" si="142"/>
        <v>12701.800000000001</v>
      </c>
      <c r="I285" s="215">
        <f t="shared" si="142"/>
        <v>12576.200000000003</v>
      </c>
      <c r="J285" s="215">
        <f t="shared" si="142"/>
        <v>12033.34</v>
      </c>
      <c r="K285" s="215">
        <f t="shared" si="142"/>
        <v>12202.431840050001</v>
      </c>
      <c r="L285" s="215">
        <f t="shared" si="142"/>
        <v>11289.515278499999</v>
      </c>
      <c r="M285" s="215">
        <f t="shared" si="142"/>
        <v>12066.1636954934</v>
      </c>
      <c r="N285" s="164">
        <f t="shared" ref="N285:N290" si="143">SUM(B285:M285)</f>
        <v>146653.60681404339</v>
      </c>
      <c r="O285" s="311">
        <f t="shared" ref="O285:O290" si="144">SUM(B285:D285)</f>
        <v>37175.358</v>
      </c>
      <c r="P285" s="311">
        <f t="shared" ref="P285:P290" si="145">SUM(E285:G285)</f>
        <v>36608.798000000003</v>
      </c>
      <c r="Q285" s="311">
        <f t="shared" ref="Q285:Q290" si="146">SUM(H285:J285)</f>
        <v>37311.340000000004</v>
      </c>
      <c r="R285" s="311">
        <f t="shared" ref="R285:R290" si="147">SUM(K285:M285)</f>
        <v>35558.110814043401</v>
      </c>
      <c r="S285" s="71">
        <f>O285+P285+Q285+R285</f>
        <v>146653.60681404342</v>
      </c>
      <c r="T285" s="164">
        <f>T279+T269+T251+T218</f>
        <v>171144.17626209228</v>
      </c>
      <c r="U285" s="164">
        <f>U279+U269+U251+U218</f>
        <v>294668.79326209228</v>
      </c>
    </row>
    <row r="286" spans="1:28" x14ac:dyDescent="0.15">
      <c r="A286" s="184" t="s">
        <v>36</v>
      </c>
      <c r="B286" s="215">
        <f>B276+B265+B258+B247+B240+B232+B225+B213+B206+B198+B190</f>
        <v>930</v>
      </c>
      <c r="C286" s="215">
        <f>C276+C265+C258+C247+C240+C232+C225+C213+C206+C198+C190</f>
        <v>866</v>
      </c>
      <c r="D286" s="215">
        <f>D276+D265+D258+D247+D240+D232+D225+D213+D206+D198+D190</f>
        <v>965.90000000000009</v>
      </c>
      <c r="E286" s="215">
        <f>E276+E265+E258+E247+E240+E232+E225+E213+E206+E198+E190</f>
        <v>904.8</v>
      </c>
      <c r="F286" s="215">
        <f t="shared" ref="F286:M286" si="148">F276+F265+F258+F247+F240+F232+F225+F213+F206+F198+F190</f>
        <v>896.4</v>
      </c>
      <c r="G286" s="215">
        <f t="shared" si="148"/>
        <v>892.8</v>
      </c>
      <c r="H286" s="215">
        <f t="shared" si="148"/>
        <v>912.7</v>
      </c>
      <c r="I286" s="215">
        <f t="shared" si="148"/>
        <v>1177.8</v>
      </c>
      <c r="J286" s="215">
        <f t="shared" si="148"/>
        <v>923.4</v>
      </c>
      <c r="K286" s="215">
        <f t="shared" si="148"/>
        <v>953.08572985000001</v>
      </c>
      <c r="L286" s="215">
        <f t="shared" si="148"/>
        <v>934.77923050000004</v>
      </c>
      <c r="M286" s="215">
        <f t="shared" si="148"/>
        <v>929.10176410660006</v>
      </c>
      <c r="N286" s="164">
        <f t="shared" si="143"/>
        <v>11286.7667244566</v>
      </c>
      <c r="O286" s="311">
        <f t="shared" si="144"/>
        <v>2761.9</v>
      </c>
      <c r="P286" s="311">
        <f t="shared" si="145"/>
        <v>2694</v>
      </c>
      <c r="Q286" s="311">
        <f t="shared" si="146"/>
        <v>3013.9</v>
      </c>
      <c r="R286" s="311">
        <f t="shared" si="147"/>
        <v>2816.9667244565999</v>
      </c>
      <c r="S286" s="71">
        <f t="shared" ref="S286:S293" si="149">O286+P286+Q286+R286</f>
        <v>11286.7667244566</v>
      </c>
      <c r="T286" s="116">
        <f>T276+T265+T258+T247+T240+T232+T213+T206+T198+T190</f>
        <v>11972.797516307701</v>
      </c>
      <c r="U286" s="116">
        <f>U276+U265+U258+U247+U240+U232+U213+U206+U198+U190</f>
        <v>14701.680516307701</v>
      </c>
    </row>
    <row r="287" spans="1:28" x14ac:dyDescent="0.15">
      <c r="A287" s="184" t="s">
        <v>45</v>
      </c>
      <c r="B287" s="215">
        <f>+B191+B199+B207+B214+B226+B233+B241+B248+B259+B266+B277</f>
        <v>25</v>
      </c>
      <c r="C287" s="215">
        <f>+C191+C199+C207+C214+C226+C233+C241+C248+C259+C266+C277</f>
        <v>20</v>
      </c>
      <c r="D287" s="215">
        <f>+D191+D199+D207+D214+D226+D233+D241+D248+D259+D266+D277</f>
        <v>19.7</v>
      </c>
      <c r="E287" s="215">
        <f>+E191+E199+E207+E214+E226+E233+E241+E248+E259+E266+E277</f>
        <v>14.399999999999999</v>
      </c>
      <c r="F287" s="215">
        <f t="shared" ref="F287:M287" si="150">+F191+F199+F207+F214+F226+F233+F241+F248+F259+F266+F277</f>
        <v>61.7</v>
      </c>
      <c r="G287" s="215">
        <f t="shared" si="150"/>
        <v>79.7</v>
      </c>
      <c r="H287" s="215">
        <f t="shared" si="150"/>
        <v>124</v>
      </c>
      <c r="I287" s="215">
        <f t="shared" si="150"/>
        <v>133.4</v>
      </c>
      <c r="J287" s="215">
        <f t="shared" si="150"/>
        <v>0</v>
      </c>
      <c r="K287" s="215">
        <f t="shared" si="150"/>
        <v>0</v>
      </c>
      <c r="L287" s="215">
        <f t="shared" si="150"/>
        <v>0</v>
      </c>
      <c r="M287" s="215">
        <f t="shared" si="150"/>
        <v>0</v>
      </c>
      <c r="N287" s="164">
        <f t="shared" si="143"/>
        <v>477.9</v>
      </c>
      <c r="O287" s="311">
        <f t="shared" si="144"/>
        <v>64.7</v>
      </c>
      <c r="P287" s="311">
        <f t="shared" si="145"/>
        <v>155.80000000000001</v>
      </c>
      <c r="Q287" s="311">
        <f t="shared" si="146"/>
        <v>257.39999999999998</v>
      </c>
      <c r="R287" s="311">
        <f t="shared" si="147"/>
        <v>0</v>
      </c>
      <c r="S287" s="71">
        <f t="shared" si="149"/>
        <v>477.9</v>
      </c>
      <c r="T287" s="116">
        <v>0</v>
      </c>
      <c r="U287" s="116">
        <v>0</v>
      </c>
    </row>
    <row r="288" spans="1:28" x14ac:dyDescent="0.15">
      <c r="A288" s="184" t="s">
        <v>203</v>
      </c>
      <c r="B288" s="215">
        <f>B234</f>
        <v>-41</v>
      </c>
      <c r="C288" s="215">
        <f>C234</f>
        <v>20</v>
      </c>
      <c r="D288" s="215">
        <f>D234</f>
        <v>6.3</v>
      </c>
      <c r="E288" s="215">
        <f>E234</f>
        <v>52.3</v>
      </c>
      <c r="F288" s="215">
        <f t="shared" ref="F288:M288" si="151">F234</f>
        <v>0.3</v>
      </c>
      <c r="G288" s="215">
        <f t="shared" si="151"/>
        <v>3</v>
      </c>
      <c r="H288" s="215">
        <f t="shared" si="151"/>
        <v>0</v>
      </c>
      <c r="I288" s="215">
        <f t="shared" si="151"/>
        <v>0</v>
      </c>
      <c r="J288" s="215">
        <f t="shared" si="151"/>
        <v>0</v>
      </c>
      <c r="K288" s="215">
        <f t="shared" si="151"/>
        <v>0</v>
      </c>
      <c r="L288" s="215">
        <f t="shared" si="151"/>
        <v>0</v>
      </c>
      <c r="M288" s="215">
        <f t="shared" si="151"/>
        <v>0</v>
      </c>
      <c r="N288" s="164">
        <f t="shared" si="143"/>
        <v>40.899999999999991</v>
      </c>
      <c r="O288" s="311">
        <f t="shared" si="144"/>
        <v>-14.7</v>
      </c>
      <c r="P288" s="311">
        <f t="shared" si="145"/>
        <v>55.599999999999994</v>
      </c>
      <c r="Q288" s="311">
        <f t="shared" si="146"/>
        <v>0</v>
      </c>
      <c r="R288" s="311">
        <f t="shared" si="147"/>
        <v>0</v>
      </c>
      <c r="S288" s="71">
        <f t="shared" si="149"/>
        <v>40.899999999999991</v>
      </c>
      <c r="T288" s="116">
        <v>0</v>
      </c>
      <c r="U288" s="116">
        <v>0</v>
      </c>
    </row>
    <row r="289" spans="1:34" x14ac:dyDescent="0.15">
      <c r="A289" s="184" t="s">
        <v>204</v>
      </c>
      <c r="B289" s="215">
        <f>B215+B200</f>
        <v>21</v>
      </c>
      <c r="C289" s="215">
        <f>C215+C200</f>
        <v>17</v>
      </c>
      <c r="D289" s="215">
        <f>D215+D200</f>
        <v>9.5</v>
      </c>
      <c r="E289" s="215">
        <f>E215+E200</f>
        <v>0</v>
      </c>
      <c r="F289" s="215">
        <f t="shared" ref="F289:M289" si="152">F215+F200</f>
        <v>0</v>
      </c>
      <c r="G289" s="215">
        <f t="shared" si="152"/>
        <v>0</v>
      </c>
      <c r="H289" s="215">
        <f t="shared" si="152"/>
        <v>0</v>
      </c>
      <c r="I289" s="215">
        <f t="shared" si="152"/>
        <v>0</v>
      </c>
      <c r="J289" s="215">
        <f t="shared" si="152"/>
        <v>0</v>
      </c>
      <c r="K289" s="215">
        <f t="shared" si="152"/>
        <v>0</v>
      </c>
      <c r="L289" s="215">
        <f t="shared" si="152"/>
        <v>0</v>
      </c>
      <c r="M289" s="215">
        <f t="shared" si="152"/>
        <v>0</v>
      </c>
      <c r="N289" s="164">
        <f t="shared" si="143"/>
        <v>47.5</v>
      </c>
      <c r="O289" s="311">
        <f t="shared" si="144"/>
        <v>47.5</v>
      </c>
      <c r="P289" s="311">
        <f t="shared" si="145"/>
        <v>0</v>
      </c>
      <c r="Q289" s="311">
        <f t="shared" si="146"/>
        <v>0</v>
      </c>
      <c r="R289" s="311">
        <f t="shared" si="147"/>
        <v>0</v>
      </c>
      <c r="S289" s="71">
        <f t="shared" si="149"/>
        <v>47.5</v>
      </c>
      <c r="T289" s="116">
        <v>0</v>
      </c>
      <c r="U289" s="116">
        <v>0</v>
      </c>
    </row>
    <row r="290" spans="1:34" x14ac:dyDescent="0.15">
      <c r="A290" s="188" t="s">
        <v>37</v>
      </c>
      <c r="B290" s="214">
        <f>+B192+B201+B208+B216+B227+B235+B242+B249+B260+B267+B278</f>
        <v>369</v>
      </c>
      <c r="C290" s="214">
        <f>+C192+C201+C208+C216+C227+C235+C242+C249+C260+C267+C278</f>
        <v>335</v>
      </c>
      <c r="D290" s="214">
        <f>+D192+D201+D208+D216+D227+D235+D242+D249+D260+D267+D278</f>
        <v>283.8</v>
      </c>
      <c r="E290" s="214">
        <f>+E192+E201+E208+E216+E227+E235+E242+E249+E260+E267+E278</f>
        <v>1755.9</v>
      </c>
      <c r="F290" s="214">
        <f t="shared" ref="F290:M290" si="153">+F192+F201+F208+F216+F227+F235+F242+F249+F260+F267+F278</f>
        <v>2730.0000000000005</v>
      </c>
      <c r="G290" s="214">
        <f t="shared" si="153"/>
        <v>1188</v>
      </c>
      <c r="H290" s="214">
        <f t="shared" si="153"/>
        <v>526.70000000000005</v>
      </c>
      <c r="I290" s="214">
        <f t="shared" si="153"/>
        <v>358.91</v>
      </c>
      <c r="J290" s="214">
        <f t="shared" si="153"/>
        <v>145</v>
      </c>
      <c r="K290" s="214">
        <f t="shared" si="153"/>
        <v>96.512920000000008</v>
      </c>
      <c r="L290" s="214">
        <f t="shared" si="153"/>
        <v>99.991799999999998</v>
      </c>
      <c r="M290" s="214">
        <f t="shared" si="153"/>
        <v>174.56471999999999</v>
      </c>
      <c r="N290" s="165">
        <f t="shared" si="143"/>
        <v>8063.3794400000006</v>
      </c>
      <c r="O290" s="311">
        <f t="shared" si="144"/>
        <v>987.8</v>
      </c>
      <c r="P290" s="311">
        <f t="shared" si="145"/>
        <v>5673.9000000000005</v>
      </c>
      <c r="Q290" s="311">
        <f t="shared" si="146"/>
        <v>1030.6100000000001</v>
      </c>
      <c r="R290" s="311">
        <f t="shared" si="147"/>
        <v>371.06943999999999</v>
      </c>
      <c r="S290" s="71">
        <f t="shared" si="149"/>
        <v>8063.3794400000015</v>
      </c>
      <c r="T290" s="165">
        <f>T278+T267+T260+T249+T235+T216+T201+T192</f>
        <v>1378.4917200000002</v>
      </c>
      <c r="U290" s="165">
        <f>U278+U267+U260+U249+U235+U216+U201+U192</f>
        <v>1378.4917200000002</v>
      </c>
    </row>
    <row r="291" spans="1:34" x14ac:dyDescent="0.15">
      <c r="A291" s="179" t="s">
        <v>51</v>
      </c>
      <c r="B291" s="112">
        <f>+B285</f>
        <v>12612</v>
      </c>
      <c r="C291" s="112">
        <f t="shared" ref="C291:P291" si="154">+C285</f>
        <v>17085</v>
      </c>
      <c r="D291" s="112">
        <f t="shared" si="154"/>
        <v>7478.3580000000002</v>
      </c>
      <c r="E291" s="112">
        <f t="shared" si="154"/>
        <v>11828.2</v>
      </c>
      <c r="F291" s="112">
        <f t="shared" si="154"/>
        <v>12651.158000000003</v>
      </c>
      <c r="G291" s="112">
        <f t="shared" si="154"/>
        <v>12129.439999999999</v>
      </c>
      <c r="H291" s="112">
        <f t="shared" si="154"/>
        <v>12701.800000000001</v>
      </c>
      <c r="I291" s="112">
        <f t="shared" si="154"/>
        <v>12576.200000000003</v>
      </c>
      <c r="J291" s="112">
        <f t="shared" si="154"/>
        <v>12033.34</v>
      </c>
      <c r="K291" s="112">
        <f t="shared" si="154"/>
        <v>12202.431840050001</v>
      </c>
      <c r="L291" s="112">
        <f t="shared" si="154"/>
        <v>11289.515278499999</v>
      </c>
      <c r="M291" s="112">
        <f t="shared" si="154"/>
        <v>12066.1636954934</v>
      </c>
      <c r="N291" s="165">
        <f t="shared" si="154"/>
        <v>146653.60681404339</v>
      </c>
      <c r="O291" s="165">
        <f>+O285</f>
        <v>37175.358</v>
      </c>
      <c r="P291" s="165">
        <f t="shared" si="154"/>
        <v>36608.798000000003</v>
      </c>
      <c r="Q291" s="165">
        <f>+Q285</f>
        <v>37311.340000000004</v>
      </c>
      <c r="R291" s="165">
        <f>+R285</f>
        <v>35558.110814043401</v>
      </c>
      <c r="S291" s="71">
        <f t="shared" si="149"/>
        <v>146653.60681404342</v>
      </c>
      <c r="T291" s="165">
        <f>+T285</f>
        <v>171144.17626209228</v>
      </c>
      <c r="U291" s="165">
        <f>+U285</f>
        <v>294668.79326209228</v>
      </c>
    </row>
    <row r="292" spans="1:34" x14ac:dyDescent="0.15">
      <c r="A292" s="179" t="s">
        <v>50</v>
      </c>
      <c r="B292" s="112">
        <f>SUM(B286:B290)</f>
        <v>1304</v>
      </c>
      <c r="C292" s="112">
        <f t="shared" ref="C292:M292" si="155">SUM(C286:C290)</f>
        <v>1258</v>
      </c>
      <c r="D292" s="112">
        <f t="shared" si="155"/>
        <v>1285.2</v>
      </c>
      <c r="E292" s="112">
        <f t="shared" si="155"/>
        <v>2727.4</v>
      </c>
      <c r="F292" s="112">
        <f t="shared" si="155"/>
        <v>3688.4000000000005</v>
      </c>
      <c r="G292" s="112">
        <f t="shared" si="155"/>
        <v>2163.5</v>
      </c>
      <c r="H292" s="112">
        <f t="shared" si="155"/>
        <v>1563.4</v>
      </c>
      <c r="I292" s="112">
        <f t="shared" si="155"/>
        <v>1670.1100000000001</v>
      </c>
      <c r="J292" s="112">
        <f t="shared" si="155"/>
        <v>1068.4000000000001</v>
      </c>
      <c r="K292" s="112">
        <f t="shared" si="155"/>
        <v>1049.5986498500001</v>
      </c>
      <c r="L292" s="112">
        <f t="shared" si="155"/>
        <v>1034.7710305000001</v>
      </c>
      <c r="M292" s="112">
        <f t="shared" si="155"/>
        <v>1103.6664841066001</v>
      </c>
      <c r="N292" s="165">
        <f>SUM(N286:N290)</f>
        <v>19916.4461644566</v>
      </c>
      <c r="O292" s="165">
        <f>SUM(O286:O290)</f>
        <v>3847.2</v>
      </c>
      <c r="P292" s="165">
        <f>SUM(P286:P290)</f>
        <v>8579.3000000000011</v>
      </c>
      <c r="Q292" s="165">
        <f>SUM(Q286:Q290)</f>
        <v>4301.91</v>
      </c>
      <c r="R292" s="165">
        <f>SUM(R286:R290)</f>
        <v>3188.0361644566001</v>
      </c>
      <c r="S292" s="71">
        <f t="shared" si="149"/>
        <v>19916.4461644566</v>
      </c>
      <c r="T292" s="165">
        <f>SUM(T286:T290)</f>
        <v>13351.289236307701</v>
      </c>
      <c r="U292" s="165">
        <f>SUM(U286:U290)</f>
        <v>16080.172236307701</v>
      </c>
    </row>
    <row r="293" spans="1:34" x14ac:dyDescent="0.15">
      <c r="A293" s="189" t="s">
        <v>81</v>
      </c>
      <c r="B293" s="115">
        <f>SUM(B291:B292)</f>
        <v>13916</v>
      </c>
      <c r="C293" s="115">
        <f>SUM(C291:C292)</f>
        <v>18343</v>
      </c>
      <c r="D293" s="115">
        <f t="shared" ref="D293:P293" si="156">SUM(D291:D292)</f>
        <v>8763.5580000000009</v>
      </c>
      <c r="E293" s="115">
        <f t="shared" si="156"/>
        <v>14555.6</v>
      </c>
      <c r="F293" s="115">
        <f t="shared" si="156"/>
        <v>16339.558000000005</v>
      </c>
      <c r="G293" s="115">
        <f t="shared" si="156"/>
        <v>14292.939999999999</v>
      </c>
      <c r="H293" s="115">
        <f t="shared" si="156"/>
        <v>14265.2</v>
      </c>
      <c r="I293" s="115">
        <f t="shared" si="156"/>
        <v>14246.310000000003</v>
      </c>
      <c r="J293" s="115">
        <f t="shared" si="156"/>
        <v>13101.74</v>
      </c>
      <c r="K293" s="115">
        <f t="shared" si="156"/>
        <v>13252.030489900002</v>
      </c>
      <c r="L293" s="115">
        <f t="shared" si="156"/>
        <v>12324.286308999999</v>
      </c>
      <c r="M293" s="115">
        <f t="shared" si="156"/>
        <v>13169.8301796</v>
      </c>
      <c r="N293" s="166">
        <f t="shared" si="156"/>
        <v>166570.0529785</v>
      </c>
      <c r="O293" s="166">
        <f t="shared" si="156"/>
        <v>41022.557999999997</v>
      </c>
      <c r="P293" s="166">
        <f t="shared" si="156"/>
        <v>45188.098000000005</v>
      </c>
      <c r="Q293" s="166">
        <f>SUM(Q291:Q292)</f>
        <v>41613.25</v>
      </c>
      <c r="R293" s="166">
        <f>SUM(R291:R292)</f>
        <v>38746.146978500001</v>
      </c>
      <c r="S293" s="71">
        <f t="shared" si="149"/>
        <v>166570.0529785</v>
      </c>
      <c r="T293" s="166">
        <f>SUM(T291:T292)</f>
        <v>184495.46549839998</v>
      </c>
      <c r="U293" s="166">
        <f>SUM(U291:U292)</f>
        <v>310748.96549839998</v>
      </c>
      <c r="AE293" s="29"/>
    </row>
    <row r="294" spans="1:34" x14ac:dyDescent="0.15">
      <c r="A294" s="180"/>
      <c r="B294" s="125"/>
      <c r="C294" s="125"/>
      <c r="D294" s="125"/>
      <c r="E294" s="125"/>
      <c r="F294" s="125"/>
      <c r="G294" s="125"/>
      <c r="H294" s="125"/>
      <c r="I294" s="125"/>
      <c r="J294" s="125"/>
      <c r="K294" s="125"/>
      <c r="L294" s="125"/>
      <c r="M294" s="125"/>
      <c r="N294" s="125"/>
      <c r="O294" s="125"/>
      <c r="P294" s="82"/>
      <c r="Q294" s="82"/>
      <c r="R294" s="84"/>
      <c r="S294" s="82"/>
      <c r="T294" s="125"/>
      <c r="U294" s="125"/>
    </row>
    <row r="295" spans="1:34" x14ac:dyDescent="0.15">
      <c r="A295" s="14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6"/>
      <c r="O295" s="106"/>
      <c r="P295" s="82"/>
      <c r="Q295" s="82"/>
      <c r="R295" s="84"/>
      <c r="S295" s="82"/>
      <c r="T295" s="106"/>
      <c r="U295" s="106"/>
    </row>
    <row r="296" spans="1:34" ht="15.75" x14ac:dyDescent="0.15">
      <c r="A296" s="175" t="s">
        <v>82</v>
      </c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30"/>
      <c r="O296" s="130"/>
      <c r="P296" s="78"/>
      <c r="Q296" s="78"/>
      <c r="R296" s="78"/>
      <c r="S296" s="78"/>
      <c r="T296" s="130"/>
      <c r="U296" s="130"/>
    </row>
    <row r="297" spans="1:34" x14ac:dyDescent="0.15">
      <c r="A297" s="193" t="s">
        <v>83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0"/>
      <c r="L297" s="160"/>
      <c r="M297" s="160"/>
      <c r="N297" s="161"/>
      <c r="O297" s="161"/>
      <c r="P297" s="79"/>
      <c r="Q297" s="79"/>
      <c r="R297" s="79"/>
      <c r="S297" s="79"/>
      <c r="T297" s="161"/>
      <c r="U297" s="161"/>
    </row>
    <row r="298" spans="1:34" x14ac:dyDescent="0.15">
      <c r="A298" s="190" t="s">
        <v>84</v>
      </c>
      <c r="B298" s="219">
        <v>139</v>
      </c>
      <c r="C298" s="219">
        <v>139</v>
      </c>
      <c r="D298" s="219">
        <v>139</v>
      </c>
      <c r="E298" s="219">
        <v>139</v>
      </c>
      <c r="F298" s="219">
        <v>139</v>
      </c>
      <c r="G298" s="219">
        <v>139</v>
      </c>
      <c r="H298" s="219">
        <v>139</v>
      </c>
      <c r="I298" s="219">
        <f>I341</f>
        <v>99.909900000000007</v>
      </c>
      <c r="J298" s="219">
        <f>J341</f>
        <v>99.909900000000007</v>
      </c>
      <c r="K298" s="219">
        <f>K341</f>
        <v>99.909900000000007</v>
      </c>
      <c r="L298" s="219">
        <f>L341</f>
        <v>99.909900000000007</v>
      </c>
      <c r="M298" s="219">
        <f>M341</f>
        <v>99.909900000000007</v>
      </c>
      <c r="N298" s="131">
        <f>SUM(B298:M298)</f>
        <v>1472.5495000000005</v>
      </c>
      <c r="O298" s="311">
        <f>SUM(B298:D298)</f>
        <v>417</v>
      </c>
      <c r="P298" s="311">
        <f>SUM(E298:G298)</f>
        <v>417</v>
      </c>
      <c r="Q298" s="311">
        <f>SUM(H298:J298)</f>
        <v>338.81979999999999</v>
      </c>
      <c r="R298" s="311">
        <f>SUM(K298:M298)</f>
        <v>299.72970000000004</v>
      </c>
      <c r="S298" s="85">
        <f>O298+P298+Q298+R298</f>
        <v>1472.5495000000001</v>
      </c>
      <c r="T298" s="131">
        <v>1198.9188000000001</v>
      </c>
      <c r="U298" s="131">
        <v>1198.9188000000001</v>
      </c>
    </row>
    <row r="299" spans="1:34" x14ac:dyDescent="0.15">
      <c r="A299" s="125" t="s">
        <v>85</v>
      </c>
      <c r="B299" s="219">
        <v>52</v>
      </c>
      <c r="C299" s="219">
        <v>-1032</v>
      </c>
      <c r="D299" s="219">
        <f>960.9+950</f>
        <v>1910.9</v>
      </c>
      <c r="E299" s="219">
        <v>10</v>
      </c>
      <c r="F299" s="219">
        <v>80</v>
      </c>
      <c r="G299" s="219">
        <v>3</v>
      </c>
      <c r="H299" s="219">
        <v>8</v>
      </c>
      <c r="I299" s="219">
        <v>-248</v>
      </c>
      <c r="J299" s="219">
        <f>-'Fuel Calc'!K82</f>
        <v>64.548900000000003</v>
      </c>
      <c r="K299" s="219">
        <f>-'Fuel Calc'!L82</f>
        <v>71.137766088000006</v>
      </c>
      <c r="L299" s="219">
        <f>-'Fuel Calc'!M82</f>
        <v>80.491813379999996</v>
      </c>
      <c r="M299" s="219">
        <f>-'Fuel Calc'!N82</f>
        <v>103.28855373000002</v>
      </c>
      <c r="N299" s="131">
        <f>SUM(B299:M299)</f>
        <v>1103.3670331980002</v>
      </c>
      <c r="O299" s="311">
        <f>SUM(B299:D299)</f>
        <v>930.90000000000009</v>
      </c>
      <c r="P299" s="311">
        <f>SUM(E299:G299)</f>
        <v>93</v>
      </c>
      <c r="Q299" s="311">
        <f>SUM(H299:J299)</f>
        <v>-175.4511</v>
      </c>
      <c r="R299" s="311">
        <f>SUM(K299:M299)</f>
        <v>254.91813319800002</v>
      </c>
      <c r="S299" s="85">
        <f>O299+P299+Q299+R299</f>
        <v>1103.3670331980002</v>
      </c>
      <c r="T299" s="131" t="e">
        <f>-#REF!</f>
        <v>#REF!</v>
      </c>
      <c r="U299" s="131" t="e">
        <f>-#REF!</f>
        <v>#REF!</v>
      </c>
    </row>
    <row r="300" spans="1:34" x14ac:dyDescent="0.15">
      <c r="A300" s="191" t="s">
        <v>86</v>
      </c>
      <c r="B300" s="219">
        <v>335</v>
      </c>
      <c r="C300" s="219">
        <v>272</v>
      </c>
      <c r="D300" s="219">
        <v>872.7</v>
      </c>
      <c r="E300" s="219">
        <v>176</v>
      </c>
      <c r="F300" s="219">
        <v>168.7</v>
      </c>
      <c r="G300" s="219">
        <v>149</v>
      </c>
      <c r="H300" s="219">
        <v>157</v>
      </c>
      <c r="I300" s="219">
        <f>I315+I336</f>
        <v>261.11795999999998</v>
      </c>
      <c r="J300" s="219">
        <f>J315+J336</f>
        <v>245.86919999999998</v>
      </c>
      <c r="K300" s="219">
        <f>K315+K336</f>
        <v>337.1105278</v>
      </c>
      <c r="L300" s="219">
        <f>L315+L336</f>
        <v>339.08195800000004</v>
      </c>
      <c r="M300" s="219">
        <f>M315+M336</f>
        <v>365.32514258320003</v>
      </c>
      <c r="N300" s="131">
        <f>SUM(B300:M300)</f>
        <v>3678.9047883832004</v>
      </c>
      <c r="O300" s="311">
        <f>SUM(B300:D300)</f>
        <v>1479.7</v>
      </c>
      <c r="P300" s="311">
        <f>SUM(E300:G300)</f>
        <v>493.7</v>
      </c>
      <c r="Q300" s="311">
        <f>SUM(H300:J300)</f>
        <v>663.9871599999999</v>
      </c>
      <c r="R300" s="311">
        <f>SUM(K300:M300)</f>
        <v>1041.5176283832</v>
      </c>
      <c r="S300" s="85">
        <f>O300+P300+Q300+R300</f>
        <v>3678.9047883832</v>
      </c>
      <c r="T300" s="131">
        <f>4971.6987648802-751.6</f>
        <v>4220.0987648801993</v>
      </c>
      <c r="U300" s="131">
        <f>4971.6987648802-751.6</f>
        <v>4220.0987648801993</v>
      </c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</row>
    <row r="301" spans="1:34" x14ac:dyDescent="0.15">
      <c r="A301" s="191" t="s">
        <v>87</v>
      </c>
      <c r="B301" s="236">
        <f>-4888-52</f>
        <v>-4940</v>
      </c>
      <c r="C301" s="236">
        <f>-4665+1032</f>
        <v>-3633</v>
      </c>
      <c r="D301" s="236">
        <v>-3807.4</v>
      </c>
      <c r="E301" s="236">
        <v>-3273</v>
      </c>
      <c r="F301" s="236">
        <v>-2668</v>
      </c>
      <c r="G301" s="236">
        <v>-2834</v>
      </c>
      <c r="H301" s="236">
        <f>-2745-625</f>
        <v>-3370</v>
      </c>
      <c r="I301" s="236">
        <v>-3023</v>
      </c>
      <c r="J301" s="236">
        <v>-2475</v>
      </c>
      <c r="K301" s="236">
        <f>-'Fuel Calc'!L79-'Fuel Calc'!L80-'Fuel Calc'!L81</f>
        <v>-2818</v>
      </c>
      <c r="L301" s="236">
        <f>-'Fuel Calc'!M79-'Fuel Calc'!M80-'Fuel Calc'!M81</f>
        <v>-2744.0000000000005</v>
      </c>
      <c r="M301" s="236">
        <f>-'Fuel Calc'!N79-'Fuel Calc'!N80-'Fuel Calc'!N81</f>
        <v>-2679</v>
      </c>
      <c r="N301" s="237">
        <f>SUM(B301:M301)</f>
        <v>-38264.400000000001</v>
      </c>
      <c r="O301" s="311">
        <f>SUM(B301:D301)</f>
        <v>-12380.4</v>
      </c>
      <c r="P301" s="311">
        <f>SUM(E301:G301)</f>
        <v>-8775</v>
      </c>
      <c r="Q301" s="311">
        <f>SUM(H301:J301)</f>
        <v>-8868</v>
      </c>
      <c r="R301" s="311">
        <f>SUM(K301:M301)</f>
        <v>-8241</v>
      </c>
      <c r="S301" s="85">
        <f>O301+P301+Q301+R301</f>
        <v>-38264.400000000001</v>
      </c>
      <c r="T301" s="237" t="e">
        <f>(#REF!+#REF!+#REF!)*-1</f>
        <v>#REF!</v>
      </c>
      <c r="U301" s="237" t="e">
        <f>(#REF!+#REF!+#REF!)*-1</f>
        <v>#REF!</v>
      </c>
    </row>
    <row r="302" spans="1:34" s="62" customFormat="1" x14ac:dyDescent="0.15">
      <c r="A302" s="192" t="s">
        <v>88</v>
      </c>
      <c r="B302" s="222">
        <f>SUM(B298:B301)</f>
        <v>-4414</v>
      </c>
      <c r="C302" s="222">
        <f t="shared" ref="C302:S302" si="157">SUM(C298:C301)</f>
        <v>-4254</v>
      </c>
      <c r="D302" s="222">
        <f t="shared" si="157"/>
        <v>-884.79999999999973</v>
      </c>
      <c r="E302" s="222">
        <f t="shared" si="157"/>
        <v>-2948</v>
      </c>
      <c r="F302" s="222">
        <f t="shared" si="157"/>
        <v>-2280.3000000000002</v>
      </c>
      <c r="G302" s="222">
        <f t="shared" si="157"/>
        <v>-2543</v>
      </c>
      <c r="H302" s="222">
        <f t="shared" si="157"/>
        <v>-3066</v>
      </c>
      <c r="I302" s="222">
        <f t="shared" si="157"/>
        <v>-2909.9721399999999</v>
      </c>
      <c r="J302" s="222">
        <f t="shared" si="157"/>
        <v>-2064.672</v>
      </c>
      <c r="K302" s="222">
        <f t="shared" si="157"/>
        <v>-2309.8418061120001</v>
      </c>
      <c r="L302" s="222">
        <f t="shared" si="157"/>
        <v>-2224.5163286200004</v>
      </c>
      <c r="M302" s="222">
        <f t="shared" si="157"/>
        <v>-2110.4764036868</v>
      </c>
      <c r="N302" s="131">
        <f t="shared" si="157"/>
        <v>-32009.578678418802</v>
      </c>
      <c r="O302" s="131">
        <f t="shared" si="157"/>
        <v>-9552.7999999999993</v>
      </c>
      <c r="P302" s="131">
        <f t="shared" si="157"/>
        <v>-7771.3</v>
      </c>
      <c r="Q302" s="131">
        <f t="shared" si="157"/>
        <v>-8040.6441400000003</v>
      </c>
      <c r="R302" s="131">
        <f t="shared" si="157"/>
        <v>-6644.8345384187996</v>
      </c>
      <c r="S302" s="131">
        <f t="shared" si="157"/>
        <v>-32009.578678418802</v>
      </c>
      <c r="T302" s="131" t="e">
        <f>SUM(T298:T301)</f>
        <v>#REF!</v>
      </c>
      <c r="U302" s="131" t="e">
        <f>SUM(U298:U301)</f>
        <v>#REF!</v>
      </c>
      <c r="V302" s="21"/>
    </row>
    <row r="303" spans="1:34" x14ac:dyDescent="0.15">
      <c r="A303" s="1"/>
      <c r="B303" s="132"/>
      <c r="C303" s="132"/>
      <c r="D303" s="133"/>
      <c r="E303" s="132"/>
      <c r="F303" s="132"/>
      <c r="G303" s="132"/>
      <c r="H303" s="132"/>
      <c r="I303" s="132"/>
      <c r="J303" s="132"/>
      <c r="K303" s="132"/>
      <c r="L303" s="132"/>
      <c r="M303" s="132"/>
      <c r="N303" s="131"/>
      <c r="O303" s="131"/>
      <c r="P303" s="85"/>
      <c r="Q303" s="87"/>
      <c r="R303" s="87"/>
      <c r="S303" s="85"/>
      <c r="T303" s="131"/>
      <c r="U303" s="131"/>
    </row>
    <row r="304" spans="1:34" x14ac:dyDescent="0.15">
      <c r="A304" s="191" t="s">
        <v>522</v>
      </c>
      <c r="B304" s="220"/>
      <c r="C304" s="219"/>
      <c r="D304" s="219"/>
      <c r="E304" s="219"/>
      <c r="F304" s="219"/>
      <c r="G304" s="219"/>
      <c r="H304" s="219">
        <v>-142</v>
      </c>
      <c r="I304" s="219"/>
      <c r="J304" s="219"/>
      <c r="K304" s="219"/>
      <c r="L304" s="219"/>
      <c r="M304" s="219"/>
      <c r="N304" s="131">
        <f>SUM(B304:M304)</f>
        <v>-142</v>
      </c>
      <c r="O304" s="311">
        <f>SUM(B304:D304)</f>
        <v>0</v>
      </c>
      <c r="P304" s="311">
        <f>SUM(E304:G304)</f>
        <v>0</v>
      </c>
      <c r="Q304" s="311">
        <f>SUM(H304:J304)</f>
        <v>-142</v>
      </c>
      <c r="R304" s="311">
        <f>SUM(K304:M304)</f>
        <v>0</v>
      </c>
      <c r="S304" s="85">
        <f>O304+P304+Q304+R304</f>
        <v>-142</v>
      </c>
      <c r="T304" s="131">
        <v>0</v>
      </c>
      <c r="U304" s="131">
        <v>0</v>
      </c>
    </row>
    <row r="305" spans="1:25" x14ac:dyDescent="0.15">
      <c r="A305" s="191" t="s">
        <v>89</v>
      </c>
      <c r="B305" s="220">
        <v>-13</v>
      </c>
      <c r="C305" s="220">
        <f t="shared" ref="C305:M305" si="158">-12.5</f>
        <v>-12.5</v>
      </c>
      <c r="D305" s="220">
        <f t="shared" si="158"/>
        <v>-12.5</v>
      </c>
      <c r="E305" s="220">
        <f t="shared" si="158"/>
        <v>-12.5</v>
      </c>
      <c r="F305" s="220">
        <f t="shared" si="158"/>
        <v>-12.5</v>
      </c>
      <c r="G305" s="220">
        <f t="shared" si="158"/>
        <v>-12.5</v>
      </c>
      <c r="H305" s="220">
        <f t="shared" si="158"/>
        <v>-12.5</v>
      </c>
      <c r="I305" s="220">
        <f t="shared" si="158"/>
        <v>-12.5</v>
      </c>
      <c r="J305" s="220">
        <f t="shared" si="158"/>
        <v>-12.5</v>
      </c>
      <c r="K305" s="220">
        <f t="shared" si="158"/>
        <v>-12.5</v>
      </c>
      <c r="L305" s="220">
        <f t="shared" si="158"/>
        <v>-12.5</v>
      </c>
      <c r="M305" s="220">
        <f t="shared" si="158"/>
        <v>-12.5</v>
      </c>
      <c r="N305" s="131">
        <f>SUM(B305:M305)</f>
        <v>-150.5</v>
      </c>
      <c r="O305" s="311">
        <f>SUM(B305:D305)</f>
        <v>-38</v>
      </c>
      <c r="P305" s="311">
        <f>SUM(E305:G305)</f>
        <v>-37.5</v>
      </c>
      <c r="Q305" s="311">
        <f>SUM(H305:J305)</f>
        <v>-37.5</v>
      </c>
      <c r="R305" s="311">
        <f>SUM(K305:M305)</f>
        <v>-37.5</v>
      </c>
      <c r="S305" s="85">
        <f>O305+P305+Q305+R305</f>
        <v>-150.5</v>
      </c>
      <c r="T305" s="131">
        <v>-150</v>
      </c>
      <c r="U305" s="131">
        <v>-150</v>
      </c>
    </row>
    <row r="306" spans="1:25" x14ac:dyDescent="0.15">
      <c r="A306" s="191" t="s">
        <v>90</v>
      </c>
      <c r="B306" s="220">
        <v>-17</v>
      </c>
      <c r="C306" s="220">
        <f>-16.865</f>
        <v>-16.864999999999998</v>
      </c>
      <c r="D306" s="220">
        <v>-14.9</v>
      </c>
      <c r="E306" s="220">
        <f t="shared" ref="E306:M306" si="159">-15</f>
        <v>-15</v>
      </c>
      <c r="F306" s="220">
        <v>-14.6</v>
      </c>
      <c r="G306" s="220">
        <f t="shared" si="159"/>
        <v>-15</v>
      </c>
      <c r="H306" s="220">
        <f t="shared" si="159"/>
        <v>-15</v>
      </c>
      <c r="I306" s="220">
        <f t="shared" si="159"/>
        <v>-15</v>
      </c>
      <c r="J306" s="220">
        <f t="shared" si="159"/>
        <v>-15</v>
      </c>
      <c r="K306" s="220">
        <f t="shared" si="159"/>
        <v>-15</v>
      </c>
      <c r="L306" s="220">
        <f t="shared" si="159"/>
        <v>-15</v>
      </c>
      <c r="M306" s="220">
        <f t="shared" si="159"/>
        <v>-15</v>
      </c>
      <c r="N306" s="131">
        <f>SUM(B306:M306)</f>
        <v>-183.36500000000001</v>
      </c>
      <c r="O306" s="311">
        <f>SUM(B306:D306)</f>
        <v>-48.764999999999993</v>
      </c>
      <c r="P306" s="311">
        <f>SUM(E306:G306)</f>
        <v>-44.6</v>
      </c>
      <c r="Q306" s="311">
        <f>SUM(H306:J306)</f>
        <v>-45</v>
      </c>
      <c r="R306" s="311">
        <f>SUM(K306:M306)</f>
        <v>-45</v>
      </c>
      <c r="S306" s="85">
        <f>O306+P306+Q306+R306</f>
        <v>-183.36500000000001</v>
      </c>
      <c r="T306" s="131">
        <v>-183.86500000000001</v>
      </c>
      <c r="U306" s="131">
        <v>-183.86500000000001</v>
      </c>
    </row>
    <row r="307" spans="1:25" x14ac:dyDescent="0.15">
      <c r="A307" s="191" t="s">
        <v>200</v>
      </c>
      <c r="B307" s="219">
        <f>150-150</f>
        <v>0</v>
      </c>
      <c r="C307" s="219"/>
      <c r="D307" s="238">
        <f>300-300+202-202</f>
        <v>0</v>
      </c>
      <c r="E307" s="219">
        <f>202-202</f>
        <v>0</v>
      </c>
      <c r="F307" s="219">
        <f>0</f>
        <v>0</v>
      </c>
      <c r="G307" s="219">
        <f>0</f>
        <v>0</v>
      </c>
      <c r="H307" s="219">
        <f>0</f>
        <v>0</v>
      </c>
      <c r="I307" s="219">
        <f>0</f>
        <v>0</v>
      </c>
      <c r="J307" s="219">
        <f>0</f>
        <v>0</v>
      </c>
      <c r="K307" s="219">
        <f>0</f>
        <v>0</v>
      </c>
      <c r="L307" s="219">
        <f>0</f>
        <v>0</v>
      </c>
      <c r="M307" s="219">
        <f>0</f>
        <v>0</v>
      </c>
      <c r="N307" s="131">
        <f>SUM(B307:M307)</f>
        <v>0</v>
      </c>
      <c r="O307" s="311">
        <f>SUM(B307:D307)</f>
        <v>0</v>
      </c>
      <c r="P307" s="311">
        <f>SUM(E307:G307)</f>
        <v>0</v>
      </c>
      <c r="Q307" s="311">
        <f>SUM(H307:J307)</f>
        <v>0</v>
      </c>
      <c r="R307" s="311">
        <f>SUM(K307:M307)</f>
        <v>0</v>
      </c>
      <c r="S307" s="85">
        <f>O307+P307+Q307+R307</f>
        <v>0</v>
      </c>
      <c r="T307" s="131">
        <v>0</v>
      </c>
      <c r="U307" s="131">
        <v>0</v>
      </c>
    </row>
    <row r="308" spans="1:25" x14ac:dyDescent="0.15">
      <c r="A308" s="191" t="s">
        <v>199</v>
      </c>
      <c r="B308" s="236">
        <f>-10+10</f>
        <v>0</v>
      </c>
      <c r="C308" s="236">
        <f>-130-170+130+170</f>
        <v>0</v>
      </c>
      <c r="D308" s="236"/>
      <c r="E308" s="221"/>
      <c r="F308" s="221"/>
      <c r="G308" s="221"/>
      <c r="H308" s="221"/>
      <c r="I308" s="221"/>
      <c r="J308" s="221"/>
      <c r="K308" s="221"/>
      <c r="L308" s="221"/>
      <c r="M308" s="221"/>
      <c r="N308" s="154">
        <f>SUM(B308:M308)</f>
        <v>0</v>
      </c>
      <c r="O308" s="311">
        <f>SUM(B308:D308)</f>
        <v>0</v>
      </c>
      <c r="P308" s="311">
        <f>SUM(E308:G308)</f>
        <v>0</v>
      </c>
      <c r="Q308" s="311">
        <f>SUM(H308:J308)</f>
        <v>0</v>
      </c>
      <c r="R308" s="311">
        <f>SUM(K308:M308)</f>
        <v>0</v>
      </c>
      <c r="S308" s="85">
        <f>O308+P308+Q308+R308</f>
        <v>0</v>
      </c>
      <c r="T308" s="154">
        <v>0</v>
      </c>
      <c r="U308" s="154">
        <v>0</v>
      </c>
    </row>
    <row r="309" spans="1:25" ht="13.5" thickBot="1" x14ac:dyDescent="0.2">
      <c r="A309" s="187" t="s">
        <v>91</v>
      </c>
      <c r="B309" s="134">
        <f>+B293-B302+SUM(B304:B308)</f>
        <v>18300</v>
      </c>
      <c r="C309" s="134">
        <f t="shared" ref="C309:S309" si="160">+C293-C302+SUM(C304:C308)</f>
        <v>22567.634999999998</v>
      </c>
      <c r="D309" s="134">
        <f t="shared" si="160"/>
        <v>9620.9580000000005</v>
      </c>
      <c r="E309" s="134">
        <f t="shared" si="160"/>
        <v>17476.099999999999</v>
      </c>
      <c r="F309" s="134">
        <f t="shared" si="160"/>
        <v>18592.758000000005</v>
      </c>
      <c r="G309" s="134">
        <f t="shared" si="160"/>
        <v>16808.439999999999</v>
      </c>
      <c r="H309" s="134">
        <f t="shared" si="160"/>
        <v>17161.7</v>
      </c>
      <c r="I309" s="134">
        <f t="shared" si="160"/>
        <v>17128.782140000003</v>
      </c>
      <c r="J309" s="134">
        <f t="shared" si="160"/>
        <v>15138.912</v>
      </c>
      <c r="K309" s="134">
        <f t="shared" si="160"/>
        <v>15534.372296012003</v>
      </c>
      <c r="L309" s="134">
        <f t="shared" si="160"/>
        <v>14521.30263762</v>
      </c>
      <c r="M309" s="134">
        <f t="shared" si="160"/>
        <v>15252.8065832868</v>
      </c>
      <c r="N309" s="201">
        <f t="shared" si="160"/>
        <v>198103.7666569188</v>
      </c>
      <c r="O309" s="201">
        <f t="shared" si="160"/>
        <v>50488.592999999993</v>
      </c>
      <c r="P309" s="201">
        <f t="shared" si="160"/>
        <v>52877.29800000001</v>
      </c>
      <c r="Q309" s="201">
        <f t="shared" si="160"/>
        <v>49429.394140000004</v>
      </c>
      <c r="R309" s="201">
        <f t="shared" si="160"/>
        <v>45308.4815169188</v>
      </c>
      <c r="S309" s="201">
        <f t="shared" si="160"/>
        <v>198103.7666569188</v>
      </c>
      <c r="T309" s="201" t="e">
        <f>+T293-T302+SUM(T304:T308)</f>
        <v>#REF!</v>
      </c>
      <c r="U309" s="201" t="e">
        <f>+U293-U302+SUM(U304:U308)</f>
        <v>#REF!</v>
      </c>
    </row>
    <row r="310" spans="1:25" ht="13.5" thickTop="1" x14ac:dyDescent="0.15">
      <c r="A310" s="180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90"/>
      <c r="Q310" s="159"/>
      <c r="R310" s="159"/>
      <c r="S310" s="90"/>
      <c r="T310" s="158"/>
      <c r="U310" s="158"/>
    </row>
    <row r="311" spans="1:25" x14ac:dyDescent="0.15">
      <c r="A311" s="191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0"/>
      <c r="O311" s="130"/>
      <c r="P311" s="78"/>
      <c r="Q311" s="78"/>
      <c r="R311" s="78"/>
      <c r="S311" s="78"/>
      <c r="T311" s="130"/>
      <c r="U311" s="130"/>
    </row>
    <row r="312" spans="1:25" x14ac:dyDescent="0.15">
      <c r="A312" s="193" t="s">
        <v>92</v>
      </c>
      <c r="B312" s="160"/>
      <c r="C312" s="160"/>
      <c r="D312" s="160"/>
      <c r="E312" s="160"/>
      <c r="F312" s="160"/>
      <c r="G312" s="160"/>
      <c r="H312" s="160"/>
      <c r="I312" s="160"/>
      <c r="J312" s="160"/>
      <c r="K312" s="160"/>
      <c r="L312" s="160"/>
      <c r="M312" s="160"/>
      <c r="N312" s="161"/>
      <c r="O312" s="161"/>
      <c r="P312" s="79" t="s">
        <v>4</v>
      </c>
      <c r="Q312" s="79" t="str">
        <f>P312</f>
        <v>MONTH</v>
      </c>
      <c r="R312" s="79" t="str">
        <f>P312</f>
        <v>MONTH</v>
      </c>
      <c r="S312" s="79" t="s">
        <v>5</v>
      </c>
      <c r="T312" s="161"/>
      <c r="U312" s="161"/>
    </row>
    <row r="313" spans="1:25" x14ac:dyDescent="0.15">
      <c r="A313" s="191" t="s">
        <v>93</v>
      </c>
      <c r="B313" s="219">
        <v>238</v>
      </c>
      <c r="C313" s="219">
        <v>175</v>
      </c>
      <c r="D313" s="219">
        <v>194.6</v>
      </c>
      <c r="E313" s="219">
        <f>+E110*E354*E$1*0.5</f>
        <v>218.07867599999997</v>
      </c>
      <c r="F313" s="219">
        <v>168.7</v>
      </c>
      <c r="G313" s="219">
        <v>149</v>
      </c>
      <c r="H313" s="219">
        <f t="shared" ref="H313:M313" si="161">+H110*H354*H$1*0.5</f>
        <v>204.42888000000002</v>
      </c>
      <c r="I313" s="219">
        <f t="shared" si="161"/>
        <v>205.68995999999999</v>
      </c>
      <c r="J313" s="219">
        <f t="shared" si="161"/>
        <v>192.22919999999999</v>
      </c>
      <c r="K313" s="219">
        <f t="shared" si="161"/>
        <v>180.7525278</v>
      </c>
      <c r="L313" s="219">
        <f t="shared" si="161"/>
        <v>184.54195800000002</v>
      </c>
      <c r="M313" s="219">
        <f t="shared" si="161"/>
        <v>210.82714258320001</v>
      </c>
      <c r="N313" s="130">
        <f>SUM(B313:M313)</f>
        <v>2321.8483443832001</v>
      </c>
      <c r="O313" s="311">
        <f>SUM(B313:D313)</f>
        <v>607.6</v>
      </c>
      <c r="P313" s="311">
        <f>SUM(E313:G313)</f>
        <v>535.7786759999999</v>
      </c>
      <c r="Q313" s="311">
        <f>SUM(H313:J313)</f>
        <v>602.34803999999997</v>
      </c>
      <c r="R313" s="311">
        <f>SUM(K313:M313)</f>
        <v>576.1216283832</v>
      </c>
      <c r="S313" s="85">
        <f>O313+P313+Q313+R313</f>
        <v>2321.8483443831997</v>
      </c>
      <c r="T313" s="130">
        <v>2211.4891644083996</v>
      </c>
      <c r="U313" s="130">
        <v>2211.4891644083996</v>
      </c>
    </row>
    <row r="314" spans="1:25" x14ac:dyDescent="0.15">
      <c r="A314" s="191" t="s">
        <v>94</v>
      </c>
      <c r="B314" s="221">
        <v>97</v>
      </c>
      <c r="C314" s="221">
        <v>97</v>
      </c>
      <c r="D314" s="221">
        <v>678.1</v>
      </c>
      <c r="E314" s="221">
        <v>0</v>
      </c>
      <c r="F314" s="221">
        <v>0</v>
      </c>
      <c r="G314" s="221">
        <v>0</v>
      </c>
      <c r="H314" s="221">
        <v>0</v>
      </c>
      <c r="I314" s="221">
        <v>0</v>
      </c>
      <c r="J314" s="221">
        <v>0</v>
      </c>
      <c r="K314" s="221">
        <v>100</v>
      </c>
      <c r="L314" s="221">
        <v>100</v>
      </c>
      <c r="M314" s="221">
        <v>100</v>
      </c>
      <c r="N314" s="135">
        <f>SUM(B314:M314)</f>
        <v>1172.0999999999999</v>
      </c>
      <c r="O314" s="311">
        <f>SUM(B314:D314)</f>
        <v>872.1</v>
      </c>
      <c r="P314" s="556">
        <f>SUM(E314:G314)</f>
        <v>0</v>
      </c>
      <c r="Q314" s="311">
        <f>SUM(H314:J314)</f>
        <v>0</v>
      </c>
      <c r="R314" s="311">
        <f>SUM(K314:M314)</f>
        <v>300</v>
      </c>
      <c r="S314" s="85">
        <f>O314+P314+Q314+R314</f>
        <v>1172.0999999999999</v>
      </c>
      <c r="T314" s="135">
        <v>1351.4656004718001</v>
      </c>
      <c r="U314" s="135">
        <v>1351.4656004718001</v>
      </c>
    </row>
    <row r="315" spans="1:25" x14ac:dyDescent="0.15">
      <c r="A315" s="187" t="s">
        <v>95</v>
      </c>
      <c r="B315" s="210">
        <f>SUM(B313:B314)</f>
        <v>335</v>
      </c>
      <c r="C315" s="210">
        <f t="shared" ref="C315:P315" si="162">SUM(C313:C314)</f>
        <v>272</v>
      </c>
      <c r="D315" s="210">
        <f t="shared" si="162"/>
        <v>872.7</v>
      </c>
      <c r="E315" s="210">
        <f t="shared" si="162"/>
        <v>218.07867599999997</v>
      </c>
      <c r="F315" s="210">
        <f t="shared" si="162"/>
        <v>168.7</v>
      </c>
      <c r="G315" s="210">
        <f t="shared" si="162"/>
        <v>149</v>
      </c>
      <c r="H315" s="210">
        <f t="shared" si="162"/>
        <v>204.42888000000002</v>
      </c>
      <c r="I315" s="210">
        <f t="shared" si="162"/>
        <v>205.68995999999999</v>
      </c>
      <c r="J315" s="210">
        <f t="shared" si="162"/>
        <v>192.22919999999999</v>
      </c>
      <c r="K315" s="210">
        <f t="shared" si="162"/>
        <v>280.7525278</v>
      </c>
      <c r="L315" s="210">
        <f t="shared" si="162"/>
        <v>284.54195800000002</v>
      </c>
      <c r="M315" s="210">
        <f t="shared" si="162"/>
        <v>310.82714258320004</v>
      </c>
      <c r="N315" s="202">
        <f t="shared" si="162"/>
        <v>3493.9483443832</v>
      </c>
      <c r="O315" s="202">
        <f t="shared" si="162"/>
        <v>1479.7</v>
      </c>
      <c r="P315" s="202">
        <f t="shared" si="162"/>
        <v>535.7786759999999</v>
      </c>
      <c r="Q315" s="202">
        <f>SUM(Q313:Q314)</f>
        <v>602.34803999999997</v>
      </c>
      <c r="R315" s="202">
        <f>SUM(R313:R314)</f>
        <v>876.1216283832</v>
      </c>
      <c r="S315" s="85">
        <f>O315+P315+Q315+R315</f>
        <v>3493.9483443832</v>
      </c>
      <c r="T315" s="202">
        <f>SUM(T313:T314)</f>
        <v>3562.9547648801999</v>
      </c>
      <c r="U315" s="202">
        <f>SUM(U313:U314)</f>
        <v>3562.9547648801999</v>
      </c>
    </row>
    <row r="316" spans="1:25" x14ac:dyDescent="0.15">
      <c r="A316" s="187" t="s">
        <v>96</v>
      </c>
      <c r="B316" s="142">
        <f>+B292</f>
        <v>1304</v>
      </c>
      <c r="C316" s="142">
        <f t="shared" ref="C316:O316" si="163">+C292</f>
        <v>1258</v>
      </c>
      <c r="D316" s="142">
        <f t="shared" si="163"/>
        <v>1285.2</v>
      </c>
      <c r="E316" s="142">
        <f t="shared" si="163"/>
        <v>2727.4</v>
      </c>
      <c r="F316" s="142">
        <f t="shared" si="163"/>
        <v>3688.4000000000005</v>
      </c>
      <c r="G316" s="142">
        <f t="shared" si="163"/>
        <v>2163.5</v>
      </c>
      <c r="H316" s="142">
        <f t="shared" si="163"/>
        <v>1563.4</v>
      </c>
      <c r="I316" s="142">
        <f t="shared" si="163"/>
        <v>1670.1100000000001</v>
      </c>
      <c r="J316" s="142">
        <f t="shared" si="163"/>
        <v>1068.4000000000001</v>
      </c>
      <c r="K316" s="142">
        <f t="shared" si="163"/>
        <v>1049.5986498500001</v>
      </c>
      <c r="L316" s="142">
        <f t="shared" si="163"/>
        <v>1034.7710305000001</v>
      </c>
      <c r="M316" s="142">
        <f t="shared" si="163"/>
        <v>1103.6664841066001</v>
      </c>
      <c r="N316" s="203">
        <f t="shared" si="163"/>
        <v>19916.4461644566</v>
      </c>
      <c r="O316" s="203">
        <f t="shared" si="163"/>
        <v>3847.2</v>
      </c>
      <c r="P316" s="203">
        <f t="shared" ref="P316:U316" si="164">+P292</f>
        <v>8579.3000000000011</v>
      </c>
      <c r="Q316" s="203">
        <f t="shared" si="164"/>
        <v>4301.91</v>
      </c>
      <c r="R316" s="203">
        <f t="shared" si="164"/>
        <v>3188.0361644566001</v>
      </c>
      <c r="S316" s="85">
        <f>O316+P316+Q316+R316</f>
        <v>19916.4461644566</v>
      </c>
      <c r="T316" s="203">
        <f t="shared" si="164"/>
        <v>13351.289236307701</v>
      </c>
      <c r="U316" s="203">
        <f t="shared" si="164"/>
        <v>16080.172236307701</v>
      </c>
    </row>
    <row r="317" spans="1:25" x14ac:dyDescent="0.15">
      <c r="A317" s="187" t="s">
        <v>97</v>
      </c>
      <c r="B317" s="142">
        <f>+B316-B315</f>
        <v>969</v>
      </c>
      <c r="C317" s="142">
        <f t="shared" ref="C317:P317" si="165">+C316-C315</f>
        <v>986</v>
      </c>
      <c r="D317" s="142">
        <f t="shared" si="165"/>
        <v>412.5</v>
      </c>
      <c r="E317" s="142">
        <f t="shared" si="165"/>
        <v>2509.321324</v>
      </c>
      <c r="F317" s="142">
        <f t="shared" si="165"/>
        <v>3519.7000000000007</v>
      </c>
      <c r="G317" s="142">
        <f t="shared" si="165"/>
        <v>2014.5</v>
      </c>
      <c r="H317" s="142">
        <f t="shared" si="165"/>
        <v>1358.9711200000002</v>
      </c>
      <c r="I317" s="142">
        <f t="shared" si="165"/>
        <v>1464.4200400000002</v>
      </c>
      <c r="J317" s="142">
        <f t="shared" si="165"/>
        <v>876.1708000000001</v>
      </c>
      <c r="K317" s="142">
        <f t="shared" si="165"/>
        <v>768.84612205000008</v>
      </c>
      <c r="L317" s="142">
        <f t="shared" si="165"/>
        <v>750.22907250000003</v>
      </c>
      <c r="M317" s="142">
        <f t="shared" si="165"/>
        <v>792.83934152340009</v>
      </c>
      <c r="N317" s="203">
        <f t="shared" si="165"/>
        <v>16422.4978200734</v>
      </c>
      <c r="O317" s="203">
        <f t="shared" si="165"/>
        <v>2367.5</v>
      </c>
      <c r="P317" s="203">
        <f t="shared" si="165"/>
        <v>8043.5213240000012</v>
      </c>
      <c r="Q317" s="203">
        <f>+Q316-Q315</f>
        <v>3699.56196</v>
      </c>
      <c r="R317" s="203">
        <f>+R316-R315</f>
        <v>2311.9145360734001</v>
      </c>
      <c r="S317" s="85">
        <f>O317+P317+Q317+R317</f>
        <v>16422.4978200734</v>
      </c>
      <c r="T317" s="203">
        <f>+T316-T315</f>
        <v>9788.3344714275008</v>
      </c>
      <c r="U317" s="203">
        <f>+U316-U315</f>
        <v>12517.217471427501</v>
      </c>
    </row>
    <row r="318" spans="1:25" x14ac:dyDescent="0.15">
      <c r="A318" s="194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85"/>
      <c r="Q318" s="87"/>
      <c r="R318" s="87"/>
      <c r="S318" s="85"/>
      <c r="T318" s="155"/>
      <c r="U318" s="155"/>
    </row>
    <row r="319" spans="1:25" x14ac:dyDescent="0.15">
      <c r="A319" s="191"/>
      <c r="B319" s="2"/>
      <c r="C319" s="2"/>
      <c r="D319" s="2"/>
      <c r="E319" s="2"/>
      <c r="F319" s="2"/>
      <c r="G319" s="2"/>
      <c r="H319" s="1"/>
      <c r="I319" s="1"/>
      <c r="J319" s="1"/>
      <c r="K319" s="1"/>
      <c r="L319" s="1"/>
      <c r="M319" s="1"/>
      <c r="N319" s="130"/>
      <c r="O319" s="130"/>
      <c r="P319" s="85"/>
      <c r="Q319" s="87"/>
      <c r="R319" s="87"/>
      <c r="S319" s="85"/>
      <c r="T319" s="130"/>
      <c r="U319" s="130"/>
    </row>
    <row r="320" spans="1:25" x14ac:dyDescent="0.15">
      <c r="A320" s="195" t="s">
        <v>98</v>
      </c>
      <c r="B320" s="136"/>
      <c r="C320" s="136"/>
      <c r="D320" s="136"/>
      <c r="E320" s="136"/>
      <c r="F320" s="136"/>
      <c r="G320" s="136"/>
      <c r="H320" s="136"/>
      <c r="I320" s="136"/>
      <c r="J320" s="136"/>
      <c r="K320" s="136"/>
      <c r="L320" s="136"/>
      <c r="M320" s="136"/>
      <c r="N320" s="4"/>
      <c r="O320" s="4"/>
      <c r="P320" s="85"/>
      <c r="Q320" s="87"/>
      <c r="R320" s="87"/>
      <c r="S320" s="85"/>
      <c r="T320" s="4"/>
      <c r="U320" s="4"/>
      <c r="W320"/>
      <c r="X320"/>
      <c r="Y320"/>
    </row>
    <row r="321" spans="1:28" x14ac:dyDescent="0.15">
      <c r="A321" s="191" t="s">
        <v>99</v>
      </c>
      <c r="B321" s="213">
        <f>+B189</f>
        <v>322</v>
      </c>
      <c r="C321" s="213">
        <f t="shared" ref="C321:M321" si="166">+C189</f>
        <v>403</v>
      </c>
      <c r="D321" s="213">
        <f t="shared" si="166"/>
        <v>412</v>
      </c>
      <c r="E321" s="213">
        <f t="shared" si="166"/>
        <v>361.6</v>
      </c>
      <c r="F321" s="213">
        <f t="shared" si="166"/>
        <v>593.1</v>
      </c>
      <c r="G321" s="213">
        <f t="shared" si="166"/>
        <v>537</v>
      </c>
      <c r="H321" s="213">
        <f t="shared" si="166"/>
        <v>537</v>
      </c>
      <c r="I321" s="213">
        <f t="shared" si="166"/>
        <v>537.73</v>
      </c>
      <c r="J321" s="213">
        <f t="shared" si="166"/>
        <v>342.19499999999999</v>
      </c>
      <c r="K321" s="213">
        <f t="shared" si="166"/>
        <v>353.60149999999999</v>
      </c>
      <c r="L321" s="213">
        <f t="shared" si="166"/>
        <v>0</v>
      </c>
      <c r="M321" s="213">
        <f t="shared" si="166"/>
        <v>0</v>
      </c>
      <c r="N321" s="130">
        <f>SUM(B321:M321)</f>
        <v>4399.2264999999998</v>
      </c>
      <c r="O321" s="311">
        <f>SUM(B321:D321)</f>
        <v>1137</v>
      </c>
      <c r="P321" s="311">
        <f>SUM(E321:G321)</f>
        <v>1491.7</v>
      </c>
      <c r="Q321" s="311">
        <f>SUM(H321:J321)</f>
        <v>1416.925</v>
      </c>
      <c r="R321" s="311">
        <f>SUM(K321:M321)</f>
        <v>353.60149999999999</v>
      </c>
      <c r="S321" s="85">
        <f>O321+P321+Q321+R321</f>
        <v>4399.2264999999998</v>
      </c>
      <c r="T321" s="130"/>
      <c r="U321" s="130"/>
    </row>
    <row r="322" spans="1:28" x14ac:dyDescent="0.15">
      <c r="A322" s="191" t="s">
        <v>100</v>
      </c>
      <c r="B322" s="223">
        <f>+B197</f>
        <v>771.3</v>
      </c>
      <c r="C322" s="223">
        <f t="shared" ref="C322:M322" si="167">+C197</f>
        <v>665</v>
      </c>
      <c r="D322" s="223">
        <f t="shared" si="167"/>
        <v>737.6</v>
      </c>
      <c r="E322" s="223">
        <f t="shared" si="167"/>
        <v>713.1</v>
      </c>
      <c r="F322" s="223">
        <f t="shared" si="167"/>
        <v>736.9</v>
      </c>
      <c r="G322" s="223">
        <f t="shared" si="167"/>
        <v>715.2</v>
      </c>
      <c r="H322" s="223">
        <f t="shared" si="167"/>
        <v>736.9</v>
      </c>
      <c r="I322" s="223">
        <f t="shared" si="167"/>
        <v>650.70000000000005</v>
      </c>
      <c r="J322" s="223">
        <f t="shared" si="167"/>
        <v>629.74800000000005</v>
      </c>
      <c r="K322" s="223">
        <f t="shared" si="167"/>
        <v>650.7396</v>
      </c>
      <c r="L322" s="223">
        <f t="shared" si="167"/>
        <v>0</v>
      </c>
      <c r="M322" s="223">
        <f t="shared" si="167"/>
        <v>0</v>
      </c>
      <c r="N322" s="135">
        <f>SUM(B322:M322)</f>
        <v>7007.1876000000002</v>
      </c>
      <c r="O322" s="311">
        <f>SUM(B322:D322)</f>
        <v>2173.9</v>
      </c>
      <c r="P322" s="311">
        <f>SUM(E322:G322)</f>
        <v>2165.1999999999998</v>
      </c>
      <c r="Q322" s="311">
        <f>SUM(H322:J322)</f>
        <v>2017.348</v>
      </c>
      <c r="R322" s="311">
        <f>SUM(K322:M322)</f>
        <v>650.7396</v>
      </c>
      <c r="S322" s="85">
        <f>O322+P322+Q322+R322</f>
        <v>7007.1876000000002</v>
      </c>
      <c r="T322" s="135"/>
      <c r="U322" s="135"/>
    </row>
    <row r="323" spans="1:28" x14ac:dyDescent="0.15">
      <c r="A323" s="187" t="s">
        <v>101</v>
      </c>
      <c r="B323" s="143">
        <f>SUM(B321:B322)</f>
        <v>1093.3</v>
      </c>
      <c r="C323" s="143">
        <f t="shared" ref="C323:N323" si="168">SUM(C321:C322)</f>
        <v>1068</v>
      </c>
      <c r="D323" s="143">
        <f t="shared" si="168"/>
        <v>1149.5999999999999</v>
      </c>
      <c r="E323" s="143">
        <f t="shared" si="168"/>
        <v>1074.7</v>
      </c>
      <c r="F323" s="143">
        <f t="shared" si="168"/>
        <v>1330</v>
      </c>
      <c r="G323" s="143">
        <f t="shared" si="168"/>
        <v>1252.2</v>
      </c>
      <c r="H323" s="143">
        <f t="shared" si="168"/>
        <v>1273.9000000000001</v>
      </c>
      <c r="I323" s="143">
        <f t="shared" si="168"/>
        <v>1188.43</v>
      </c>
      <c r="J323" s="143">
        <f t="shared" si="168"/>
        <v>971.94299999999998</v>
      </c>
      <c r="K323" s="143">
        <f t="shared" si="168"/>
        <v>1004.3411</v>
      </c>
      <c r="L323" s="143">
        <f t="shared" si="168"/>
        <v>0</v>
      </c>
      <c r="M323" s="143">
        <f t="shared" si="168"/>
        <v>0</v>
      </c>
      <c r="N323" s="204">
        <f t="shared" si="168"/>
        <v>11406.4141</v>
      </c>
      <c r="O323" s="204">
        <f t="shared" ref="O323:U323" si="169">SUM(O321:O322)</f>
        <v>3310.9</v>
      </c>
      <c r="P323" s="204">
        <f t="shared" si="169"/>
        <v>3656.8999999999996</v>
      </c>
      <c r="Q323" s="204">
        <f t="shared" si="169"/>
        <v>3434.2730000000001</v>
      </c>
      <c r="R323" s="204">
        <f t="shared" si="169"/>
        <v>1004.3411</v>
      </c>
      <c r="S323" s="204">
        <f t="shared" si="169"/>
        <v>11406.4141</v>
      </c>
      <c r="T323" s="204">
        <f t="shared" si="169"/>
        <v>0</v>
      </c>
      <c r="U323" s="204">
        <f t="shared" si="169"/>
        <v>0</v>
      </c>
    </row>
    <row r="324" spans="1:28" x14ac:dyDescent="0.15">
      <c r="A324" s="180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85"/>
      <c r="Q324" s="87"/>
      <c r="R324" s="87"/>
      <c r="S324" s="85"/>
      <c r="T324" s="156"/>
      <c r="U324" s="156"/>
    </row>
    <row r="325" spans="1:28" x14ac:dyDescent="0.15">
      <c r="A325" s="193" t="s">
        <v>102</v>
      </c>
      <c r="B325" s="2"/>
      <c r="C325" s="2"/>
      <c r="D325" s="2"/>
      <c r="E325" s="2"/>
      <c r="F325" s="2"/>
      <c r="G325" s="2"/>
      <c r="H325" s="1"/>
      <c r="I325" s="1"/>
      <c r="J325" s="1"/>
      <c r="K325" s="1"/>
      <c r="L325" s="1"/>
      <c r="M325" s="1"/>
      <c r="N325" s="130"/>
      <c r="O325" s="130"/>
      <c r="P325" s="85"/>
      <c r="Q325" s="87"/>
      <c r="R325" s="87"/>
      <c r="S325" s="85"/>
      <c r="T325" s="130"/>
      <c r="U325" s="130"/>
    </row>
    <row r="326" spans="1:28" x14ac:dyDescent="0.15">
      <c r="A326" s="192" t="s">
        <v>103</v>
      </c>
      <c r="B326" s="229"/>
      <c r="C326" s="229"/>
      <c r="D326" s="229"/>
      <c r="E326" s="229"/>
      <c r="F326" s="229"/>
      <c r="G326" s="229"/>
      <c r="H326" s="230"/>
      <c r="I326" s="230"/>
      <c r="J326" s="230"/>
      <c r="K326" s="230"/>
      <c r="L326" s="230"/>
      <c r="M326" s="230"/>
      <c r="N326" s="130"/>
      <c r="O326" s="130"/>
      <c r="P326" s="85"/>
      <c r="Q326" s="87"/>
      <c r="R326" s="87"/>
      <c r="S326" s="85"/>
      <c r="T326" s="130"/>
      <c r="U326" s="130"/>
    </row>
    <row r="327" spans="1:28" x14ac:dyDescent="0.15">
      <c r="A327" s="191" t="s">
        <v>104</v>
      </c>
      <c r="B327" s="219">
        <v>0</v>
      </c>
      <c r="C327" s="219">
        <v>0</v>
      </c>
      <c r="D327" s="219">
        <v>0</v>
      </c>
      <c r="E327" s="219">
        <v>0</v>
      </c>
      <c r="F327" s="219">
        <v>0</v>
      </c>
      <c r="G327" s="219">
        <v>0</v>
      </c>
      <c r="H327" s="219">
        <v>0</v>
      </c>
      <c r="I327" s="219">
        <v>0</v>
      </c>
      <c r="J327" s="219">
        <v>0</v>
      </c>
      <c r="K327" s="219">
        <v>0</v>
      </c>
      <c r="L327" s="219">
        <v>0</v>
      </c>
      <c r="M327" s="219">
        <v>0</v>
      </c>
      <c r="N327" s="224">
        <v>0</v>
      </c>
      <c r="O327" s="224"/>
      <c r="P327" s="225"/>
      <c r="Q327" s="226"/>
      <c r="R327" s="226"/>
      <c r="S327" s="225" t="e">
        <v>#REF!</v>
      </c>
      <c r="T327" s="224">
        <v>0</v>
      </c>
      <c r="U327" s="224">
        <v>0</v>
      </c>
    </row>
    <row r="328" spans="1:28" x14ac:dyDescent="0.15">
      <c r="A328" s="191" t="s">
        <v>105</v>
      </c>
      <c r="B328" s="219">
        <f>Detail!N556/1000</f>
        <v>1.86</v>
      </c>
      <c r="C328" s="219">
        <f>Detail!O556/1000</f>
        <v>1.68</v>
      </c>
      <c r="D328" s="219">
        <f>Detail!P556/1000</f>
        <v>1.86</v>
      </c>
      <c r="E328" s="219">
        <f>Detail!Q556/1000</f>
        <v>1.8</v>
      </c>
      <c r="F328" s="219">
        <f>Detail!R556/1000</f>
        <v>0.93</v>
      </c>
      <c r="G328" s="219">
        <f>Detail!S556/1000</f>
        <v>0.9</v>
      </c>
      <c r="H328" s="219">
        <f>Detail!T556/1000</f>
        <v>0.93</v>
      </c>
      <c r="I328" s="219">
        <f>Detail!U556/1000</f>
        <v>0.93</v>
      </c>
      <c r="J328" s="219">
        <f>Detail!V556/1000</f>
        <v>0.9</v>
      </c>
      <c r="K328" s="219">
        <f>Detail!W556/1000</f>
        <v>1.86</v>
      </c>
      <c r="L328" s="219">
        <f>Detail!X556/1000</f>
        <v>1.8</v>
      </c>
      <c r="M328" s="219">
        <f>Detail!Y556/1000</f>
        <v>1.86</v>
      </c>
      <c r="N328" s="224">
        <f>SUM(B328:M328)</f>
        <v>17.310000000000002</v>
      </c>
      <c r="O328" s="224"/>
      <c r="P328" s="225"/>
      <c r="Q328" s="226"/>
      <c r="R328" s="226"/>
      <c r="S328" s="225" t="e">
        <v>#REF!</v>
      </c>
      <c r="T328" s="224">
        <v>17.309999999999999</v>
      </c>
      <c r="U328" s="224">
        <v>17.309999999999999</v>
      </c>
    </row>
    <row r="329" spans="1:28" x14ac:dyDescent="0.15">
      <c r="A329" s="191" t="s">
        <v>106</v>
      </c>
      <c r="B329" s="219">
        <f>Detail!N590/1000</f>
        <v>2.48</v>
      </c>
      <c r="C329" s="219">
        <f>Detail!O590/1000</f>
        <v>2.2400000000000002</v>
      </c>
      <c r="D329" s="219">
        <f>Detail!P590/1000</f>
        <v>2.48</v>
      </c>
      <c r="E329" s="219">
        <f>Detail!Q590/1000</f>
        <v>2.4</v>
      </c>
      <c r="F329" s="219">
        <f>Detail!R590/1000</f>
        <v>2.48</v>
      </c>
      <c r="G329" s="219">
        <f>Detail!S590/1000</f>
        <v>2.4</v>
      </c>
      <c r="H329" s="219">
        <f>Detail!T590/1000</f>
        <v>2.48</v>
      </c>
      <c r="I329" s="219">
        <f>Detail!U590/1000</f>
        <v>2.48</v>
      </c>
      <c r="J329" s="219">
        <f>Detail!V590/1000</f>
        <v>2.4</v>
      </c>
      <c r="K329" s="219">
        <f>Detail!W590/1000</f>
        <v>2.48</v>
      </c>
      <c r="L329" s="219">
        <f>Detail!X590/1000</f>
        <v>2.4</v>
      </c>
      <c r="M329" s="219">
        <f>Detail!Y590/1000</f>
        <v>2.48</v>
      </c>
      <c r="N329" s="224">
        <f t="shared" ref="N329:N335" si="170">SUM(B329:M329)</f>
        <v>29.2</v>
      </c>
      <c r="O329" s="224"/>
      <c r="P329" s="225"/>
      <c r="Q329" s="226"/>
      <c r="R329" s="226"/>
      <c r="S329" s="225" t="e">
        <v>#REF!</v>
      </c>
      <c r="T329" s="224">
        <v>29.2</v>
      </c>
      <c r="U329" s="224">
        <v>29.2</v>
      </c>
    </row>
    <row r="330" spans="1:28" x14ac:dyDescent="0.15">
      <c r="A330" s="191" t="s">
        <v>107</v>
      </c>
      <c r="B330" s="219">
        <f>Detail!N623/1000</f>
        <v>1.86</v>
      </c>
      <c r="C330" s="219">
        <f>Detail!O623/1000</f>
        <v>1.68</v>
      </c>
      <c r="D330" s="219">
        <f>Detail!P623/1000</f>
        <v>1.86</v>
      </c>
      <c r="E330" s="219">
        <f>Detail!Q623/1000</f>
        <v>1.8</v>
      </c>
      <c r="F330" s="219">
        <f>Detail!R623/1000</f>
        <v>1.86</v>
      </c>
      <c r="G330" s="219">
        <f>Detail!S623/1000</f>
        <v>1.8</v>
      </c>
      <c r="H330" s="219">
        <f>Detail!T623/1000</f>
        <v>1.86</v>
      </c>
      <c r="I330" s="219">
        <f>Detail!U623/1000</f>
        <v>1.86</v>
      </c>
      <c r="J330" s="219">
        <f>Detail!V623/1000</f>
        <v>1.8</v>
      </c>
      <c r="K330" s="219">
        <f>Detail!W623/1000</f>
        <v>1.86</v>
      </c>
      <c r="L330" s="219">
        <f>Detail!X623/1000</f>
        <v>1.8</v>
      </c>
      <c r="M330" s="219">
        <f>Detail!Y623/1000</f>
        <v>0</v>
      </c>
      <c r="N330" s="224">
        <f t="shared" si="170"/>
        <v>20.04</v>
      </c>
      <c r="O330" s="224"/>
      <c r="P330" s="225"/>
      <c r="Q330" s="226"/>
      <c r="R330" s="226"/>
      <c r="S330" s="225" t="e">
        <v>#REF!</v>
      </c>
      <c r="T330" s="224">
        <v>20.04</v>
      </c>
      <c r="U330" s="224">
        <v>20.04</v>
      </c>
    </row>
    <row r="331" spans="1:28" x14ac:dyDescent="0.15">
      <c r="A331" s="191" t="s">
        <v>108</v>
      </c>
      <c r="B331" s="219"/>
      <c r="C331" s="219">
        <v>0</v>
      </c>
      <c r="D331" s="219">
        <v>0</v>
      </c>
      <c r="E331" s="219">
        <v>0</v>
      </c>
      <c r="F331" s="219">
        <v>0</v>
      </c>
      <c r="G331" s="219">
        <v>0</v>
      </c>
      <c r="H331" s="219">
        <v>0</v>
      </c>
      <c r="I331" s="219">
        <v>0</v>
      </c>
      <c r="J331" s="219">
        <v>0</v>
      </c>
      <c r="K331" s="219">
        <v>0</v>
      </c>
      <c r="L331" s="219">
        <v>0</v>
      </c>
      <c r="M331" s="219">
        <v>0</v>
      </c>
      <c r="N331" s="224">
        <f t="shared" si="170"/>
        <v>0</v>
      </c>
      <c r="O331" s="224"/>
      <c r="P331" s="225"/>
      <c r="Q331" s="226"/>
      <c r="R331" s="226"/>
      <c r="S331" s="225" t="e">
        <v>#REF!</v>
      </c>
      <c r="T331" s="224">
        <v>0</v>
      </c>
      <c r="U331" s="224">
        <v>0</v>
      </c>
    </row>
    <row r="332" spans="1:28" x14ac:dyDescent="0.15">
      <c r="A332" s="191" t="s">
        <v>109</v>
      </c>
      <c r="B332" s="219"/>
      <c r="C332" s="219">
        <v>0</v>
      </c>
      <c r="D332" s="219">
        <v>0</v>
      </c>
      <c r="E332" s="219">
        <v>0</v>
      </c>
      <c r="F332" s="219">
        <v>0</v>
      </c>
      <c r="G332" s="219">
        <v>0</v>
      </c>
      <c r="H332" s="219">
        <v>0</v>
      </c>
      <c r="I332" s="219">
        <v>0</v>
      </c>
      <c r="J332" s="219">
        <v>0</v>
      </c>
      <c r="K332" s="219">
        <v>0</v>
      </c>
      <c r="L332" s="219">
        <v>0</v>
      </c>
      <c r="M332" s="219">
        <v>0</v>
      </c>
      <c r="N332" s="224">
        <f t="shared" si="170"/>
        <v>0</v>
      </c>
      <c r="O332" s="224"/>
      <c r="P332" s="225"/>
      <c r="Q332" s="226"/>
      <c r="R332" s="226"/>
      <c r="S332" s="225" t="e">
        <v>#REF!</v>
      </c>
      <c r="T332" s="224">
        <v>0</v>
      </c>
      <c r="U332" s="224">
        <v>0</v>
      </c>
    </row>
    <row r="333" spans="1:28" x14ac:dyDescent="0.15">
      <c r="A333" s="191" t="s">
        <v>110</v>
      </c>
      <c r="B333" s="219">
        <f>Detail!N186/1000</f>
        <v>21.7</v>
      </c>
      <c r="C333" s="219">
        <f>Detail!O186/1000</f>
        <v>19.600000000000001</v>
      </c>
      <c r="D333" s="219">
        <f>Detail!P186/1000</f>
        <v>21.7</v>
      </c>
      <c r="E333" s="219">
        <f>Detail!Q186/1000</f>
        <v>21</v>
      </c>
      <c r="F333" s="219">
        <f>Detail!R186/1000</f>
        <v>21.7</v>
      </c>
      <c r="G333" s="219">
        <f>Detail!S186/1000</f>
        <v>21</v>
      </c>
      <c r="H333" s="219">
        <f>Detail!T186/1000</f>
        <v>21.7</v>
      </c>
      <c r="I333" s="219">
        <f>Detail!U186/1000</f>
        <v>21.7</v>
      </c>
      <c r="J333" s="219">
        <f>Detail!V186/1000</f>
        <v>21</v>
      </c>
      <c r="K333" s="219">
        <f>Detail!W186/1000</f>
        <v>21.7</v>
      </c>
      <c r="L333" s="219">
        <f>Detail!X186/1000</f>
        <v>21</v>
      </c>
      <c r="M333" s="219">
        <f>Detail!Y186/1000</f>
        <v>21.7</v>
      </c>
      <c r="N333" s="224">
        <f t="shared" si="170"/>
        <v>255.49999999999997</v>
      </c>
      <c r="O333" s="224"/>
      <c r="P333" s="225"/>
      <c r="Q333" s="225"/>
      <c r="R333" s="225"/>
      <c r="S333" s="225" t="e">
        <v>#REF!</v>
      </c>
      <c r="T333" s="224">
        <v>255.5</v>
      </c>
      <c r="U333" s="224">
        <v>255.5</v>
      </c>
      <c r="W333" s="2"/>
      <c r="X333" s="2"/>
      <c r="Y333" s="2"/>
      <c r="Z333" s="2"/>
      <c r="AA333" s="2"/>
      <c r="AB333" s="2"/>
    </row>
    <row r="334" spans="1:28" x14ac:dyDescent="0.15">
      <c r="A334" s="191" t="s">
        <v>111</v>
      </c>
      <c r="B334" s="219">
        <v>0</v>
      </c>
      <c r="C334" s="219">
        <v>0</v>
      </c>
      <c r="D334" s="219">
        <v>0</v>
      </c>
      <c r="E334" s="219">
        <v>0</v>
      </c>
      <c r="F334" s="219">
        <v>0</v>
      </c>
      <c r="G334" s="219">
        <v>0</v>
      </c>
      <c r="H334" s="219">
        <v>0</v>
      </c>
      <c r="I334" s="219">
        <v>0</v>
      </c>
      <c r="J334" s="219">
        <v>0</v>
      </c>
      <c r="K334" s="219">
        <v>0</v>
      </c>
      <c r="L334" s="219">
        <v>0</v>
      </c>
      <c r="M334" s="219">
        <v>0</v>
      </c>
      <c r="N334" s="224">
        <f t="shared" si="170"/>
        <v>0</v>
      </c>
      <c r="O334" s="224"/>
      <c r="P334" s="225"/>
      <c r="Q334" s="226"/>
      <c r="R334" s="226"/>
      <c r="S334" s="225" t="e">
        <v>#REF!</v>
      </c>
      <c r="T334" s="224">
        <v>0</v>
      </c>
      <c r="U334" s="224">
        <v>0</v>
      </c>
      <c r="W334"/>
      <c r="X334"/>
      <c r="Y334"/>
    </row>
    <row r="335" spans="1:28" x14ac:dyDescent="0.15">
      <c r="A335" s="191" t="s">
        <v>112</v>
      </c>
      <c r="B335" s="221">
        <f>Detail!N110/1000</f>
        <v>28.457999999999998</v>
      </c>
      <c r="C335" s="221">
        <f>Detail!O110/1000</f>
        <v>25.704000000000001</v>
      </c>
      <c r="D335" s="221">
        <f>Detail!P110/1000</f>
        <v>28.457999999999998</v>
      </c>
      <c r="E335" s="221">
        <f>Detail!Q110/1000</f>
        <v>27.54</v>
      </c>
      <c r="F335" s="221">
        <f>Detail!R110/1000</f>
        <v>28.457999999999998</v>
      </c>
      <c r="G335" s="221">
        <f>Detail!S110/1000</f>
        <v>27.54</v>
      </c>
      <c r="H335" s="221">
        <f>Detail!T110/1000</f>
        <v>28.457999999999998</v>
      </c>
      <c r="I335" s="221">
        <f>Detail!U110/1000</f>
        <v>28.457999999999998</v>
      </c>
      <c r="J335" s="221">
        <f>Detail!V110/1000</f>
        <v>27.54</v>
      </c>
      <c r="K335" s="221">
        <f>Detail!W110/1000</f>
        <v>28.457999999999998</v>
      </c>
      <c r="L335" s="221">
        <f>Detail!X110/1000</f>
        <v>27.54</v>
      </c>
      <c r="M335" s="221">
        <f>Detail!Y110/1000</f>
        <v>28.457999999999998</v>
      </c>
      <c r="N335" s="227">
        <f t="shared" si="170"/>
        <v>335.07000000000005</v>
      </c>
      <c r="O335" s="227"/>
      <c r="P335" s="228"/>
      <c r="Q335" s="228"/>
      <c r="R335" s="228"/>
      <c r="S335" s="228" t="e">
        <v>#REF!</v>
      </c>
      <c r="T335" s="227">
        <v>335.07</v>
      </c>
      <c r="U335" s="227">
        <v>335.07</v>
      </c>
      <c r="W335"/>
      <c r="X335"/>
      <c r="Y335"/>
    </row>
    <row r="336" spans="1:28" x14ac:dyDescent="0.15">
      <c r="A336" s="180" t="s">
        <v>113</v>
      </c>
      <c r="B336" s="208">
        <f t="shared" ref="B336:M336" si="171">SUM(B327:B335)</f>
        <v>56.357999999999997</v>
      </c>
      <c r="C336" s="208">
        <f t="shared" si="171"/>
        <v>50.904000000000003</v>
      </c>
      <c r="D336" s="208">
        <f t="shared" si="171"/>
        <v>56.357999999999997</v>
      </c>
      <c r="E336" s="208">
        <f t="shared" si="171"/>
        <v>54.54</v>
      </c>
      <c r="F336" s="208">
        <f t="shared" si="171"/>
        <v>55.427999999999997</v>
      </c>
      <c r="G336" s="208">
        <f t="shared" si="171"/>
        <v>53.64</v>
      </c>
      <c r="H336" s="208">
        <f t="shared" si="171"/>
        <v>55.427999999999997</v>
      </c>
      <c r="I336" s="208">
        <f t="shared" si="171"/>
        <v>55.427999999999997</v>
      </c>
      <c r="J336" s="208">
        <f t="shared" si="171"/>
        <v>53.64</v>
      </c>
      <c r="K336" s="208">
        <f t="shared" si="171"/>
        <v>56.357999999999997</v>
      </c>
      <c r="L336" s="208">
        <f t="shared" si="171"/>
        <v>54.54</v>
      </c>
      <c r="M336" s="208">
        <f t="shared" si="171"/>
        <v>54.497999999999998</v>
      </c>
      <c r="N336" s="208">
        <f>SUM(N327:N335)</f>
        <v>657.12</v>
      </c>
      <c r="O336" s="208"/>
      <c r="P336" s="85"/>
      <c r="Q336" s="87"/>
      <c r="R336" s="87"/>
      <c r="S336" s="85" t="e">
        <f>IF(#REF!=1,SUM(B336:D336),IF(#REF!=2,SUM(E336:G336),IF(#REF!=3,SUM(H336:J336),IF(#REF!=4,SUM(K336:M336),"    WRONG  "))))</f>
        <v>#REF!</v>
      </c>
      <c r="T336" s="208">
        <f>SUM(T327:T335)</f>
        <v>657.12</v>
      </c>
      <c r="U336" s="208">
        <f>SUM(U327:U335)</f>
        <v>657.12</v>
      </c>
      <c r="W336"/>
      <c r="X336"/>
      <c r="Y336"/>
    </row>
    <row r="337" spans="1:26" x14ac:dyDescent="0.15">
      <c r="A337" s="180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85"/>
      <c r="Q337" s="87"/>
      <c r="R337" s="87"/>
      <c r="S337" s="85"/>
      <c r="T337" s="63"/>
      <c r="U337" s="63"/>
      <c r="W337"/>
      <c r="X337"/>
      <c r="Y337"/>
    </row>
    <row r="338" spans="1:26" x14ac:dyDescent="0.15">
      <c r="A338" s="196" t="s">
        <v>114</v>
      </c>
      <c r="B338" s="24"/>
      <c r="C338" s="24"/>
      <c r="D338" s="24"/>
      <c r="E338" s="24"/>
      <c r="F338" s="24"/>
      <c r="G338" s="24"/>
      <c r="H338" s="1"/>
      <c r="I338" s="1"/>
      <c r="J338" s="1"/>
      <c r="K338" s="1"/>
      <c r="L338" s="1"/>
      <c r="M338" s="1"/>
      <c r="N338" s="130"/>
      <c r="O338" s="130"/>
      <c r="P338" s="85"/>
      <c r="Q338" s="87"/>
      <c r="R338" s="87"/>
      <c r="S338" s="85"/>
      <c r="T338" s="130"/>
      <c r="U338" s="130"/>
      <c r="W338"/>
      <c r="X338"/>
      <c r="Y338"/>
    </row>
    <row r="339" spans="1:26" x14ac:dyDescent="0.15">
      <c r="A339" s="191" t="s">
        <v>115</v>
      </c>
      <c r="B339" s="219">
        <v>43.942500000000003</v>
      </c>
      <c r="C339" s="219">
        <v>43.942500000000003</v>
      </c>
      <c r="D339" s="219">
        <v>43.942500000000003</v>
      </c>
      <c r="E339" s="219">
        <v>43.942500000000003</v>
      </c>
      <c r="F339" s="219">
        <v>43.942500000000003</v>
      </c>
      <c r="G339" s="219">
        <v>43.942500000000003</v>
      </c>
      <c r="H339" s="219">
        <v>43.942500000000003</v>
      </c>
      <c r="I339" s="219">
        <v>43.942500000000003</v>
      </c>
      <c r="J339" s="219">
        <v>43.942500000000003</v>
      </c>
      <c r="K339" s="219">
        <v>43.942500000000003</v>
      </c>
      <c r="L339" s="219">
        <v>43.942500000000003</v>
      </c>
      <c r="M339" s="219">
        <v>43.942500000000003</v>
      </c>
      <c r="N339" s="206">
        <v>527.30999999999995</v>
      </c>
      <c r="O339" s="206"/>
      <c r="P339" s="90"/>
      <c r="Q339" s="90"/>
      <c r="R339" s="90"/>
      <c r="S339" s="89" t="e">
        <v>#REF!</v>
      </c>
      <c r="T339" s="206">
        <v>527.30999999999995</v>
      </c>
      <c r="U339" s="206">
        <v>527.30999999999995</v>
      </c>
      <c r="W339"/>
      <c r="X339"/>
      <c r="Y339"/>
      <c r="Z339" s="24"/>
    </row>
    <row r="340" spans="1:26" x14ac:dyDescent="0.15">
      <c r="A340" s="197" t="s">
        <v>112</v>
      </c>
      <c r="B340" s="221">
        <v>55.967400000000005</v>
      </c>
      <c r="C340" s="221">
        <v>55.967400000000005</v>
      </c>
      <c r="D340" s="221">
        <v>55.967400000000005</v>
      </c>
      <c r="E340" s="221">
        <v>55.967400000000005</v>
      </c>
      <c r="F340" s="221">
        <v>55.967400000000005</v>
      </c>
      <c r="G340" s="221">
        <v>55.967400000000005</v>
      </c>
      <c r="H340" s="221">
        <v>55.967400000000005</v>
      </c>
      <c r="I340" s="221">
        <v>55.967400000000005</v>
      </c>
      <c r="J340" s="221">
        <v>55.967400000000005</v>
      </c>
      <c r="K340" s="221">
        <v>55.967400000000005</v>
      </c>
      <c r="L340" s="221">
        <v>55.967400000000005</v>
      </c>
      <c r="M340" s="221">
        <v>55.967400000000005</v>
      </c>
      <c r="N340" s="207">
        <v>671.60880000000009</v>
      </c>
      <c r="O340" s="207"/>
      <c r="P340" s="89"/>
      <c r="Q340" s="89"/>
      <c r="R340" s="89"/>
      <c r="S340" s="89" t="e">
        <v>#REF!</v>
      </c>
      <c r="T340" s="207">
        <v>671.60880000000009</v>
      </c>
      <c r="U340" s="207">
        <v>671.60880000000009</v>
      </c>
      <c r="W340"/>
      <c r="X340"/>
      <c r="Y340"/>
    </row>
    <row r="341" spans="1:26" x14ac:dyDescent="0.15">
      <c r="A341" s="180" t="s">
        <v>116</v>
      </c>
      <c r="B341" s="143">
        <f t="shared" ref="B341:G341" si="172">SUM(B339:B340)</f>
        <v>99.909900000000007</v>
      </c>
      <c r="C341" s="143">
        <f t="shared" si="172"/>
        <v>99.909900000000007</v>
      </c>
      <c r="D341" s="143">
        <f t="shared" si="172"/>
        <v>99.909900000000007</v>
      </c>
      <c r="E341" s="143">
        <f t="shared" si="172"/>
        <v>99.909900000000007</v>
      </c>
      <c r="F341" s="143">
        <f t="shared" si="172"/>
        <v>99.909900000000007</v>
      </c>
      <c r="G341" s="143">
        <f t="shared" si="172"/>
        <v>99.909900000000007</v>
      </c>
      <c r="H341" s="143">
        <f t="shared" ref="H341:N341" si="173">SUM(H339:H340)</f>
        <v>99.909900000000007</v>
      </c>
      <c r="I341" s="143">
        <f t="shared" si="173"/>
        <v>99.909900000000007</v>
      </c>
      <c r="J341" s="143">
        <f t="shared" si="173"/>
        <v>99.909900000000007</v>
      </c>
      <c r="K341" s="143">
        <f t="shared" si="173"/>
        <v>99.909900000000007</v>
      </c>
      <c r="L341" s="143">
        <f t="shared" si="173"/>
        <v>99.909900000000007</v>
      </c>
      <c r="M341" s="143">
        <f t="shared" si="173"/>
        <v>99.909900000000007</v>
      </c>
      <c r="N341" s="204">
        <f t="shared" si="173"/>
        <v>1198.9187999999999</v>
      </c>
      <c r="O341" s="156"/>
      <c r="P341" s="85" t="e">
        <f>CHOOSE(#REF!,SUM(B341,B341),SUM(B341:C341),SUM(B341:D341),SUM(B341:E341),SUM(B341:F341),SUM(B341:G341),SUM(B341:H341),SUM(B341:I341),SUM(B341:J341),SUM(B341:K341),SUM(B341:L341),SUM(B341:M341))</f>
        <v>#REF!</v>
      </c>
      <c r="Q341" s="87" t="e">
        <f>N341-P341</f>
        <v>#REF!</v>
      </c>
      <c r="R341" s="87">
        <f>N341</f>
        <v>1198.9187999999999</v>
      </c>
      <c r="S341" s="85" t="e">
        <f>IF(#REF!=1,SUM(B341:D341),IF(#REF!=2,SUM(E341:G341),IF(#REF!=3,SUM(H341:J341),IF(#REF!=4,SUM(K341:M341),"    WRONG  "))))</f>
        <v>#REF!</v>
      </c>
      <c r="T341" s="204">
        <f>SUM(T339:T340)</f>
        <v>1198.9187999999999</v>
      </c>
      <c r="U341" s="204">
        <f>SUM(U339:U340)</f>
        <v>1198.9187999999999</v>
      </c>
      <c r="W341"/>
      <c r="X341"/>
      <c r="Y341"/>
    </row>
    <row r="342" spans="1:26" x14ac:dyDescent="0.15">
      <c r="A342" s="187" t="s">
        <v>117</v>
      </c>
      <c r="B342" s="142">
        <f>+B341+B336</f>
        <v>156.2679</v>
      </c>
      <c r="C342" s="142">
        <f t="shared" ref="C342:N342" si="174">+C341+C336</f>
        <v>150.81390000000002</v>
      </c>
      <c r="D342" s="142">
        <f t="shared" si="174"/>
        <v>156.2679</v>
      </c>
      <c r="E342" s="142">
        <f t="shared" si="174"/>
        <v>154.44990000000001</v>
      </c>
      <c r="F342" s="142">
        <f t="shared" si="174"/>
        <v>155.33789999999999</v>
      </c>
      <c r="G342" s="142">
        <f t="shared" si="174"/>
        <v>153.54990000000001</v>
      </c>
      <c r="H342" s="142">
        <f t="shared" si="174"/>
        <v>155.33789999999999</v>
      </c>
      <c r="I342" s="142">
        <f t="shared" si="174"/>
        <v>155.33789999999999</v>
      </c>
      <c r="J342" s="142">
        <f t="shared" si="174"/>
        <v>153.54990000000001</v>
      </c>
      <c r="K342" s="142">
        <f t="shared" si="174"/>
        <v>156.2679</v>
      </c>
      <c r="L342" s="142">
        <f t="shared" si="174"/>
        <v>154.44990000000001</v>
      </c>
      <c r="M342" s="142">
        <f t="shared" si="174"/>
        <v>154.40790000000001</v>
      </c>
      <c r="N342" s="203">
        <f t="shared" si="174"/>
        <v>1856.0387999999998</v>
      </c>
      <c r="O342" s="155"/>
      <c r="P342" s="85"/>
      <c r="Q342" s="87"/>
      <c r="R342" s="87"/>
      <c r="S342" s="85"/>
      <c r="T342" s="203">
        <f>+T341+T336</f>
        <v>1856.0387999999998</v>
      </c>
      <c r="U342" s="203">
        <f>+U341+U336</f>
        <v>1856.0387999999998</v>
      </c>
      <c r="W342"/>
      <c r="X342"/>
      <c r="Y342"/>
    </row>
    <row r="343" spans="1:26" x14ac:dyDescent="0.15">
      <c r="A343" s="187" t="s">
        <v>118</v>
      </c>
      <c r="B343" s="143">
        <f t="shared" ref="B343:N343" si="175">+B291</f>
        <v>12612</v>
      </c>
      <c r="C343" s="143">
        <f t="shared" si="175"/>
        <v>17085</v>
      </c>
      <c r="D343" s="143">
        <f t="shared" si="175"/>
        <v>7478.3580000000002</v>
      </c>
      <c r="E343" s="143">
        <f t="shared" si="175"/>
        <v>11828.2</v>
      </c>
      <c r="F343" s="143">
        <f t="shared" si="175"/>
        <v>12651.158000000003</v>
      </c>
      <c r="G343" s="143">
        <f t="shared" si="175"/>
        <v>12129.439999999999</v>
      </c>
      <c r="H343" s="143">
        <f t="shared" si="175"/>
        <v>12701.800000000001</v>
      </c>
      <c r="I343" s="143">
        <f t="shared" si="175"/>
        <v>12576.200000000003</v>
      </c>
      <c r="J343" s="143">
        <f t="shared" si="175"/>
        <v>12033.34</v>
      </c>
      <c r="K343" s="143">
        <f t="shared" si="175"/>
        <v>12202.431840050001</v>
      </c>
      <c r="L343" s="143">
        <f t="shared" si="175"/>
        <v>11289.515278499999</v>
      </c>
      <c r="M343" s="143">
        <f t="shared" si="175"/>
        <v>12066.1636954934</v>
      </c>
      <c r="N343" s="204">
        <f t="shared" si="175"/>
        <v>146653.60681404339</v>
      </c>
      <c r="O343" s="156"/>
      <c r="P343" s="85" t="e">
        <f>CHOOSE(#REF!,SUM(B343,B343),SUM(B343:C343),SUM(B343:D343),SUM(B343:E343),SUM(B343:F343),SUM(B343:G343),SUM(B343:H343),SUM(B343:I343),SUM(B343:J343),SUM(B343:K343),SUM(B343:L343),SUM(B343:M343))</f>
        <v>#REF!</v>
      </c>
      <c r="Q343" s="87" t="e">
        <f>N343-P343</f>
        <v>#REF!</v>
      </c>
      <c r="R343" s="87">
        <f>N343</f>
        <v>146653.60681404339</v>
      </c>
      <c r="S343" s="85" t="e">
        <f>IF(#REF!=1,SUM(B343:D343),IF(#REF!=2,SUM(E343:G343),IF(#REF!=3,SUM(H343:J343),IF(#REF!=4,SUM(K343:M343),"    WRONG  "))))</f>
        <v>#REF!</v>
      </c>
      <c r="T343" s="204">
        <f>+T291</f>
        <v>171144.17626209228</v>
      </c>
      <c r="U343" s="204">
        <f>+U291</f>
        <v>294668.79326209228</v>
      </c>
    </row>
    <row r="344" spans="1:26" x14ac:dyDescent="0.15">
      <c r="A344" s="187" t="s">
        <v>119</v>
      </c>
      <c r="B344" s="143">
        <f>+B343-B342</f>
        <v>12455.732099999999</v>
      </c>
      <c r="C344" s="143">
        <f t="shared" ref="C344:N344" si="176">+C343-C342</f>
        <v>16934.186099999999</v>
      </c>
      <c r="D344" s="143">
        <f t="shared" si="176"/>
        <v>7322.0901000000003</v>
      </c>
      <c r="E344" s="143">
        <f t="shared" si="176"/>
        <v>11673.750100000001</v>
      </c>
      <c r="F344" s="143">
        <f t="shared" si="176"/>
        <v>12495.820100000003</v>
      </c>
      <c r="G344" s="143">
        <f t="shared" si="176"/>
        <v>11975.890099999999</v>
      </c>
      <c r="H344" s="143">
        <f t="shared" si="176"/>
        <v>12546.462100000001</v>
      </c>
      <c r="I344" s="143">
        <f t="shared" si="176"/>
        <v>12420.862100000002</v>
      </c>
      <c r="J344" s="143">
        <f t="shared" si="176"/>
        <v>11879.7901</v>
      </c>
      <c r="K344" s="143">
        <f t="shared" si="176"/>
        <v>12046.163940050001</v>
      </c>
      <c r="L344" s="143">
        <f t="shared" si="176"/>
        <v>11135.065378499999</v>
      </c>
      <c r="M344" s="143">
        <f t="shared" si="176"/>
        <v>11911.7557954934</v>
      </c>
      <c r="N344" s="204">
        <f t="shared" si="176"/>
        <v>144797.56801404338</v>
      </c>
      <c r="O344" s="156"/>
      <c r="P344" s="85" t="e">
        <f>CHOOSE(#REF!,SUM(B344,B344),SUM(B344:C344),SUM(B344:D344),SUM(B344:E344),SUM(B344:F344),SUM(B344:G344),SUM(B344:H344),SUM(B344:I344),SUM(B344:J344),SUM(B344:K344),SUM(B344:L344),SUM(B344:M344))</f>
        <v>#REF!</v>
      </c>
      <c r="Q344" s="87" t="e">
        <f>N344-P344</f>
        <v>#REF!</v>
      </c>
      <c r="R344" s="87">
        <f>N344</f>
        <v>144797.56801404338</v>
      </c>
      <c r="S344" s="85" t="e">
        <f>IF(#REF!=1,SUM(B344:D344),IF(#REF!=2,SUM(E344:G344),IF(#REF!=3,SUM(H344:J344),IF(#REF!=4,SUM(K344:M344),"    WRONG  "))))</f>
        <v>#REF!</v>
      </c>
      <c r="T344" s="204">
        <f>+T343-T342</f>
        <v>169288.13746209227</v>
      </c>
      <c r="U344" s="204">
        <f>+U343-U342</f>
        <v>292812.7544620923</v>
      </c>
    </row>
    <row r="345" spans="1:26" ht="13.5" thickBot="1" x14ac:dyDescent="0.2">
      <c r="A345" s="187" t="s">
        <v>120</v>
      </c>
      <c r="B345" s="157">
        <f>+B344+B317</f>
        <v>13424.732099999999</v>
      </c>
      <c r="C345" s="157">
        <f t="shared" ref="C345:N345" si="177">+C344+C317</f>
        <v>17920.186099999999</v>
      </c>
      <c r="D345" s="157">
        <f t="shared" si="177"/>
        <v>7734.5901000000003</v>
      </c>
      <c r="E345" s="157">
        <f t="shared" si="177"/>
        <v>14183.071424000002</v>
      </c>
      <c r="F345" s="157">
        <f t="shared" si="177"/>
        <v>16015.520100000003</v>
      </c>
      <c r="G345" s="157">
        <f t="shared" si="177"/>
        <v>13990.390099999999</v>
      </c>
      <c r="H345" s="157">
        <f t="shared" si="177"/>
        <v>13905.433220000001</v>
      </c>
      <c r="I345" s="157">
        <f t="shared" si="177"/>
        <v>13885.282140000003</v>
      </c>
      <c r="J345" s="157">
        <f t="shared" si="177"/>
        <v>12755.9609</v>
      </c>
      <c r="K345" s="157">
        <f t="shared" si="177"/>
        <v>12815.0100621</v>
      </c>
      <c r="L345" s="157">
        <f t="shared" si="177"/>
        <v>11885.294451</v>
      </c>
      <c r="M345" s="157">
        <f t="shared" si="177"/>
        <v>12704.5951370168</v>
      </c>
      <c r="N345" s="205">
        <f t="shared" si="177"/>
        <v>161220.06583411677</v>
      </c>
      <c r="O345" s="572"/>
      <c r="P345" s="81"/>
      <c r="Q345" s="81"/>
      <c r="R345" s="81"/>
      <c r="S345" s="81"/>
      <c r="T345" s="205">
        <f>+T344+T317</f>
        <v>179076.47193351976</v>
      </c>
      <c r="U345" s="205">
        <f>+U344+U317</f>
        <v>305329.97193351982</v>
      </c>
    </row>
    <row r="346" spans="1:26" ht="13.5" thickTop="1" x14ac:dyDescent="0.15">
      <c r="A346" s="198" t="s">
        <v>121</v>
      </c>
      <c r="B346" s="155">
        <f>B293-B343-B316</f>
        <v>0</v>
      </c>
      <c r="C346" s="155">
        <f t="shared" ref="C346:N346" si="178">C293-C343-C316</f>
        <v>0</v>
      </c>
      <c r="D346" s="155">
        <f t="shared" si="178"/>
        <v>0</v>
      </c>
      <c r="E346" s="155">
        <f t="shared" si="178"/>
        <v>0</v>
      </c>
      <c r="F346" s="155">
        <f t="shared" si="178"/>
        <v>0</v>
      </c>
      <c r="G346" s="155">
        <f t="shared" si="178"/>
        <v>0</v>
      </c>
      <c r="H346" s="155">
        <f t="shared" si="178"/>
        <v>0</v>
      </c>
      <c r="I346" s="155">
        <f t="shared" si="178"/>
        <v>0</v>
      </c>
      <c r="J346" s="155">
        <f t="shared" si="178"/>
        <v>0</v>
      </c>
      <c r="K346" s="155">
        <f t="shared" si="178"/>
        <v>0</v>
      </c>
      <c r="L346" s="155">
        <f t="shared" si="178"/>
        <v>0</v>
      </c>
      <c r="M346" s="155">
        <f t="shared" si="178"/>
        <v>0</v>
      </c>
      <c r="N346" s="155">
        <f t="shared" si="178"/>
        <v>0</v>
      </c>
      <c r="O346" s="155"/>
      <c r="P346" s="81"/>
      <c r="Q346" s="81"/>
      <c r="R346" s="81"/>
      <c r="S346" s="81"/>
      <c r="T346" s="155">
        <f>T293-T343-T316</f>
        <v>0</v>
      </c>
      <c r="U346" s="155">
        <f>U293-U343-U316</f>
        <v>0</v>
      </c>
    </row>
    <row r="347" spans="1:26" x14ac:dyDescent="0.15">
      <c r="A347" s="198"/>
      <c r="B347" s="137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0"/>
      <c r="O347" s="130"/>
      <c r="P347" s="78" t="e">
        <f>#REF!</f>
        <v>#REF!</v>
      </c>
      <c r="Q347" s="78" t="e">
        <f>$R$9-$P$9</f>
        <v>#VALUE!</v>
      </c>
      <c r="R347" s="78">
        <v>12</v>
      </c>
      <c r="S347" s="78" t="e">
        <f>#REF!</f>
        <v>#REF!</v>
      </c>
      <c r="T347" s="130"/>
      <c r="U347" s="130"/>
    </row>
    <row r="348" spans="1:26" ht="15.75" x14ac:dyDescent="0.15">
      <c r="A348" s="174" t="s">
        <v>122</v>
      </c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9"/>
      <c r="O348" s="169"/>
      <c r="P348" s="79" t="s">
        <v>4</v>
      </c>
      <c r="Q348" s="79" t="str">
        <f>P348</f>
        <v>MONTH</v>
      </c>
      <c r="R348" s="79" t="str">
        <f>P348</f>
        <v>MONTH</v>
      </c>
      <c r="S348" s="79" t="s">
        <v>5</v>
      </c>
      <c r="T348" s="169"/>
      <c r="U348" s="169"/>
    </row>
    <row r="349" spans="1:26" x14ac:dyDescent="0.15">
      <c r="A349" s="191" t="s">
        <v>123</v>
      </c>
      <c r="B349" s="216">
        <v>3.6900000000000002E-2</v>
      </c>
      <c r="C349" s="216">
        <v>3.6900000000000002E-2</v>
      </c>
      <c r="D349" s="216">
        <v>3.6900000000000002E-2</v>
      </c>
      <c r="E349" s="216">
        <v>3.6900000000000002E-2</v>
      </c>
      <c r="F349" s="216">
        <v>3.6900000000000002E-2</v>
      </c>
      <c r="G349" s="216">
        <v>3.6900000000000002E-2</v>
      </c>
      <c r="H349" s="216">
        <v>3.6900000000000002E-2</v>
      </c>
      <c r="I349" s="216">
        <v>3.6900000000000002E-2</v>
      </c>
      <c r="J349" s="216">
        <v>3.6900000000000002E-2</v>
      </c>
      <c r="K349" s="216">
        <v>3.6900000000000002E-2</v>
      </c>
      <c r="L349" s="216">
        <v>3.6900000000000002E-2</v>
      </c>
      <c r="M349" s="216">
        <v>3.6900000000000002E-2</v>
      </c>
      <c r="N349" s="232">
        <f t="shared" ref="N349:N361" si="179">AVERAGE(B349:M349)</f>
        <v>3.6899999999999995E-2</v>
      </c>
      <c r="O349" s="232"/>
      <c r="P349" s="81"/>
      <c r="Q349" s="81"/>
      <c r="R349" s="88"/>
      <c r="S349" s="91"/>
      <c r="T349" s="138"/>
      <c r="U349" s="138"/>
    </row>
    <row r="350" spans="1:26" x14ac:dyDescent="0.15">
      <c r="A350" s="191" t="s">
        <v>124</v>
      </c>
      <c r="B350" s="216">
        <v>0</v>
      </c>
      <c r="C350" s="216">
        <v>0</v>
      </c>
      <c r="D350" s="216">
        <v>0</v>
      </c>
      <c r="E350" s="216">
        <v>0</v>
      </c>
      <c r="F350" s="216">
        <v>0</v>
      </c>
      <c r="G350" s="216">
        <v>0</v>
      </c>
      <c r="H350" s="216">
        <v>0</v>
      </c>
      <c r="I350" s="216">
        <v>0</v>
      </c>
      <c r="J350" s="216">
        <v>0</v>
      </c>
      <c r="K350" s="216">
        <v>0</v>
      </c>
      <c r="L350" s="216">
        <v>0</v>
      </c>
      <c r="M350" s="216">
        <v>0</v>
      </c>
      <c r="N350" s="232">
        <f t="shared" si="179"/>
        <v>0</v>
      </c>
      <c r="O350" s="232"/>
      <c r="P350" s="81"/>
      <c r="Q350" s="81"/>
      <c r="R350" s="85"/>
      <c r="S350" s="85"/>
      <c r="T350" s="138"/>
      <c r="U350" s="138"/>
    </row>
    <row r="351" spans="1:26" x14ac:dyDescent="0.15">
      <c r="A351" s="191" t="s">
        <v>125</v>
      </c>
      <c r="B351" s="216">
        <v>6.6E-3</v>
      </c>
      <c r="C351" s="216">
        <v>6.6E-3</v>
      </c>
      <c r="D351" s="216">
        <v>6.6E-3</v>
      </c>
      <c r="E351" s="216">
        <v>6.6E-3</v>
      </c>
      <c r="F351" s="216">
        <v>6.6E-3</v>
      </c>
      <c r="G351" s="216">
        <v>6.6E-3</v>
      </c>
      <c r="H351" s="216">
        <v>6.6E-3</v>
      </c>
      <c r="I351" s="216">
        <v>6.6E-3</v>
      </c>
      <c r="J351" s="216">
        <v>6.6E-3</v>
      </c>
      <c r="K351" s="216">
        <v>6.6E-3</v>
      </c>
      <c r="L351" s="216">
        <v>6.6E-3</v>
      </c>
      <c r="M351" s="216">
        <v>6.6E-3</v>
      </c>
      <c r="N351" s="232">
        <f t="shared" si="179"/>
        <v>6.5999999999999991E-3</v>
      </c>
      <c r="O351" s="232"/>
      <c r="P351" s="81"/>
      <c r="Q351" s="81"/>
      <c r="R351" s="81" t="e">
        <f>R350/#REF!</f>
        <v>#REF!</v>
      </c>
      <c r="S351" s="78"/>
      <c r="T351" s="138"/>
      <c r="U351" s="138"/>
    </row>
    <row r="352" spans="1:26" x14ac:dyDescent="0.15">
      <c r="A352" s="191" t="s">
        <v>126</v>
      </c>
      <c r="B352" s="216">
        <v>4.0000000000000001E-3</v>
      </c>
      <c r="C352" s="216">
        <v>4.0000000000000001E-3</v>
      </c>
      <c r="D352" s="216">
        <v>4.0000000000000001E-3</v>
      </c>
      <c r="E352" s="216">
        <v>4.0000000000000001E-3</v>
      </c>
      <c r="F352" s="216">
        <v>4.0000000000000001E-3</v>
      </c>
      <c r="G352" s="216">
        <v>4.0000000000000001E-3</v>
      </c>
      <c r="H352" s="216">
        <v>4.0000000000000001E-3</v>
      </c>
      <c r="I352" s="216">
        <v>4.0000000000000001E-3</v>
      </c>
      <c r="J352" s="216">
        <v>4.0000000000000001E-3</v>
      </c>
      <c r="K352" s="216">
        <v>4.0000000000000001E-3</v>
      </c>
      <c r="L352" s="216">
        <v>4.0000000000000001E-3</v>
      </c>
      <c r="M352" s="216">
        <v>4.0000000000000001E-3</v>
      </c>
      <c r="N352" s="232">
        <f t="shared" si="179"/>
        <v>4.000000000000001E-3</v>
      </c>
      <c r="O352" s="232"/>
      <c r="P352" s="78"/>
      <c r="Q352" s="78"/>
      <c r="R352" s="78"/>
      <c r="S352" s="78"/>
      <c r="T352" s="138"/>
      <c r="U352" s="138"/>
    </row>
    <row r="353" spans="1:21" x14ac:dyDescent="0.15">
      <c r="A353" s="191" t="s">
        <v>127</v>
      </c>
      <c r="B353" s="216">
        <v>2.2000000000000001E-3</v>
      </c>
      <c r="C353" s="216">
        <v>2.2000000000000001E-3</v>
      </c>
      <c r="D353" s="216">
        <v>2.2000000000000001E-3</v>
      </c>
      <c r="E353" s="216">
        <v>2.2000000000000001E-3</v>
      </c>
      <c r="F353" s="216">
        <v>2.2000000000000001E-3</v>
      </c>
      <c r="G353" s="216">
        <v>2.2000000000000001E-3</v>
      </c>
      <c r="H353" s="216">
        <v>2.2000000000000001E-3</v>
      </c>
      <c r="I353" s="216">
        <v>2.2000000000000001E-3</v>
      </c>
      <c r="J353" s="216">
        <v>2.2000000000000001E-3</v>
      </c>
      <c r="K353" s="216">
        <v>2.2000000000000001E-3</v>
      </c>
      <c r="L353" s="216">
        <v>2.2000000000000001E-3</v>
      </c>
      <c r="M353" s="216">
        <v>2.2000000000000001E-3</v>
      </c>
      <c r="N353" s="232">
        <f t="shared" si="179"/>
        <v>2.2000000000000001E-3</v>
      </c>
      <c r="O353" s="232"/>
      <c r="P353" s="78"/>
      <c r="Q353" s="78"/>
      <c r="R353" s="78"/>
      <c r="S353" s="78"/>
      <c r="T353" s="138"/>
      <c r="U353" s="138"/>
    </row>
    <row r="354" spans="1:21" x14ac:dyDescent="0.15">
      <c r="A354" s="191" t="s">
        <v>128</v>
      </c>
      <c r="B354" s="216">
        <v>7.1999999999999998E-3</v>
      </c>
      <c r="C354" s="216">
        <v>7.1999999999999998E-3</v>
      </c>
      <c r="D354" s="216">
        <v>7.1999999999999998E-3</v>
      </c>
      <c r="E354" s="216">
        <v>7.1999999999999998E-3</v>
      </c>
      <c r="F354" s="216">
        <v>7.1999999999999998E-3</v>
      </c>
      <c r="G354" s="216">
        <v>7.1999999999999998E-3</v>
      </c>
      <c r="H354" s="216">
        <v>7.1999999999999998E-3</v>
      </c>
      <c r="I354" s="216">
        <v>7.1999999999999998E-3</v>
      </c>
      <c r="J354" s="216">
        <v>7.1999999999999998E-3</v>
      </c>
      <c r="K354" s="216">
        <v>7.1999999999999998E-3</v>
      </c>
      <c r="L354" s="216">
        <v>7.1999999999999998E-3</v>
      </c>
      <c r="M354" s="216">
        <v>7.1999999999999998E-3</v>
      </c>
      <c r="N354" s="232">
        <f t="shared" si="179"/>
        <v>7.1999999999999989E-3</v>
      </c>
      <c r="O354" s="232"/>
      <c r="P354" s="78"/>
      <c r="Q354" s="78"/>
      <c r="R354" s="78"/>
      <c r="S354" s="78"/>
      <c r="T354" s="138"/>
      <c r="U354" s="138"/>
    </row>
    <row r="355" spans="1:21" x14ac:dyDescent="0.15">
      <c r="A355" s="191" t="s">
        <v>129</v>
      </c>
      <c r="B355" s="216">
        <v>0</v>
      </c>
      <c r="C355" s="216">
        <v>0</v>
      </c>
      <c r="D355" s="216">
        <v>0</v>
      </c>
      <c r="E355" s="216">
        <v>0</v>
      </c>
      <c r="F355" s="216">
        <v>0</v>
      </c>
      <c r="G355" s="216">
        <v>0</v>
      </c>
      <c r="H355" s="216">
        <v>0</v>
      </c>
      <c r="I355" s="216">
        <v>0</v>
      </c>
      <c r="J355" s="216">
        <v>0</v>
      </c>
      <c r="K355" s="216">
        <v>0</v>
      </c>
      <c r="L355" s="216">
        <v>0</v>
      </c>
      <c r="M355" s="216">
        <v>0</v>
      </c>
      <c r="N355" s="232">
        <f t="shared" si="179"/>
        <v>0</v>
      </c>
      <c r="O355" s="232"/>
      <c r="P355" s="78"/>
      <c r="Q355" s="78"/>
      <c r="R355" s="78"/>
      <c r="S355" s="78"/>
      <c r="T355" s="138"/>
      <c r="U355" s="138"/>
    </row>
    <row r="356" spans="1:21" x14ac:dyDescent="0.15">
      <c r="A356" s="191" t="s">
        <v>130</v>
      </c>
      <c r="B356" s="216">
        <v>0</v>
      </c>
      <c r="C356" s="216">
        <v>0</v>
      </c>
      <c r="D356" s="216">
        <v>0</v>
      </c>
      <c r="E356" s="216">
        <v>0</v>
      </c>
      <c r="F356" s="216">
        <v>0</v>
      </c>
      <c r="G356" s="216">
        <v>0</v>
      </c>
      <c r="H356" s="216">
        <v>0</v>
      </c>
      <c r="I356" s="216">
        <v>0</v>
      </c>
      <c r="J356" s="216">
        <v>0</v>
      </c>
      <c r="K356" s="216">
        <v>0</v>
      </c>
      <c r="L356" s="216">
        <v>0</v>
      </c>
      <c r="M356" s="216">
        <v>0</v>
      </c>
      <c r="N356" s="232">
        <f t="shared" si="179"/>
        <v>0</v>
      </c>
      <c r="O356" s="232"/>
      <c r="P356" s="78"/>
      <c r="Q356" s="78"/>
      <c r="R356" s="78"/>
      <c r="S356" s="78"/>
      <c r="T356" s="138"/>
      <c r="U356" s="138"/>
    </row>
    <row r="357" spans="1:21" x14ac:dyDescent="0.15">
      <c r="A357" s="191" t="s">
        <v>131</v>
      </c>
      <c r="B357" s="216">
        <v>0</v>
      </c>
      <c r="C357" s="216">
        <v>0</v>
      </c>
      <c r="D357" s="216">
        <v>0</v>
      </c>
      <c r="E357" s="216">
        <v>0</v>
      </c>
      <c r="F357" s="216">
        <v>0</v>
      </c>
      <c r="G357" s="216">
        <v>0</v>
      </c>
      <c r="H357" s="216">
        <v>0</v>
      </c>
      <c r="I357" s="216">
        <v>0</v>
      </c>
      <c r="J357" s="216">
        <v>0</v>
      </c>
      <c r="K357" s="216">
        <v>0</v>
      </c>
      <c r="L357" s="216">
        <v>0</v>
      </c>
      <c r="M357" s="216">
        <v>0</v>
      </c>
      <c r="N357" s="232">
        <f t="shared" si="179"/>
        <v>0</v>
      </c>
      <c r="O357" s="232"/>
      <c r="P357" s="78"/>
      <c r="Q357" s="78"/>
      <c r="R357" s="78"/>
      <c r="S357" s="78"/>
      <c r="T357" s="138"/>
      <c r="U357" s="138"/>
    </row>
    <row r="358" spans="1:21" x14ac:dyDescent="0.15">
      <c r="A358" s="191" t="s">
        <v>132</v>
      </c>
      <c r="B358" s="216">
        <v>6.8500000000000005E-2</v>
      </c>
      <c r="C358" s="216">
        <v>6.8500000000000005E-2</v>
      </c>
      <c r="D358" s="216">
        <v>6.8500000000000005E-2</v>
      </c>
      <c r="E358" s="216">
        <v>6.8500000000000005E-2</v>
      </c>
      <c r="F358" s="216">
        <v>6.8500000000000005E-2</v>
      </c>
      <c r="G358" s="216">
        <v>6.8500000000000005E-2</v>
      </c>
      <c r="H358" s="216">
        <v>6.8500000000000005E-2</v>
      </c>
      <c r="I358" s="216">
        <v>6.8500000000000005E-2</v>
      </c>
      <c r="J358" s="216">
        <v>6.8500000000000005E-2</v>
      </c>
      <c r="K358" s="216">
        <v>6.8500000000000005E-2</v>
      </c>
      <c r="L358" s="216">
        <v>6.8500000000000005E-2</v>
      </c>
      <c r="M358" s="216">
        <v>6.8500000000000005E-2</v>
      </c>
      <c r="N358" s="232">
        <f t="shared" si="179"/>
        <v>6.8500000000000005E-2</v>
      </c>
      <c r="O358" s="232"/>
      <c r="P358" s="81"/>
      <c r="Q358" s="81"/>
      <c r="R358" s="81"/>
      <c r="S358" s="81"/>
      <c r="T358" s="138"/>
      <c r="U358" s="138"/>
    </row>
    <row r="359" spans="1:21" x14ac:dyDescent="0.15">
      <c r="A359" s="191" t="s">
        <v>133</v>
      </c>
      <c r="B359" s="216">
        <f t="shared" ref="B359:M359" si="180">B353+B354</f>
        <v>9.4000000000000004E-3</v>
      </c>
      <c r="C359" s="216">
        <f t="shared" si="180"/>
        <v>9.4000000000000004E-3</v>
      </c>
      <c r="D359" s="216">
        <f t="shared" si="180"/>
        <v>9.4000000000000004E-3</v>
      </c>
      <c r="E359" s="216">
        <f t="shared" si="180"/>
        <v>9.4000000000000004E-3</v>
      </c>
      <c r="F359" s="216">
        <f t="shared" si="180"/>
        <v>9.4000000000000004E-3</v>
      </c>
      <c r="G359" s="216">
        <f t="shared" si="180"/>
        <v>9.4000000000000004E-3</v>
      </c>
      <c r="H359" s="216">
        <f t="shared" si="180"/>
        <v>9.4000000000000004E-3</v>
      </c>
      <c r="I359" s="216">
        <f t="shared" si="180"/>
        <v>9.4000000000000004E-3</v>
      </c>
      <c r="J359" s="216">
        <f t="shared" si="180"/>
        <v>9.4000000000000004E-3</v>
      </c>
      <c r="K359" s="216">
        <f t="shared" si="180"/>
        <v>9.4000000000000004E-3</v>
      </c>
      <c r="L359" s="216">
        <f t="shared" si="180"/>
        <v>9.4000000000000004E-3</v>
      </c>
      <c r="M359" s="216">
        <f t="shared" si="180"/>
        <v>9.4000000000000004E-3</v>
      </c>
      <c r="N359" s="232">
        <f t="shared" si="179"/>
        <v>9.4000000000000021E-3</v>
      </c>
      <c r="O359" s="232"/>
      <c r="P359" s="81">
        <f>P11</f>
        <v>0</v>
      </c>
      <c r="Q359" s="81">
        <f>Q11</f>
        <v>0</v>
      </c>
      <c r="R359" s="81">
        <f>R11</f>
        <v>0</v>
      </c>
      <c r="S359" s="81">
        <f>S11</f>
        <v>0</v>
      </c>
      <c r="T359" s="138"/>
      <c r="U359" s="138"/>
    </row>
    <row r="360" spans="1:21" x14ac:dyDescent="0.15">
      <c r="A360" s="191" t="s">
        <v>134</v>
      </c>
      <c r="B360" s="216">
        <f t="shared" ref="B360:M360" si="181">B353+B354+B355</f>
        <v>9.4000000000000004E-3</v>
      </c>
      <c r="C360" s="216">
        <f t="shared" si="181"/>
        <v>9.4000000000000004E-3</v>
      </c>
      <c r="D360" s="216">
        <f t="shared" si="181"/>
        <v>9.4000000000000004E-3</v>
      </c>
      <c r="E360" s="216">
        <f t="shared" si="181"/>
        <v>9.4000000000000004E-3</v>
      </c>
      <c r="F360" s="216">
        <f t="shared" si="181"/>
        <v>9.4000000000000004E-3</v>
      </c>
      <c r="G360" s="216">
        <f t="shared" si="181"/>
        <v>9.4000000000000004E-3</v>
      </c>
      <c r="H360" s="216">
        <f t="shared" si="181"/>
        <v>9.4000000000000004E-3</v>
      </c>
      <c r="I360" s="216">
        <f t="shared" si="181"/>
        <v>9.4000000000000004E-3</v>
      </c>
      <c r="J360" s="216">
        <f t="shared" si="181"/>
        <v>9.4000000000000004E-3</v>
      </c>
      <c r="K360" s="216">
        <f t="shared" si="181"/>
        <v>9.4000000000000004E-3</v>
      </c>
      <c r="L360" s="216">
        <f t="shared" si="181"/>
        <v>9.4000000000000004E-3</v>
      </c>
      <c r="M360" s="216">
        <f t="shared" si="181"/>
        <v>9.4000000000000004E-3</v>
      </c>
      <c r="N360" s="232">
        <f t="shared" si="179"/>
        <v>9.4000000000000021E-3</v>
      </c>
      <c r="O360" s="232"/>
      <c r="P360" s="81"/>
      <c r="Q360" s="81"/>
      <c r="R360" s="81"/>
      <c r="S360" s="81"/>
      <c r="T360" s="138"/>
      <c r="U360" s="138"/>
    </row>
    <row r="361" spans="1:21" x14ac:dyDescent="0.15">
      <c r="A361" s="191" t="s">
        <v>135</v>
      </c>
      <c r="B361" s="216">
        <f t="shared" ref="B361:M361" si="182">B353+B354+B356</f>
        <v>9.4000000000000004E-3</v>
      </c>
      <c r="C361" s="216">
        <f t="shared" si="182"/>
        <v>9.4000000000000004E-3</v>
      </c>
      <c r="D361" s="216">
        <f t="shared" si="182"/>
        <v>9.4000000000000004E-3</v>
      </c>
      <c r="E361" s="216">
        <f t="shared" si="182"/>
        <v>9.4000000000000004E-3</v>
      </c>
      <c r="F361" s="216">
        <f t="shared" si="182"/>
        <v>9.4000000000000004E-3</v>
      </c>
      <c r="G361" s="216">
        <f t="shared" si="182"/>
        <v>9.4000000000000004E-3</v>
      </c>
      <c r="H361" s="216">
        <f t="shared" si="182"/>
        <v>9.4000000000000004E-3</v>
      </c>
      <c r="I361" s="216">
        <f t="shared" si="182"/>
        <v>9.4000000000000004E-3</v>
      </c>
      <c r="J361" s="216">
        <f t="shared" si="182"/>
        <v>9.4000000000000004E-3</v>
      </c>
      <c r="K361" s="216">
        <f t="shared" si="182"/>
        <v>9.4000000000000004E-3</v>
      </c>
      <c r="L361" s="216">
        <f t="shared" si="182"/>
        <v>9.4000000000000004E-3</v>
      </c>
      <c r="M361" s="216">
        <f t="shared" si="182"/>
        <v>9.4000000000000004E-3</v>
      </c>
      <c r="N361" s="232">
        <f t="shared" si="179"/>
        <v>9.4000000000000021E-3</v>
      </c>
      <c r="O361" s="232"/>
      <c r="P361" s="81"/>
      <c r="Q361" s="81"/>
      <c r="R361" s="81"/>
      <c r="S361" s="81"/>
      <c r="T361" s="138"/>
      <c r="U361" s="138"/>
    </row>
    <row r="362" spans="1:21" x14ac:dyDescent="0.15">
      <c r="A362" s="191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8"/>
      <c r="O362" s="138"/>
      <c r="P362" s="81"/>
      <c r="Q362" s="81"/>
      <c r="R362" s="81"/>
      <c r="S362" s="81"/>
      <c r="T362" s="138"/>
      <c r="U362" s="138"/>
    </row>
    <row r="363" spans="1:21" x14ac:dyDescent="0.15">
      <c r="A363" s="199" t="s">
        <v>136</v>
      </c>
      <c r="B363" s="137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0"/>
      <c r="O363" s="130"/>
      <c r="P363" s="81"/>
      <c r="Q363" s="81"/>
      <c r="R363" s="81"/>
      <c r="S363" s="81"/>
      <c r="T363" s="130"/>
      <c r="U363" s="130"/>
    </row>
    <row r="364" spans="1:21" x14ac:dyDescent="0.15">
      <c r="A364" s="191" t="s">
        <v>137</v>
      </c>
      <c r="B364" s="231">
        <v>2.5000000000000001E-3</v>
      </c>
      <c r="C364" s="231">
        <v>2.5000000000000001E-3</v>
      </c>
      <c r="D364" s="231">
        <v>2.5000000000000001E-3</v>
      </c>
      <c r="E364" s="231">
        <v>2.5000000000000001E-3</v>
      </c>
      <c r="F364" s="231">
        <v>2.5000000000000001E-3</v>
      </c>
      <c r="G364" s="231">
        <v>2.5000000000000001E-3</v>
      </c>
      <c r="H364" s="231">
        <v>2.5000000000000001E-3</v>
      </c>
      <c r="I364" s="231">
        <v>2.5000000000000001E-3</v>
      </c>
      <c r="J364" s="231">
        <v>2.5000000000000001E-3</v>
      </c>
      <c r="K364" s="231">
        <v>2.5000000000000001E-3</v>
      </c>
      <c r="L364" s="231">
        <v>2.5000000000000001E-3</v>
      </c>
      <c r="M364" s="231">
        <v>2.5000000000000001E-3</v>
      </c>
      <c r="N364" s="138">
        <f>AVERAGE(B364:M364)</f>
        <v>2.4999999999999996E-3</v>
      </c>
      <c r="O364" s="138"/>
      <c r="P364" s="78"/>
      <c r="Q364" s="78"/>
      <c r="R364" s="78"/>
      <c r="S364" s="78"/>
      <c r="T364" s="138"/>
      <c r="U364" s="138"/>
    </row>
    <row r="365" spans="1:21" x14ac:dyDescent="0.15">
      <c r="A365" s="191" t="s">
        <v>138</v>
      </c>
      <c r="B365" s="231">
        <v>4.99E-2</v>
      </c>
      <c r="C365" s="231">
        <v>4.99E-2</v>
      </c>
      <c r="D365" s="231">
        <v>4.99E-2</v>
      </c>
      <c r="E365" s="231">
        <v>4.99E-2</v>
      </c>
      <c r="F365" s="231">
        <v>4.99E-2</v>
      </c>
      <c r="G365" s="231">
        <v>4.99E-2</v>
      </c>
      <c r="H365" s="231">
        <v>4.99E-2</v>
      </c>
      <c r="I365" s="231">
        <v>4.99E-2</v>
      </c>
      <c r="J365" s="231">
        <v>4.99E-2</v>
      </c>
      <c r="K365" s="231">
        <v>4.99E-2</v>
      </c>
      <c r="L365" s="231">
        <v>4.99E-2</v>
      </c>
      <c r="M365" s="231">
        <v>4.99E-2</v>
      </c>
      <c r="N365" s="138">
        <f>AVERAGE(B365:M365)</f>
        <v>4.99E-2</v>
      </c>
      <c r="O365" s="138"/>
      <c r="P365" s="78"/>
      <c r="Q365" s="78"/>
      <c r="R365" s="78"/>
      <c r="S365" s="78"/>
      <c r="T365" s="138"/>
      <c r="U365" s="138"/>
    </row>
    <row r="366" spans="1:21" x14ac:dyDescent="0.15">
      <c r="A366" s="191" t="s">
        <v>139</v>
      </c>
      <c r="B366" s="231">
        <v>6.8000000000000005E-3</v>
      </c>
      <c r="C366" s="231">
        <v>6.8000000000000005E-3</v>
      </c>
      <c r="D366" s="231">
        <v>6.8000000000000005E-3</v>
      </c>
      <c r="E366" s="231">
        <v>6.8000000000000005E-3</v>
      </c>
      <c r="F366" s="231">
        <v>6.8000000000000005E-3</v>
      </c>
      <c r="G366" s="231">
        <v>6.8000000000000005E-3</v>
      </c>
      <c r="H366" s="231">
        <v>6.8000000000000005E-3</v>
      </c>
      <c r="I366" s="231">
        <v>6.8000000000000005E-3</v>
      </c>
      <c r="J366" s="231">
        <v>6.8000000000000005E-3</v>
      </c>
      <c r="K366" s="231">
        <v>6.8000000000000005E-3</v>
      </c>
      <c r="L366" s="231">
        <v>6.8000000000000005E-3</v>
      </c>
      <c r="M366" s="231">
        <v>6.8000000000000005E-3</v>
      </c>
      <c r="N366" s="138">
        <f>AVERAGE(B366:M366)</f>
        <v>6.8000000000000005E-3</v>
      </c>
      <c r="O366" s="138"/>
      <c r="P366" s="78"/>
      <c r="Q366" s="78"/>
      <c r="R366" s="78"/>
      <c r="S366" s="78"/>
      <c r="T366" s="138"/>
      <c r="U366" s="138"/>
    </row>
    <row r="367" spans="1:21" x14ac:dyDescent="0.15">
      <c r="A367" s="191" t="s">
        <v>140</v>
      </c>
      <c r="B367" s="231">
        <v>1.84E-2</v>
      </c>
      <c r="C367" s="231">
        <v>1.84E-2</v>
      </c>
      <c r="D367" s="231">
        <v>1.84E-2</v>
      </c>
      <c r="E367" s="231">
        <v>1.84E-2</v>
      </c>
      <c r="F367" s="231">
        <v>1.84E-2</v>
      </c>
      <c r="G367" s="231">
        <v>1.84E-2</v>
      </c>
      <c r="H367" s="231">
        <v>1.84E-2</v>
      </c>
      <c r="I367" s="231">
        <v>1.84E-2</v>
      </c>
      <c r="J367" s="231">
        <v>1.84E-2</v>
      </c>
      <c r="K367" s="231">
        <v>1.84E-2</v>
      </c>
      <c r="L367" s="231">
        <v>1.84E-2</v>
      </c>
      <c r="M367" s="231">
        <v>1.84E-2</v>
      </c>
      <c r="N367" s="138">
        <f>AVERAGE(B367:M367)</f>
        <v>1.84E-2</v>
      </c>
      <c r="O367" s="138"/>
      <c r="P367" s="78"/>
      <c r="Q367" s="78"/>
      <c r="R367" s="78"/>
      <c r="S367" s="78"/>
      <c r="T367" s="138"/>
      <c r="U367" s="138"/>
    </row>
    <row r="368" spans="1:21" x14ac:dyDescent="0.15">
      <c r="A368" s="191" t="s">
        <v>141</v>
      </c>
      <c r="B368" s="231">
        <v>5.8000000000000005E-3</v>
      </c>
      <c r="C368" s="231">
        <v>5.8000000000000005E-3</v>
      </c>
      <c r="D368" s="231">
        <v>5.8000000000000005E-3</v>
      </c>
      <c r="E368" s="231">
        <v>5.8000000000000005E-3</v>
      </c>
      <c r="F368" s="231">
        <v>5.8000000000000005E-3</v>
      </c>
      <c r="G368" s="231">
        <v>5.8000000000000005E-3</v>
      </c>
      <c r="H368" s="231">
        <v>5.8000000000000005E-3</v>
      </c>
      <c r="I368" s="231">
        <v>5.8000000000000005E-3</v>
      </c>
      <c r="J368" s="231">
        <v>5.8000000000000005E-3</v>
      </c>
      <c r="K368" s="231">
        <v>5.8000000000000005E-3</v>
      </c>
      <c r="L368" s="231">
        <v>5.8000000000000005E-3</v>
      </c>
      <c r="M368" s="231">
        <v>5.8000000000000005E-3</v>
      </c>
      <c r="N368" s="138">
        <f>AVERAGE(B368:M368)</f>
        <v>5.8000000000000005E-3</v>
      </c>
      <c r="O368" s="138"/>
      <c r="P368" s="78"/>
      <c r="Q368" s="78"/>
      <c r="R368" s="78"/>
      <c r="S368" s="78"/>
      <c r="T368" s="138"/>
      <c r="U368" s="138"/>
    </row>
    <row r="369" spans="1:21" x14ac:dyDescent="0.15">
      <c r="A369" s="191"/>
      <c r="B369" s="140"/>
      <c r="C369" s="140"/>
      <c r="D369" s="140"/>
      <c r="E369" s="140"/>
      <c r="F369" s="140"/>
      <c r="G369" s="140"/>
      <c r="H369" s="140"/>
      <c r="I369" s="140"/>
      <c r="J369" s="140"/>
      <c r="K369" s="140"/>
      <c r="L369" s="140"/>
      <c r="M369" s="140"/>
      <c r="N369" s="130"/>
      <c r="O369" s="130"/>
      <c r="P369" s="78"/>
      <c r="Q369" s="78"/>
      <c r="R369" s="78"/>
      <c r="S369" s="78"/>
      <c r="T369" s="130"/>
      <c r="U369" s="130"/>
    </row>
    <row r="370" spans="1:21" x14ac:dyDescent="0.15">
      <c r="A370" s="199" t="s">
        <v>142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30"/>
      <c r="O370" s="130"/>
      <c r="P370" s="78"/>
      <c r="Q370" s="78"/>
      <c r="R370" s="78"/>
      <c r="S370" s="78"/>
      <c r="T370" s="130"/>
      <c r="U370" s="130"/>
    </row>
    <row r="371" spans="1:21" x14ac:dyDescent="0.15">
      <c r="A371" s="191" t="s">
        <v>143</v>
      </c>
      <c r="B371" s="233">
        <f>'Fuel Calc'!C50</f>
        <v>641.85499999999956</v>
      </c>
      <c r="C371" s="233">
        <f>'Fuel Calc'!D50</f>
        <v>597.2679999999973</v>
      </c>
      <c r="D371" s="233">
        <f>'Fuel Calc'!E50</f>
        <v>638.599999999999</v>
      </c>
      <c r="E371" s="233">
        <f>'Fuel Calc'!F50</f>
        <v>816.00000000000136</v>
      </c>
      <c r="F371" s="233">
        <f>'Fuel Calc'!G50</f>
        <v>756.3999999999993</v>
      </c>
      <c r="G371" s="233">
        <f>'Fuel Calc'!H50</f>
        <v>693.00000000000068</v>
      </c>
      <c r="H371" s="233">
        <f>'Fuel Calc'!I50</f>
        <v>709.8999999999993</v>
      </c>
      <c r="I371" s="233">
        <f>'Fuel Calc'!J50</f>
        <v>722.29999999999859</v>
      </c>
      <c r="J371" s="233">
        <f>'Fuel Calc'!K50</f>
        <v>635.99999999999966</v>
      </c>
      <c r="K371" s="233">
        <f>'Fuel Calc'!L50</f>
        <v>558.74999999999932</v>
      </c>
      <c r="L371" s="233">
        <f>'Fuel Calc'!M50</f>
        <v>408.31999999999766</v>
      </c>
      <c r="M371" s="233">
        <f>'Fuel Calc'!N50</f>
        <v>461.99300000000062</v>
      </c>
      <c r="N371" s="130">
        <f t="shared" ref="N371:N376" si="183">SUM(B371:M371)</f>
        <v>7640.3859999999922</v>
      </c>
      <c r="O371" s="130"/>
      <c r="P371" s="85" t="e">
        <f t="shared" ref="P371:P376" si="184">CHOOSE(#REF!,SUM(B371,B371),SUM(B371:C371),SUM(B371:D371),SUM(B371:E371),SUM(B371:F371),SUM(B371:G371),SUM(B371:H371),SUM(B371:I371),SUM(B371:J371),SUM(B371:K371),SUM(B371:L371),SUM(B371:M371))</f>
        <v>#REF!</v>
      </c>
      <c r="Q371" s="85" t="e">
        <f t="shared" ref="Q371:Q376" si="185">N371-P371</f>
        <v>#REF!</v>
      </c>
      <c r="R371" s="85">
        <f t="shared" ref="R371:R376" si="186">N371</f>
        <v>7640.3859999999922</v>
      </c>
      <c r="S371" s="88" t="e">
        <f t="shared" ref="S371:S376" si="187">IF(#REF!=1,SUM(B371:D371),IF(#REF!=2,SUM(E371:G371),IF(#REF!=3,SUM(H371:J371),IF(#REF!=4,SUM(K371:M371),"    WRONG  "))))</f>
        <v>#REF!</v>
      </c>
      <c r="T371" s="130"/>
      <c r="U371" s="130"/>
    </row>
    <row r="372" spans="1:21" x14ac:dyDescent="0.15">
      <c r="A372" s="191" t="s">
        <v>144</v>
      </c>
      <c r="B372" s="233">
        <f>'Fuel Calc'!C49</f>
        <v>701.06500000000028</v>
      </c>
      <c r="C372" s="233">
        <f>'Fuel Calc'!D49</f>
        <v>609.22399999999948</v>
      </c>
      <c r="D372" s="233">
        <f>'Fuel Calc'!E49</f>
        <v>678.8999999999993</v>
      </c>
      <c r="E372" s="233">
        <f>'Fuel Calc'!F49</f>
        <v>504.00000000000034</v>
      </c>
      <c r="F372" s="233">
        <f>'Fuel Calc'!G49</f>
        <v>561.1000000000007</v>
      </c>
      <c r="G372" s="233">
        <f>'Fuel Calc'!H49</f>
        <v>573.00000000000068</v>
      </c>
      <c r="H372" s="233">
        <f>'Fuel Calc'!I49</f>
        <v>604.49999999999818</v>
      </c>
      <c r="I372" s="233">
        <f>'Fuel Calc'!J49</f>
        <v>632.400000000001</v>
      </c>
      <c r="J372" s="233">
        <f>'Fuel Calc'!K49</f>
        <v>576.00000000000136</v>
      </c>
      <c r="K372" s="233">
        <f>'Fuel Calc'!L49</f>
        <v>638.78599999999983</v>
      </c>
      <c r="L372" s="233">
        <f>'Fuel Calc'!M49</f>
        <v>729.5999999999998</v>
      </c>
      <c r="M372" s="233">
        <f>'Fuel Calc'!N49</f>
        <v>689.75</v>
      </c>
      <c r="N372" s="130">
        <f t="shared" si="183"/>
        <v>7498.3250000000016</v>
      </c>
      <c r="O372" s="130"/>
      <c r="P372" s="85" t="e">
        <f t="shared" si="184"/>
        <v>#REF!</v>
      </c>
      <c r="Q372" s="85" t="e">
        <f t="shared" si="185"/>
        <v>#REF!</v>
      </c>
      <c r="R372" s="85">
        <f t="shared" si="186"/>
        <v>7498.3250000000016</v>
      </c>
      <c r="S372" s="88" t="e">
        <f t="shared" si="187"/>
        <v>#REF!</v>
      </c>
      <c r="T372" s="130"/>
      <c r="U372" s="130"/>
    </row>
    <row r="373" spans="1:21" x14ac:dyDescent="0.15">
      <c r="A373" s="191" t="s">
        <v>145</v>
      </c>
      <c r="B373" s="233">
        <f>'Fuel Calc'!C51</f>
        <v>373.73600000000033</v>
      </c>
      <c r="C373" s="233">
        <f>'Fuel Calc'!D51</f>
        <v>354.25599999999963</v>
      </c>
      <c r="D373" s="233">
        <f>'Fuel Calc'!E51</f>
        <v>396.80000000000035</v>
      </c>
      <c r="E373" s="233">
        <f>'Fuel Calc'!F51</f>
        <v>311.99999999999932</v>
      </c>
      <c r="F373" s="233">
        <f>'Fuel Calc'!G51</f>
        <v>331.69999999999965</v>
      </c>
      <c r="G373" s="233">
        <f>'Fuel Calc'!H51</f>
        <v>327.00000000000017</v>
      </c>
      <c r="H373" s="233">
        <f>'Fuel Calc'!I51</f>
        <v>362.69999999999965</v>
      </c>
      <c r="I373" s="233">
        <f>'Fuel Calc'!J51</f>
        <v>347.19999999999965</v>
      </c>
      <c r="J373" s="233">
        <f>'Fuel Calc'!K51</f>
        <v>309.00000000000034</v>
      </c>
      <c r="K373" s="233">
        <f>'Fuel Calc'!L51</f>
        <v>349.68000000000006</v>
      </c>
      <c r="L373" s="233">
        <f>'Fuel Calc'!M51</f>
        <v>372.00000000000017</v>
      </c>
      <c r="M373" s="233">
        <f>'Fuel Calc'!N51</f>
        <v>401.20200000000023</v>
      </c>
      <c r="N373" s="130">
        <f t="shared" si="183"/>
        <v>4237.2739999999994</v>
      </c>
      <c r="O373" s="130"/>
      <c r="P373" s="85" t="e">
        <f t="shared" si="184"/>
        <v>#REF!</v>
      </c>
      <c r="Q373" s="85" t="e">
        <f t="shared" si="185"/>
        <v>#REF!</v>
      </c>
      <c r="R373" s="85">
        <f t="shared" si="186"/>
        <v>4237.2739999999994</v>
      </c>
      <c r="S373" s="88" t="e">
        <f t="shared" si="187"/>
        <v>#REF!</v>
      </c>
      <c r="T373" s="130"/>
      <c r="U373" s="130"/>
    </row>
    <row r="374" spans="1:21" x14ac:dyDescent="0.15">
      <c r="A374" s="191" t="s">
        <v>146</v>
      </c>
      <c r="B374" s="233">
        <f>'Fuel Calc'!C54+'Fuel Calc'!C55</f>
        <v>146.84699999999984</v>
      </c>
      <c r="C374" s="233">
        <f>'Fuel Calc'!D54+'Fuel Calc'!D55</f>
        <v>132.77600000000012</v>
      </c>
      <c r="D374" s="233">
        <f>'Fuel Calc'!E54+'Fuel Calc'!E55</f>
        <v>151.9000000000006</v>
      </c>
      <c r="E374" s="233">
        <f>'Fuel Calc'!F54+'Fuel Calc'!F55</f>
        <v>229.5900000000006</v>
      </c>
      <c r="F374" s="233">
        <f>'Fuel Calc'!G54+'Fuel Calc'!G55</f>
        <v>216.99999999999912</v>
      </c>
      <c r="G374" s="233">
        <f>'Fuel Calc'!H54+'Fuel Calc'!H55</f>
        <v>204.00000000000119</v>
      </c>
      <c r="H374" s="233">
        <f>'Fuel Calc'!I54+'Fuel Calc'!I55</f>
        <v>213.8999999999993</v>
      </c>
      <c r="I374" s="233">
        <f>'Fuel Calc'!J54+'Fuel Calc'!J55</f>
        <v>207.69999999999789</v>
      </c>
      <c r="J374" s="233">
        <f>'Fuel Calc'!K54+'Fuel Calc'!K55</f>
        <v>177.00000000000188</v>
      </c>
      <c r="K374" s="233">
        <f>'Fuel Calc'!L54+'Fuel Calc'!L55</f>
        <v>173.90999999999912</v>
      </c>
      <c r="L374" s="233">
        <f>'Fuel Calc'!M54+'Fuel Calc'!M55</f>
        <v>183.59999999999843</v>
      </c>
      <c r="M374" s="233">
        <f>'Fuel Calc'!N54+'Fuel Calc'!N55</f>
        <v>205.26333799999867</v>
      </c>
      <c r="N374" s="130">
        <f t="shared" si="183"/>
        <v>2243.486337999997</v>
      </c>
      <c r="O374" s="130"/>
      <c r="P374" s="85" t="e">
        <f t="shared" si="184"/>
        <v>#REF!</v>
      </c>
      <c r="Q374" s="85" t="e">
        <f t="shared" si="185"/>
        <v>#REF!</v>
      </c>
      <c r="R374" s="85">
        <f t="shared" si="186"/>
        <v>2243.486337999997</v>
      </c>
      <c r="S374" s="88" t="e">
        <f t="shared" si="187"/>
        <v>#REF!</v>
      </c>
      <c r="T374" s="130"/>
      <c r="U374" s="130"/>
    </row>
    <row r="375" spans="1:21" x14ac:dyDescent="0.15">
      <c r="A375" s="191" t="s">
        <v>471</v>
      </c>
      <c r="B375" s="233">
        <f>'Fuel Calc'!C53</f>
        <v>60.0160000000011</v>
      </c>
      <c r="C375" s="233">
        <f>'Fuel Calc'!D53</f>
        <v>51.800000000000637</v>
      </c>
      <c r="D375" s="233">
        <f>'Fuel Calc'!E53</f>
        <v>55.800000000002115</v>
      </c>
      <c r="E375" s="233">
        <f>'Fuel Calc'!F53</f>
        <v>48.000000000000682</v>
      </c>
      <c r="F375" s="233">
        <f>'Fuel Calc'!G53</f>
        <v>49.600000000000705</v>
      </c>
      <c r="G375" s="233">
        <f>'Fuel Calc'!H53</f>
        <v>51.000000000001364</v>
      </c>
      <c r="H375" s="233">
        <f>'Fuel Calc'!I53</f>
        <v>65.100000000000705</v>
      </c>
      <c r="I375" s="233">
        <f>'Fuel Calc'!J53</f>
        <v>62</v>
      </c>
      <c r="J375" s="233">
        <f>'Fuel Calc'!K53</f>
        <v>51.000000000001364</v>
      </c>
      <c r="K375" s="233">
        <f>'Fuel Calc'!L53</f>
        <v>54.590999999998985</v>
      </c>
      <c r="L375" s="233">
        <f>'Fuel Calc'!M53</f>
        <v>50.910000000000082</v>
      </c>
      <c r="M375" s="233">
        <f>'Fuel Calc'!N53</f>
        <v>48.763000000002876</v>
      </c>
      <c r="N375" s="130">
        <f t="shared" si="183"/>
        <v>648.58000000001061</v>
      </c>
      <c r="O375" s="130"/>
      <c r="P375" s="85" t="e">
        <f t="shared" si="184"/>
        <v>#REF!</v>
      </c>
      <c r="Q375" s="85" t="e">
        <f t="shared" si="185"/>
        <v>#REF!</v>
      </c>
      <c r="R375" s="85">
        <f t="shared" si="186"/>
        <v>648.58000000001061</v>
      </c>
      <c r="S375" s="88" t="e">
        <f t="shared" si="187"/>
        <v>#REF!</v>
      </c>
      <c r="T375" s="130"/>
      <c r="U375" s="130"/>
    </row>
    <row r="376" spans="1:21" x14ac:dyDescent="0.15">
      <c r="A376" s="191" t="s">
        <v>472</v>
      </c>
      <c r="B376" s="221">
        <f>'Fuel Calc'!C52</f>
        <v>26.319000000001438</v>
      </c>
      <c r="C376" s="221">
        <f>'Fuel Calc'!D52</f>
        <v>22.932000000000471</v>
      </c>
      <c r="D376" s="221">
        <f>'Fuel Calc'!E52</f>
        <v>24.800000000000352</v>
      </c>
      <c r="E376" s="221">
        <f>'Fuel Calc'!F52</f>
        <v>26.999999999999318</v>
      </c>
      <c r="F376" s="221">
        <f>'Fuel Calc'!G52</f>
        <v>31</v>
      </c>
      <c r="G376" s="221">
        <f>'Fuel Calc'!H52</f>
        <v>26.999999999999318</v>
      </c>
      <c r="H376" s="221">
        <f>'Fuel Calc'!I52</f>
        <v>18.599999999999824</v>
      </c>
      <c r="I376" s="221">
        <f>'Fuel Calc'!J52</f>
        <v>21.70000000000141</v>
      </c>
      <c r="J376" s="221">
        <f>'Fuel Calc'!K52</f>
        <v>24.000000000000341</v>
      </c>
      <c r="K376" s="221">
        <f>'Fuel Calc'!L52</f>
        <v>16.538500000000113</v>
      </c>
      <c r="L376" s="221">
        <f>'Fuel Calc'!M52</f>
        <v>18.824999999999932</v>
      </c>
      <c r="M376" s="221">
        <f>'Fuel Calc'!N52</f>
        <v>32.596500000001015</v>
      </c>
      <c r="N376" s="135">
        <f t="shared" si="183"/>
        <v>291.31100000000356</v>
      </c>
      <c r="O376" s="571"/>
      <c r="P376" s="85" t="e">
        <f t="shared" si="184"/>
        <v>#REF!</v>
      </c>
      <c r="Q376" s="85" t="e">
        <f t="shared" si="185"/>
        <v>#REF!</v>
      </c>
      <c r="R376" s="85">
        <f t="shared" si="186"/>
        <v>291.31100000000356</v>
      </c>
      <c r="S376" s="88" t="e">
        <f t="shared" si="187"/>
        <v>#REF!</v>
      </c>
      <c r="T376" s="135"/>
      <c r="U376" s="135"/>
    </row>
    <row r="377" spans="1:21" x14ac:dyDescent="0.15">
      <c r="A377" s="192" t="s">
        <v>148</v>
      </c>
      <c r="B377" s="121">
        <f t="shared" ref="B377:M377" si="188">SUM(B371:B376)</f>
        <v>1949.8380000000025</v>
      </c>
      <c r="C377" s="121">
        <f t="shared" si="188"/>
        <v>1768.2559999999976</v>
      </c>
      <c r="D377" s="121">
        <f t="shared" si="188"/>
        <v>1946.8000000000018</v>
      </c>
      <c r="E377" s="121">
        <f t="shared" si="188"/>
        <v>1936.5900000000017</v>
      </c>
      <c r="F377" s="121">
        <f t="shared" si="188"/>
        <v>1946.7999999999993</v>
      </c>
      <c r="G377" s="121">
        <f t="shared" si="188"/>
        <v>1875.0000000000034</v>
      </c>
      <c r="H377" s="121">
        <f t="shared" si="188"/>
        <v>1974.6999999999971</v>
      </c>
      <c r="I377" s="121">
        <f t="shared" si="188"/>
        <v>1993.2999999999986</v>
      </c>
      <c r="J377" s="121">
        <f t="shared" si="188"/>
        <v>1773.000000000005</v>
      </c>
      <c r="K377" s="121">
        <f t="shared" si="188"/>
        <v>1792.2554999999975</v>
      </c>
      <c r="L377" s="121">
        <f t="shared" si="188"/>
        <v>1763.254999999996</v>
      </c>
      <c r="M377" s="121">
        <f t="shared" si="188"/>
        <v>1839.5678380000033</v>
      </c>
      <c r="N377" s="141">
        <f>SUM(B377:M377)</f>
        <v>22559.362338000006</v>
      </c>
      <c r="O377" s="573"/>
      <c r="P377" s="85" t="e">
        <f>CHOOSE(#REF!,SUM(B377,B377),SUM(B377:C377),SUM(B377:D377),SUM(B377:E377),SUM(B377:F377),SUM(B377:G377),SUM(B377:H377),SUM(B377:I377),SUM(B377:J377),SUM(B377:K377),SUM(B377:L377),SUM(B377:M377))</f>
        <v>#REF!</v>
      </c>
      <c r="Q377" s="85" t="e">
        <f>N377-P377</f>
        <v>#REF!</v>
      </c>
      <c r="R377" s="85">
        <f>N377</f>
        <v>22559.362338000006</v>
      </c>
      <c r="S377" s="85" t="e">
        <f>IF(#REF!=1,SUM(B377:D377),IF(#REF!=2,SUM(E377:G377),IF(#REF!=3,SUM(H377:J377),IF(#REF!=4,SUM(K377:M377),"    WRONG  "))))</f>
        <v>#REF!</v>
      </c>
      <c r="T377" s="143">
        <f>SUM(T371:T376)</f>
        <v>0</v>
      </c>
      <c r="U377" s="143">
        <f>SUM(U371:U376)</f>
        <v>0</v>
      </c>
    </row>
    <row r="378" spans="1:21" x14ac:dyDescent="0.15">
      <c r="A378" s="192" t="s">
        <v>149</v>
      </c>
      <c r="B378" s="121">
        <f>'Fuel Calc'!C59</f>
        <v>-996</v>
      </c>
      <c r="C378" s="121">
        <f>'Fuel Calc'!D59</f>
        <v>-898</v>
      </c>
      <c r="D378" s="121">
        <f>'Fuel Calc'!E59</f>
        <v>-988</v>
      </c>
      <c r="E378" s="121">
        <f>'Fuel Calc'!F59</f>
        <v>-1090</v>
      </c>
      <c r="F378" s="121">
        <f>'Fuel Calc'!G59</f>
        <v>-1099</v>
      </c>
      <c r="G378" s="121">
        <f>'Fuel Calc'!H59</f>
        <v>-1042</v>
      </c>
      <c r="H378" s="121">
        <f>'Fuel Calc'!I59</f>
        <v>-1022</v>
      </c>
      <c r="I378" s="121">
        <f>'Fuel Calc'!J59</f>
        <v>-1028</v>
      </c>
      <c r="J378" s="121">
        <f>'Fuel Calc'!K59</f>
        <v>-958</v>
      </c>
      <c r="K378" s="121">
        <f>'Fuel Calc'!L59</f>
        <v>-904</v>
      </c>
      <c r="L378" s="121">
        <f>'Fuel Calc'!M59</f>
        <v>-923</v>
      </c>
      <c r="M378" s="121">
        <f>'Fuel Calc'!N59</f>
        <v>-1054</v>
      </c>
      <c r="N378" s="141">
        <f>SUM(B378:M378)</f>
        <v>-12002</v>
      </c>
      <c r="O378" s="573"/>
      <c r="P378" s="85" t="e">
        <f>CHOOSE(#REF!,SUM(B378,B378),SUM(B378:C378),SUM(B378:D378),SUM(B378:E378),SUM(B378:F378),SUM(B378:G378),SUM(B378:H378),SUM(B378:I378),SUM(B378:J378),SUM(B378:K378),SUM(B378:L378),SUM(B378:M378))</f>
        <v>#REF!</v>
      </c>
      <c r="Q378" s="72" t="e">
        <f>N378-P378</f>
        <v>#REF!</v>
      </c>
      <c r="R378" s="85">
        <f>N378</f>
        <v>-12002</v>
      </c>
      <c r="S378" s="85" t="e">
        <f>IF(#REF!=1,SUM(B378:D378),IF(#REF!=2,SUM(E378:G378),IF(#REF!=3,SUM(H378:J378),IF(#REF!=4,SUM(K378:M378),"    WRONG  "))))</f>
        <v>#REF!</v>
      </c>
      <c r="T378" s="143" t="e">
        <f>-#REF!</f>
        <v>#REF!</v>
      </c>
      <c r="U378" s="143" t="e">
        <f>-#REF!</f>
        <v>#REF!</v>
      </c>
    </row>
    <row r="379" spans="1:21" ht="13.5" thickBot="1" x14ac:dyDescent="0.2">
      <c r="A379" s="192" t="s">
        <v>150</v>
      </c>
      <c r="B379" s="209">
        <f t="shared" ref="B379:M379" si="189">B377-B378</f>
        <v>2945.8380000000025</v>
      </c>
      <c r="C379" s="209">
        <f t="shared" si="189"/>
        <v>2666.2559999999976</v>
      </c>
      <c r="D379" s="209">
        <f t="shared" si="189"/>
        <v>2934.800000000002</v>
      </c>
      <c r="E379" s="209">
        <f t="shared" si="189"/>
        <v>3026.590000000002</v>
      </c>
      <c r="F379" s="209">
        <f t="shared" si="189"/>
        <v>3045.7999999999993</v>
      </c>
      <c r="G379" s="209">
        <f t="shared" si="189"/>
        <v>2917.0000000000036</v>
      </c>
      <c r="H379" s="209">
        <f t="shared" si="189"/>
        <v>2996.6999999999971</v>
      </c>
      <c r="I379" s="209">
        <f t="shared" si="189"/>
        <v>3021.2999999999984</v>
      </c>
      <c r="J379" s="209">
        <f t="shared" si="189"/>
        <v>2731.000000000005</v>
      </c>
      <c r="K379" s="209">
        <f t="shared" si="189"/>
        <v>2696.2554999999975</v>
      </c>
      <c r="L379" s="209">
        <f t="shared" si="189"/>
        <v>2686.254999999996</v>
      </c>
      <c r="M379" s="209">
        <f t="shared" si="189"/>
        <v>2893.5678380000036</v>
      </c>
      <c r="N379" s="151">
        <f>SUM(B379:M379)</f>
        <v>34561.362338000006</v>
      </c>
      <c r="O379" s="573"/>
      <c r="P379" s="85" t="e">
        <f>CHOOSE(#REF!,SUM(B379,B379),SUM(B379:C379),SUM(B379:D379),SUM(B379:E379),SUM(B379:F379),SUM(B379:G379),SUM(B379:H379),SUM(B379:I379),SUM(B379:J379),SUM(B379:K379),SUM(B379:L379),SUM(B379:M379))</f>
        <v>#REF!</v>
      </c>
      <c r="Q379" s="85" t="e">
        <f>N379-P379</f>
        <v>#REF!</v>
      </c>
      <c r="R379" s="85">
        <f>N379</f>
        <v>34561.362338000006</v>
      </c>
      <c r="S379" s="85" t="e">
        <f>IF(#REF!=1,SUM(B379:D379),IF(#REF!=2,SUM(E379:G379),IF(#REF!=3,SUM(H379:J379),IF(#REF!=4,SUM(K379:M379),"    WRONG  "))))</f>
        <v>#REF!</v>
      </c>
      <c r="T379" s="209" t="e">
        <f>T377-T378</f>
        <v>#REF!</v>
      </c>
      <c r="U379" s="209" t="e">
        <f>U377-U378</f>
        <v>#REF!</v>
      </c>
    </row>
    <row r="380" spans="1:21" ht="13.5" thickTop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30"/>
      <c r="O380" s="130"/>
      <c r="P380" s="78"/>
      <c r="Q380" s="78"/>
      <c r="R380" s="78"/>
      <c r="S380" s="85"/>
      <c r="T380" s="130"/>
      <c r="U380" s="130"/>
    </row>
    <row r="381" spans="1:21" x14ac:dyDescent="0.15">
      <c r="A381" s="192" t="s">
        <v>151</v>
      </c>
      <c r="B381" s="616">
        <v>8.2100000000000009</v>
      </c>
      <c r="C381" s="616">
        <v>5.62</v>
      </c>
      <c r="D381" s="616">
        <v>4.9800000000000004</v>
      </c>
      <c r="E381" s="616">
        <v>4.87</v>
      </c>
      <c r="F381" s="616">
        <v>3.82</v>
      </c>
      <c r="G381" s="616">
        <v>3.19</v>
      </c>
      <c r="H381" s="616">
        <v>2.77</v>
      </c>
      <c r="I381" s="617">
        <v>2.77</v>
      </c>
      <c r="J381" s="617">
        <v>1.95</v>
      </c>
      <c r="K381" s="617">
        <v>2.2799999999999998</v>
      </c>
      <c r="L381" s="617">
        <v>2.5299999999999998</v>
      </c>
      <c r="M381" s="617">
        <v>2.85</v>
      </c>
      <c r="N381" s="618">
        <f>AVERAGE(B381:M381)</f>
        <v>3.8200000000000016</v>
      </c>
      <c r="O381" s="489"/>
      <c r="P381" s="93" t="e">
        <v>#REF!</v>
      </c>
      <c r="Q381" s="94"/>
      <c r="R381" s="92">
        <v>2.3644166666666666</v>
      </c>
      <c r="S381" s="93" t="e">
        <v>#REF!</v>
      </c>
      <c r="T381" s="153">
        <v>2.37</v>
      </c>
      <c r="U381" s="153">
        <v>2.37</v>
      </c>
    </row>
    <row r="382" spans="1:21" x14ac:dyDescent="0.15">
      <c r="A382" s="1" t="s">
        <v>121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30"/>
      <c r="O382" s="130"/>
      <c r="P382" s="78"/>
      <c r="Q382" s="78"/>
      <c r="R382" s="78"/>
      <c r="S382" s="78"/>
      <c r="T382" s="130"/>
      <c r="U382" s="130"/>
    </row>
    <row r="383" spans="1:21" x14ac:dyDescent="0.15">
      <c r="B383" s="68">
        <v>2.36</v>
      </c>
      <c r="C383" s="68">
        <v>2.36</v>
      </c>
      <c r="D383" s="68">
        <v>2.36</v>
      </c>
      <c r="E383" s="68">
        <v>2.36</v>
      </c>
      <c r="F383" s="68">
        <v>2.36</v>
      </c>
      <c r="G383" s="68">
        <v>2.36</v>
      </c>
      <c r="H383" s="68">
        <v>2.36</v>
      </c>
      <c r="I383" s="68">
        <v>2.36</v>
      </c>
      <c r="J383" s="68">
        <v>2.36</v>
      </c>
      <c r="K383" s="68">
        <v>2.36</v>
      </c>
      <c r="L383" s="68">
        <v>2.36</v>
      </c>
      <c r="M383" s="68">
        <v>2.36</v>
      </c>
      <c r="N383" s="95"/>
      <c r="O383" s="95"/>
      <c r="P383" s="68"/>
      <c r="Q383" s="68"/>
      <c r="R383" s="68"/>
      <c r="S383" s="68"/>
      <c r="T383" s="95"/>
      <c r="U383" s="95"/>
    </row>
    <row r="384" spans="1:21" x14ac:dyDescent="0.15">
      <c r="B384" s="152">
        <v>4.2930000000000001</v>
      </c>
      <c r="C384" s="152">
        <v>4.0430000000000001</v>
      </c>
      <c r="D384" s="152">
        <v>3.7829999999999999</v>
      </c>
      <c r="E384" s="152">
        <v>3.6</v>
      </c>
      <c r="F384" s="152">
        <v>3.5</v>
      </c>
      <c r="G384" s="152">
        <v>3.48</v>
      </c>
      <c r="H384" s="152">
        <v>3.42</v>
      </c>
      <c r="I384" s="152">
        <v>3.4550000000000001</v>
      </c>
      <c r="J384" s="152">
        <v>3.43</v>
      </c>
      <c r="K384" s="152">
        <v>3.43</v>
      </c>
      <c r="L384" s="152">
        <v>3.4329999999999998</v>
      </c>
      <c r="M384" s="152">
        <v>3.5129999999999999</v>
      </c>
      <c r="N384" s="95"/>
      <c r="O384" s="95"/>
      <c r="P384" s="68"/>
      <c r="Q384" s="68"/>
      <c r="R384" s="68"/>
      <c r="S384" s="68"/>
      <c r="T384" s="95"/>
      <c r="U384" s="95"/>
    </row>
    <row r="385" spans="1:21" x14ac:dyDescent="0.15">
      <c r="B385" s="152">
        <f>(B384+B383)/2</f>
        <v>3.3265000000000002</v>
      </c>
      <c r="C385" s="152">
        <f t="shared" ref="C385:M385" si="190">(C384+C383)/2</f>
        <v>3.2015000000000002</v>
      </c>
      <c r="D385" s="152">
        <f t="shared" si="190"/>
        <v>3.0714999999999999</v>
      </c>
      <c r="E385" s="152">
        <f t="shared" si="190"/>
        <v>2.98</v>
      </c>
      <c r="F385" s="152">
        <f t="shared" si="190"/>
        <v>2.9299999999999997</v>
      </c>
      <c r="G385" s="152">
        <f t="shared" si="190"/>
        <v>2.92</v>
      </c>
      <c r="H385" s="152">
        <f t="shared" si="190"/>
        <v>2.8899999999999997</v>
      </c>
      <c r="I385" s="152">
        <f t="shared" si="190"/>
        <v>2.9074999999999998</v>
      </c>
      <c r="J385" s="152">
        <f t="shared" si="190"/>
        <v>2.895</v>
      </c>
      <c r="K385" s="152">
        <f t="shared" si="190"/>
        <v>2.895</v>
      </c>
      <c r="L385" s="152">
        <f t="shared" si="190"/>
        <v>2.8964999999999996</v>
      </c>
      <c r="M385" s="152">
        <f t="shared" si="190"/>
        <v>2.9364999999999997</v>
      </c>
      <c r="N385" s="489">
        <f>AVERAGE(B385:M385)</f>
        <v>2.9875000000000003</v>
      </c>
      <c r="O385" s="489"/>
      <c r="P385" s="68"/>
      <c r="Q385" s="68"/>
      <c r="R385" s="68"/>
      <c r="S385" s="68"/>
      <c r="T385" s="95"/>
      <c r="U385" s="95"/>
    </row>
    <row r="386" spans="1:21" x14ac:dyDescent="0.15">
      <c r="B386" s="490">
        <f>B385*(3.5/2.9875)</f>
        <v>3.8971548117154819</v>
      </c>
      <c r="C386" s="490">
        <f t="shared" ref="C386:M386" si="191">C385*(3.5/2.9875)</f>
        <v>3.7507112970711307</v>
      </c>
      <c r="D386" s="490">
        <f t="shared" si="191"/>
        <v>3.5984100418410048</v>
      </c>
      <c r="E386" s="490">
        <f t="shared" si="191"/>
        <v>3.4912133891213393</v>
      </c>
      <c r="F386" s="490">
        <f t="shared" si="191"/>
        <v>3.4326359832635984</v>
      </c>
      <c r="G386" s="490">
        <f t="shared" si="191"/>
        <v>3.4209205020920508</v>
      </c>
      <c r="H386" s="490">
        <f t="shared" si="191"/>
        <v>3.3857740585774061</v>
      </c>
      <c r="I386" s="490">
        <f t="shared" si="191"/>
        <v>3.4062761506276154</v>
      </c>
      <c r="J386" s="490">
        <f t="shared" si="191"/>
        <v>3.3916317991631804</v>
      </c>
      <c r="K386" s="490">
        <f t="shared" si="191"/>
        <v>3.3916317991631804</v>
      </c>
      <c r="L386" s="490">
        <f t="shared" si="191"/>
        <v>3.3933891213389122</v>
      </c>
      <c r="M386" s="490">
        <f t="shared" si="191"/>
        <v>3.4402510460251046</v>
      </c>
      <c r="N386" s="489">
        <f>AVERAGE(B386:M386)</f>
        <v>3.5000000000000004</v>
      </c>
      <c r="O386" s="489"/>
      <c r="P386" s="68"/>
      <c r="Q386" s="68"/>
      <c r="R386" s="68"/>
      <c r="S386" s="68"/>
      <c r="T386" s="95"/>
      <c r="U386" s="95"/>
    </row>
    <row r="387" spans="1:21" x14ac:dyDescent="0.15">
      <c r="A387" s="62" t="s">
        <v>395</v>
      </c>
    </row>
    <row r="388" spans="1:21" ht="15.75" x14ac:dyDescent="0.15">
      <c r="A388" s="200" t="s">
        <v>486</v>
      </c>
      <c r="B388" s="606">
        <v>-45</v>
      </c>
      <c r="C388" s="606">
        <v>-45</v>
      </c>
      <c r="D388" s="606">
        <v>-45</v>
      </c>
      <c r="E388" s="606">
        <v>-45</v>
      </c>
      <c r="F388" s="606">
        <v>-45</v>
      </c>
      <c r="G388" s="606">
        <v>-45</v>
      </c>
      <c r="H388" s="606"/>
      <c r="I388" s="606"/>
      <c r="J388" s="606"/>
      <c r="K388" s="606"/>
      <c r="L388" s="606"/>
      <c r="M388" s="606"/>
      <c r="N388" s="604">
        <f t="shared" ref="N388:N395" si="192">AVERAGE(B388:M388)</f>
        <v>-45</v>
      </c>
    </row>
    <row r="389" spans="1:21" ht="15.75" x14ac:dyDescent="0.15">
      <c r="A389" s="200" t="s">
        <v>487</v>
      </c>
      <c r="B389" s="606">
        <f>-139-42-7-10-4</f>
        <v>-202</v>
      </c>
      <c r="C389" s="606">
        <f>-138-42-7-10--4</f>
        <v>-193</v>
      </c>
      <c r="D389" s="606">
        <f>-138-42-7-10-4</f>
        <v>-201</v>
      </c>
      <c r="E389" s="606">
        <f>-108-72-7-10-4</f>
        <v>-201</v>
      </c>
      <c r="F389" s="606">
        <f>-(108+72+7+10+4)</f>
        <v>-201</v>
      </c>
      <c r="G389" s="606">
        <f>-108-72-7-10-4</f>
        <v>-201</v>
      </c>
      <c r="H389" s="606"/>
      <c r="I389" s="606"/>
      <c r="J389" s="606"/>
      <c r="K389" s="606"/>
      <c r="L389" s="606"/>
      <c r="M389" s="606"/>
      <c r="N389" s="604">
        <f t="shared" si="192"/>
        <v>-199.83333333333334</v>
      </c>
    </row>
    <row r="390" spans="1:21" ht="15.75" x14ac:dyDescent="0.15">
      <c r="A390" s="200" t="s">
        <v>488</v>
      </c>
      <c r="B390" s="606">
        <v>-10</v>
      </c>
      <c r="C390" s="606">
        <v>-10</v>
      </c>
      <c r="D390" s="606">
        <v>-10</v>
      </c>
      <c r="E390" s="606">
        <v>-10</v>
      </c>
      <c r="F390" s="607">
        <v>-10</v>
      </c>
      <c r="G390" s="606">
        <v>-10</v>
      </c>
      <c r="H390" s="606"/>
      <c r="I390" s="606"/>
      <c r="J390" s="606"/>
      <c r="K390" s="606"/>
      <c r="L390" s="606"/>
      <c r="M390" s="606"/>
      <c r="N390" s="604">
        <f t="shared" si="192"/>
        <v>-10</v>
      </c>
    </row>
    <row r="391" spans="1:21" ht="15.75" x14ac:dyDescent="0.15">
      <c r="A391" s="62" t="s">
        <v>490</v>
      </c>
      <c r="B391" s="606">
        <f t="shared" ref="B391:G391" si="193">SUM(B388:B390)</f>
        <v>-257</v>
      </c>
      <c r="C391" s="606">
        <f t="shared" si="193"/>
        <v>-248</v>
      </c>
      <c r="D391" s="606">
        <f t="shared" si="193"/>
        <v>-256</v>
      </c>
      <c r="E391" s="606">
        <f t="shared" si="193"/>
        <v>-256</v>
      </c>
      <c r="F391" s="606">
        <f t="shared" si="193"/>
        <v>-256</v>
      </c>
      <c r="G391" s="606">
        <f t="shared" si="193"/>
        <v>-256</v>
      </c>
      <c r="H391" s="606"/>
      <c r="I391" s="606"/>
      <c r="J391" s="606"/>
      <c r="K391" s="606"/>
      <c r="L391" s="606"/>
      <c r="M391" s="606"/>
      <c r="N391" s="604">
        <f t="shared" si="192"/>
        <v>-254.83333333333334</v>
      </c>
    </row>
    <row r="392" spans="1:21" ht="15.75" x14ac:dyDescent="0.15">
      <c r="A392" s="62"/>
      <c r="B392" s="606"/>
      <c r="C392" s="606"/>
      <c r="D392" s="606"/>
      <c r="E392" s="606"/>
      <c r="F392" s="606"/>
      <c r="G392" s="606"/>
      <c r="H392" s="606"/>
      <c r="I392" s="606"/>
      <c r="J392" s="606"/>
      <c r="K392" s="606"/>
      <c r="L392" s="606"/>
      <c r="M392" s="606"/>
      <c r="N392" s="604"/>
    </row>
    <row r="393" spans="1:21" ht="15.75" x14ac:dyDescent="0.15">
      <c r="A393" s="62" t="s">
        <v>492</v>
      </c>
      <c r="B393" s="606">
        <v>-237</v>
      </c>
      <c r="C393" s="606">
        <v>-887</v>
      </c>
      <c r="D393" s="606">
        <v>-170</v>
      </c>
      <c r="E393" s="606">
        <v>816</v>
      </c>
      <c r="F393" s="606">
        <v>0</v>
      </c>
      <c r="G393" s="606">
        <v>0</v>
      </c>
      <c r="H393" s="606"/>
      <c r="I393" s="606"/>
      <c r="J393" s="606"/>
      <c r="K393" s="606"/>
      <c r="L393" s="606"/>
      <c r="M393" s="606"/>
      <c r="N393" s="604">
        <f t="shared" si="192"/>
        <v>-79.666666666666671</v>
      </c>
    </row>
    <row r="394" spans="1:21" ht="15.75" x14ac:dyDescent="0.15">
      <c r="A394" s="62" t="s">
        <v>494</v>
      </c>
      <c r="B394" s="606">
        <v>24</v>
      </c>
      <c r="C394" s="606">
        <v>24</v>
      </c>
      <c r="D394" s="606">
        <v>24</v>
      </c>
      <c r="E394" s="606">
        <f>23</f>
        <v>23</v>
      </c>
      <c r="F394" s="607">
        <v>77</v>
      </c>
      <c r="G394" s="606">
        <v>24</v>
      </c>
      <c r="H394" s="606"/>
      <c r="I394" s="606"/>
      <c r="J394" s="606"/>
      <c r="K394" s="606"/>
      <c r="L394" s="606"/>
      <c r="M394" s="606"/>
      <c r="N394" s="604">
        <f t="shared" si="192"/>
        <v>32.666666666666664</v>
      </c>
    </row>
    <row r="395" spans="1:21" ht="15.75" x14ac:dyDescent="0.15">
      <c r="A395" s="62" t="s">
        <v>493</v>
      </c>
      <c r="B395" s="606">
        <f t="shared" ref="B395:G395" si="194">B391+B393+B394</f>
        <v>-470</v>
      </c>
      <c r="C395" s="606">
        <f t="shared" si="194"/>
        <v>-1111</v>
      </c>
      <c r="D395" s="606">
        <f t="shared" si="194"/>
        <v>-402</v>
      </c>
      <c r="E395" s="606">
        <f t="shared" si="194"/>
        <v>583</v>
      </c>
      <c r="F395" s="606">
        <f t="shared" si="194"/>
        <v>-179</v>
      </c>
      <c r="G395" s="606">
        <f t="shared" si="194"/>
        <v>-232</v>
      </c>
      <c r="H395" s="606"/>
      <c r="I395" s="606"/>
      <c r="J395" s="606"/>
      <c r="K395" s="606"/>
      <c r="L395" s="606"/>
      <c r="M395" s="606"/>
      <c r="N395" s="604">
        <f t="shared" si="192"/>
        <v>-301.83333333333331</v>
      </c>
    </row>
    <row r="396" spans="1:21" ht="15.75" x14ac:dyDescent="0.15">
      <c r="A396" s="62"/>
      <c r="B396" s="606"/>
      <c r="C396" s="606"/>
      <c r="D396" s="606"/>
      <c r="E396" s="606"/>
      <c r="F396" s="606"/>
      <c r="G396" s="606"/>
      <c r="H396" s="606"/>
      <c r="I396" s="606"/>
      <c r="J396" s="606"/>
      <c r="K396" s="606"/>
      <c r="L396" s="606"/>
      <c r="M396" s="606"/>
      <c r="N396" s="604"/>
    </row>
    <row r="397" spans="1:21" ht="15.75" x14ac:dyDescent="0.15">
      <c r="A397" s="62" t="s">
        <v>495</v>
      </c>
      <c r="B397" s="608">
        <f t="shared" ref="B397:G397" si="195">B309+B395</f>
        <v>17830</v>
      </c>
      <c r="C397" s="608">
        <f t="shared" si="195"/>
        <v>21456.634999999998</v>
      </c>
      <c r="D397" s="608">
        <f t="shared" si="195"/>
        <v>9218.9580000000005</v>
      </c>
      <c r="E397" s="608">
        <f t="shared" si="195"/>
        <v>18059.099999999999</v>
      </c>
      <c r="F397" s="608">
        <f t="shared" si="195"/>
        <v>18413.758000000005</v>
      </c>
      <c r="G397" s="608">
        <f t="shared" si="195"/>
        <v>16576.439999999999</v>
      </c>
      <c r="H397" s="606"/>
      <c r="I397" s="606"/>
      <c r="J397" s="606"/>
      <c r="K397" s="606"/>
      <c r="L397" s="606"/>
      <c r="M397" s="606"/>
      <c r="N397" s="605">
        <f>SUM(B397:M397)</f>
        <v>101554.891</v>
      </c>
    </row>
    <row r="398" spans="1:21" ht="15.75" x14ac:dyDescent="0.15">
      <c r="A398" s="62" t="s">
        <v>489</v>
      </c>
      <c r="B398" s="606">
        <v>17832</v>
      </c>
      <c r="C398" s="606">
        <v>21448</v>
      </c>
      <c r="D398" s="606">
        <v>9217</v>
      </c>
      <c r="E398" s="606">
        <v>18060</v>
      </c>
      <c r="F398" s="606">
        <v>18414</v>
      </c>
      <c r="G398" s="606">
        <v>16577</v>
      </c>
      <c r="H398" s="606"/>
      <c r="I398" s="606"/>
      <c r="J398" s="606"/>
      <c r="K398" s="606"/>
      <c r="L398" s="606"/>
      <c r="M398" s="606"/>
      <c r="N398" s="605">
        <f>SUM(B398:M398)</f>
        <v>101548</v>
      </c>
    </row>
    <row r="399" spans="1:21" ht="15.75" x14ac:dyDescent="0.15">
      <c r="A399" s="200" t="s">
        <v>491</v>
      </c>
      <c r="B399" s="608">
        <f t="shared" ref="B399:G399" si="196">B398-B397</f>
        <v>2</v>
      </c>
      <c r="C399" s="608">
        <f t="shared" si="196"/>
        <v>-8.6349999999983993</v>
      </c>
      <c r="D399" s="608">
        <f t="shared" si="196"/>
        <v>-1.9580000000005384</v>
      </c>
      <c r="E399" s="608">
        <f t="shared" si="196"/>
        <v>0.90000000000145519</v>
      </c>
      <c r="F399" s="608">
        <f t="shared" si="196"/>
        <v>0.24199999999473221</v>
      </c>
      <c r="G399" s="608">
        <f t="shared" si="196"/>
        <v>0.56000000000130967</v>
      </c>
      <c r="H399" s="606"/>
      <c r="I399" s="606"/>
      <c r="J399" s="606"/>
      <c r="K399" s="606"/>
      <c r="L399" s="606"/>
      <c r="M399" s="606"/>
      <c r="N399" s="605">
        <v>84967</v>
      </c>
    </row>
    <row r="400" spans="1:21" ht="15.75" x14ac:dyDescent="0.15">
      <c r="B400" s="606"/>
      <c r="C400" s="606"/>
      <c r="D400" s="606"/>
      <c r="E400" s="606">
        <f>SUM(B398:D398)</f>
        <v>48497</v>
      </c>
      <c r="F400" s="606">
        <f>SUM(B398:E398)</f>
        <v>66557</v>
      </c>
      <c r="G400" s="606">
        <f>SUM(B398:F398)</f>
        <v>84971</v>
      </c>
      <c r="H400" s="606"/>
      <c r="I400" s="606"/>
      <c r="J400" s="606"/>
      <c r="K400" s="606"/>
      <c r="L400" s="606"/>
      <c r="M400" s="606"/>
      <c r="N400" s="605">
        <f>N399-N398</f>
        <v>-16581</v>
      </c>
    </row>
    <row r="401" spans="2:14" ht="15.75" x14ac:dyDescent="0.15">
      <c r="B401" s="606"/>
      <c r="C401" s="606"/>
      <c r="D401" s="606"/>
      <c r="E401" s="606"/>
      <c r="F401" s="606"/>
      <c r="G401" s="606"/>
      <c r="H401" s="606"/>
      <c r="I401" s="606"/>
      <c r="J401" s="606"/>
      <c r="K401" s="606"/>
      <c r="L401" s="606"/>
      <c r="M401" s="606"/>
      <c r="N401" s="605">
        <f>N397-N399</f>
        <v>16587.891000000003</v>
      </c>
    </row>
  </sheetData>
  <phoneticPr fontId="6" type="noConversion"/>
  <printOptions horizontalCentered="1" headings="1"/>
  <pageMargins left="0.5" right="0.5" top="0.5" bottom="1" header="0.5" footer="0.5"/>
  <pageSetup scale="57" fitToHeight="11" orientation="landscape" horizontalDpi="300" verticalDpi="300" r:id="rId1"/>
  <headerFooter alignWithMargins="0">
    <oddFooter>Page &amp;P of &amp;N</oddFooter>
  </headerFooter>
  <rowBreaks count="14" manualBreakCount="14">
    <brk id="75" max="18" man="1"/>
    <brk id="117" max="18" man="1"/>
    <brk id="184" max="18" man="1"/>
    <brk id="254" max="18" man="1"/>
    <brk id="294" max="18" man="1"/>
    <brk id="346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7"/>
  <sheetViews>
    <sheetView zoomScale="75" workbookViewId="0">
      <selection activeCell="C11" sqref="C11"/>
    </sheetView>
  </sheetViews>
  <sheetFormatPr defaultRowHeight="18" x14ac:dyDescent="0.15"/>
  <cols>
    <col min="1" max="1" width="79.59765625" style="38" customWidth="1"/>
    <col min="2" max="2" width="2.3984375" style="38" customWidth="1"/>
    <col min="3" max="3" width="11" style="38" customWidth="1"/>
    <col min="4" max="4" width="2.3984375" style="38" customWidth="1"/>
    <col min="5" max="5" width="15.19921875" style="38" customWidth="1"/>
    <col min="6" max="6" width="2.59765625" style="38" customWidth="1"/>
    <col min="7" max="7" width="16.59765625" style="38" customWidth="1"/>
    <col min="8" max="8" width="2.796875" style="38" customWidth="1"/>
    <col min="9" max="9" width="12.3984375" style="38" customWidth="1"/>
    <col min="10" max="10" width="1.3984375" style="38" customWidth="1"/>
    <col min="11" max="11" width="17.59765625" style="38" customWidth="1"/>
    <col min="12" max="12" width="2" style="38" customWidth="1"/>
    <col min="13" max="13" width="17.3984375" style="38" customWidth="1"/>
    <col min="14" max="14" width="2.59765625" style="38" customWidth="1"/>
    <col min="15" max="15" width="11.19921875" style="38" customWidth="1"/>
    <col min="16" max="16" width="2" style="38" customWidth="1"/>
    <col min="17" max="17" width="15.59765625" style="38" customWidth="1"/>
    <col min="18" max="18" width="1.59765625" style="38" customWidth="1"/>
    <col min="19" max="19" width="16.19921875" style="38" customWidth="1"/>
    <col min="20" max="20" width="2.59765625" style="38" customWidth="1"/>
    <col min="21" max="16384" width="9.59765625" style="38"/>
  </cols>
  <sheetData>
    <row r="1" spans="1:20" x14ac:dyDescent="0.15">
      <c r="A1" s="36" t="s">
        <v>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x14ac:dyDescent="0.15">
      <c r="A2" s="36" t="s">
        <v>152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</row>
    <row r="3" spans="1:20" x14ac:dyDescent="0.15">
      <c r="A3" s="36" t="s">
        <v>153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</row>
    <row r="4" spans="1:20" x14ac:dyDescent="0.15">
      <c r="A4" s="36" t="s">
        <v>154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1:20" x14ac:dyDescent="0.15">
      <c r="A5" s="36"/>
    </row>
    <row r="6" spans="1:20" x14ac:dyDescent="0.15">
      <c r="A6" s="36"/>
    </row>
    <row r="7" spans="1:20" x14ac:dyDescent="0.15">
      <c r="C7" s="45"/>
      <c r="D7" s="46"/>
      <c r="E7" s="47">
        <v>1998</v>
      </c>
      <c r="F7" s="46"/>
      <c r="G7" s="48">
        <v>365</v>
      </c>
      <c r="I7" s="45"/>
      <c r="J7" s="46"/>
      <c r="K7" s="47">
        <v>1999</v>
      </c>
      <c r="L7" s="46"/>
      <c r="M7" s="48">
        <v>365</v>
      </c>
      <c r="O7" s="45"/>
      <c r="P7" s="46"/>
      <c r="Q7" s="47">
        <v>2000</v>
      </c>
      <c r="R7" s="46"/>
      <c r="S7" s="48">
        <v>365</v>
      </c>
    </row>
    <row r="8" spans="1:20" x14ac:dyDescent="0.15">
      <c r="C8" s="49" t="s">
        <v>155</v>
      </c>
      <c r="D8" s="50"/>
      <c r="E8" s="41" t="s">
        <v>156</v>
      </c>
      <c r="F8" s="50"/>
      <c r="G8" s="51" t="s">
        <v>157</v>
      </c>
      <c r="I8" s="49" t="s">
        <v>155</v>
      </c>
      <c r="J8" s="50"/>
      <c r="K8" s="41" t="s">
        <v>156</v>
      </c>
      <c r="L8" s="50"/>
      <c r="M8" s="51" t="s">
        <v>157</v>
      </c>
      <c r="O8" s="49" t="s">
        <v>155</v>
      </c>
      <c r="P8" s="50"/>
      <c r="Q8" s="41" t="s">
        <v>156</v>
      </c>
      <c r="R8" s="50"/>
      <c r="S8" s="51" t="s">
        <v>157</v>
      </c>
    </row>
    <row r="9" spans="1:20" x14ac:dyDescent="0.15">
      <c r="A9" s="38" t="s">
        <v>158</v>
      </c>
      <c r="C9" s="52"/>
      <c r="D9" s="40"/>
      <c r="E9" s="40"/>
      <c r="F9" s="40"/>
      <c r="G9" s="53"/>
      <c r="I9" s="52"/>
      <c r="J9" s="40"/>
      <c r="K9" s="40"/>
      <c r="L9" s="40"/>
      <c r="M9" s="53"/>
      <c r="O9" s="52"/>
      <c r="P9" s="40"/>
      <c r="Q9" s="40"/>
      <c r="R9" s="40"/>
      <c r="S9" s="53"/>
    </row>
    <row r="10" spans="1:20" x14ac:dyDescent="0.15">
      <c r="C10" s="52"/>
      <c r="D10" s="40"/>
      <c r="E10" s="40"/>
      <c r="F10" s="40"/>
      <c r="G10" s="53"/>
      <c r="I10" s="54"/>
      <c r="J10" s="56"/>
      <c r="K10" s="56"/>
      <c r="L10" s="40"/>
      <c r="M10" s="53"/>
      <c r="O10" s="52"/>
      <c r="P10" s="40"/>
      <c r="Q10" s="40"/>
      <c r="R10" s="40"/>
      <c r="S10" s="53"/>
    </row>
    <row r="11" spans="1:20" x14ac:dyDescent="0.15">
      <c r="A11" s="38" t="s">
        <v>159</v>
      </c>
      <c r="C11" s="54">
        <f>79.1</f>
        <v>79.099999999999994</v>
      </c>
      <c r="D11" s="55"/>
      <c r="E11" s="56">
        <f>2873.8</f>
        <v>2873.8</v>
      </c>
      <c r="F11" s="40"/>
      <c r="G11" s="57">
        <f>E11/C11/$G$7</f>
        <v>9.9537606289939934E-2</v>
      </c>
      <c r="I11" s="54">
        <f>105</f>
        <v>105</v>
      </c>
      <c r="J11" s="56"/>
      <c r="K11" s="56">
        <f>3814</f>
        <v>3814</v>
      </c>
      <c r="L11" s="40"/>
      <c r="M11" s="57">
        <f>K11/I11/$M$7</f>
        <v>9.9517286366601426E-2</v>
      </c>
      <c r="O11" s="54">
        <f>105</f>
        <v>105</v>
      </c>
      <c r="P11" s="56"/>
      <c r="Q11" s="56">
        <f>3814</f>
        <v>3814</v>
      </c>
      <c r="R11" s="40"/>
      <c r="S11" s="57">
        <f>Q11/O11/$S$7</f>
        <v>9.9517286366601426E-2</v>
      </c>
    </row>
    <row r="12" spans="1:20" x14ac:dyDescent="0.15">
      <c r="A12" s="38" t="s">
        <v>160</v>
      </c>
      <c r="C12" s="54">
        <f>21.9</f>
        <v>21.9</v>
      </c>
      <c r="D12" s="55"/>
      <c r="E12" s="56">
        <f>854.4+59+48.1+144.4</f>
        <v>1105.9000000000001</v>
      </c>
      <c r="F12" s="40"/>
      <c r="G12" s="57">
        <f>E12/C12/$G$7</f>
        <v>0.13834990930130733</v>
      </c>
      <c r="I12" s="54">
        <f>21.9</f>
        <v>21.9</v>
      </c>
      <c r="J12" s="56"/>
      <c r="K12" s="56">
        <f>854.4+59+48.1+144.4</f>
        <v>1105.9000000000001</v>
      </c>
      <c r="L12" s="40"/>
      <c r="M12" s="57">
        <f>K12/I12/$M$7</f>
        <v>0.13834990930130733</v>
      </c>
      <c r="O12" s="54">
        <f>21.9</f>
        <v>21.9</v>
      </c>
      <c r="P12" s="56"/>
      <c r="Q12" s="56">
        <f>854.4+59+48.1+144.4</f>
        <v>1105.9000000000001</v>
      </c>
      <c r="R12" s="40"/>
      <c r="S12" s="57">
        <f>Q12/O12/$S$7</f>
        <v>0.13834990930130733</v>
      </c>
    </row>
    <row r="13" spans="1:20" x14ac:dyDescent="0.15">
      <c r="A13" s="38" t="s">
        <v>161</v>
      </c>
      <c r="C13" s="54">
        <f>18.8</f>
        <v>18.8</v>
      </c>
      <c r="D13" s="55"/>
      <c r="E13" s="56">
        <f>550</f>
        <v>550</v>
      </c>
      <c r="F13" s="40"/>
      <c r="G13" s="57">
        <f>E13/C13/$G$7</f>
        <v>8.0151559312153897E-2</v>
      </c>
      <c r="I13" s="54">
        <f>75</f>
        <v>75</v>
      </c>
      <c r="J13" s="56"/>
      <c r="K13" s="56">
        <f>1745</f>
        <v>1745</v>
      </c>
      <c r="L13" s="40"/>
      <c r="M13" s="57">
        <f>K13/I13/$M$7</f>
        <v>6.3744292237442921E-2</v>
      </c>
      <c r="O13" s="54">
        <f>125</f>
        <v>125</v>
      </c>
      <c r="P13" s="56"/>
      <c r="Q13" s="56">
        <f>2762</f>
        <v>2762</v>
      </c>
      <c r="R13" s="40"/>
      <c r="S13" s="57">
        <f>Q13/O13/$S$7</f>
        <v>6.0536986301369861E-2</v>
      </c>
    </row>
    <row r="14" spans="1:20" x14ac:dyDescent="0.15">
      <c r="C14" s="54"/>
      <c r="D14" s="55"/>
      <c r="E14" s="56"/>
      <c r="F14" s="40"/>
      <c r="G14" s="53"/>
      <c r="I14" s="54"/>
      <c r="J14" s="56"/>
      <c r="K14" s="56"/>
      <c r="L14" s="40"/>
      <c r="M14" s="53"/>
      <c r="O14" s="54"/>
      <c r="P14" s="56"/>
      <c r="Q14" s="56"/>
      <c r="R14" s="40"/>
      <c r="S14" s="53"/>
    </row>
    <row r="15" spans="1:20" x14ac:dyDescent="0.15">
      <c r="A15" s="38" t="s">
        <v>162</v>
      </c>
      <c r="C15" s="54">
        <f>207</f>
        <v>207</v>
      </c>
      <c r="D15" s="55"/>
      <c r="E15" s="56">
        <f>10958.4</f>
        <v>10958.4</v>
      </c>
      <c r="F15" s="40"/>
      <c r="G15" s="57">
        <f>E15/C15/$G$7</f>
        <v>0.14503871351995234</v>
      </c>
      <c r="I15" s="54">
        <f>207</f>
        <v>207</v>
      </c>
      <c r="J15" s="56"/>
      <c r="K15" s="56">
        <f>10957</f>
        <v>10957</v>
      </c>
      <c r="L15" s="40"/>
      <c r="M15" s="57">
        <f>K15/I15/$M$7</f>
        <v>0.14502018397194097</v>
      </c>
      <c r="O15" s="54">
        <f>207</f>
        <v>207</v>
      </c>
      <c r="P15" s="56"/>
      <c r="Q15" s="56">
        <f>10965</f>
        <v>10965</v>
      </c>
      <c r="R15" s="40"/>
      <c r="S15" s="57">
        <f>Q15/O15/$S$7</f>
        <v>0.14512606710343459</v>
      </c>
    </row>
    <row r="16" spans="1:20" x14ac:dyDescent="0.15">
      <c r="C16" s="54"/>
      <c r="D16" s="55"/>
      <c r="E16" s="56"/>
      <c r="F16" s="40"/>
      <c r="G16" s="57"/>
      <c r="I16" s="54"/>
      <c r="J16" s="56"/>
      <c r="K16" s="56"/>
      <c r="L16" s="40"/>
      <c r="M16" s="57"/>
      <c r="O16" s="54"/>
      <c r="P16" s="56"/>
      <c r="Q16" s="56"/>
      <c r="R16" s="40"/>
      <c r="S16" s="57"/>
    </row>
    <row r="17" spans="1:19" x14ac:dyDescent="0.15">
      <c r="A17" s="38" t="s">
        <v>163</v>
      </c>
      <c r="C17" s="54">
        <f>899.2-198.6-8.4</f>
        <v>692.2</v>
      </c>
      <c r="D17" s="55"/>
      <c r="E17" s="56">
        <f>34524-E15</f>
        <v>23565.599999999999</v>
      </c>
      <c r="F17" s="40"/>
      <c r="G17" s="57">
        <f>E17/C17/$G$7</f>
        <v>9.3272591261532603E-2</v>
      </c>
      <c r="I17" s="54">
        <f>932.5-207</f>
        <v>725.5</v>
      </c>
      <c r="J17" s="56"/>
      <c r="K17" s="56">
        <f>35600-K15</f>
        <v>24643</v>
      </c>
      <c r="L17" s="40"/>
      <c r="M17" s="57">
        <f>K17/I17/$M$7</f>
        <v>9.3060053057409636E-2</v>
      </c>
      <c r="O17" s="54">
        <f>932.5-207</f>
        <v>725.5</v>
      </c>
      <c r="P17" s="56"/>
      <c r="Q17" s="56">
        <f>35318-Q15</f>
        <v>24353</v>
      </c>
      <c r="R17" s="40"/>
      <c r="S17" s="57">
        <f>Q17/O17/$S$7</f>
        <v>9.1964917912068206E-2</v>
      </c>
    </row>
    <row r="18" spans="1:19" x14ac:dyDescent="0.15">
      <c r="C18" s="58"/>
      <c r="D18" s="59"/>
      <c r="E18" s="60"/>
      <c r="F18" s="39"/>
      <c r="G18" s="61"/>
      <c r="I18" s="58"/>
      <c r="J18" s="60"/>
      <c r="K18" s="60"/>
      <c r="L18" s="39"/>
      <c r="M18" s="61"/>
      <c r="O18" s="58"/>
      <c r="P18" s="60"/>
      <c r="Q18" s="60"/>
      <c r="R18" s="39"/>
      <c r="S18" s="61"/>
    </row>
    <row r="19" spans="1:19" x14ac:dyDescent="0.15">
      <c r="A19" s="35" t="str">
        <f ca="1">CELL("FILENAME")</f>
        <v>C:\Users\Felienne\Enron\EnronSpreadsheets\[tracy_geaccone__40543__CE 3-2001.xls]Model_source_data</v>
      </c>
      <c r="C19" s="43"/>
      <c r="D19" s="42"/>
      <c r="E19" s="43"/>
      <c r="I19" s="43"/>
      <c r="J19" s="43"/>
      <c r="K19" s="43"/>
      <c r="O19" s="43"/>
      <c r="P19" s="43"/>
      <c r="Q19" s="43"/>
    </row>
    <row r="20" spans="1:19" x14ac:dyDescent="0.15">
      <c r="C20" s="43"/>
      <c r="D20" s="42"/>
      <c r="E20" s="43"/>
      <c r="O20" s="43"/>
      <c r="P20" s="43"/>
      <c r="Q20" s="43"/>
    </row>
    <row r="21" spans="1:19" x14ac:dyDescent="0.15">
      <c r="C21" s="43"/>
      <c r="D21" s="42"/>
      <c r="E21" s="43"/>
      <c r="O21" s="43"/>
      <c r="P21" s="43"/>
      <c r="Q21" s="43"/>
    </row>
    <row r="22" spans="1:19" x14ac:dyDescent="0.15">
      <c r="C22" s="43"/>
      <c r="D22" s="42"/>
      <c r="E22" s="43"/>
    </row>
    <row r="23" spans="1:19" x14ac:dyDescent="0.15">
      <c r="C23" s="43"/>
      <c r="D23" s="42"/>
      <c r="E23" s="43"/>
    </row>
    <row r="24" spans="1:19" x14ac:dyDescent="0.15">
      <c r="C24" s="43"/>
      <c r="D24" s="42"/>
      <c r="E24" s="43"/>
    </row>
    <row r="25" spans="1:19" x14ac:dyDescent="0.15">
      <c r="C25" s="44"/>
      <c r="E25" s="44"/>
    </row>
    <row r="26" spans="1:19" x14ac:dyDescent="0.15">
      <c r="C26" s="44"/>
    </row>
    <row r="27" spans="1:19" x14ac:dyDescent="0.15">
      <c r="C27" s="44"/>
    </row>
  </sheetData>
  <phoneticPr fontId="6" type="noConversion"/>
  <printOptions horizontalCentered="1"/>
  <pageMargins left="0.25" right="0.25" top="0.75" bottom="0.25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145"/>
  <sheetViews>
    <sheetView topLeftCell="A51" zoomScale="75" workbookViewId="0">
      <selection activeCell="J69" sqref="J69"/>
    </sheetView>
  </sheetViews>
  <sheetFormatPr defaultRowHeight="12.75" x14ac:dyDescent="0.15"/>
  <cols>
    <col min="1" max="1" width="61.796875" style="510" customWidth="1"/>
    <col min="2" max="2" width="3" style="510" customWidth="1"/>
    <col min="3" max="14" width="14.19921875" style="510" customWidth="1"/>
    <col min="15" max="15" width="18" style="510" customWidth="1"/>
    <col min="16" max="16" width="3.3984375" style="510" customWidth="1"/>
    <col min="17" max="17" width="22.19921875" style="239" customWidth="1"/>
    <col min="18" max="18" width="19.19921875" style="239" customWidth="1"/>
    <col min="19" max="16384" width="9.59765625" style="510"/>
  </cols>
  <sheetData>
    <row r="1" spans="1:19" s="502" customFormat="1" x14ac:dyDescent="0.15">
      <c r="C1" s="502">
        <v>31</v>
      </c>
      <c r="D1" s="502">
        <v>28</v>
      </c>
      <c r="E1" s="502">
        <v>31</v>
      </c>
      <c r="F1" s="502">
        <v>30</v>
      </c>
      <c r="G1" s="502">
        <v>31</v>
      </c>
      <c r="H1" s="502">
        <v>30</v>
      </c>
      <c r="I1" s="502">
        <v>31</v>
      </c>
      <c r="J1" s="502">
        <v>31</v>
      </c>
      <c r="K1" s="502">
        <v>30</v>
      </c>
      <c r="L1" s="502">
        <v>31</v>
      </c>
      <c r="M1" s="502">
        <v>30</v>
      </c>
      <c r="N1" s="502">
        <v>31</v>
      </c>
      <c r="O1" s="502">
        <v>365</v>
      </c>
      <c r="Q1" s="239">
        <v>365</v>
      </c>
      <c r="R1" s="239">
        <v>365</v>
      </c>
    </row>
    <row r="2" spans="1:19" x14ac:dyDescent="0.15">
      <c r="A2" s="503" t="s">
        <v>359</v>
      </c>
    </row>
    <row r="3" spans="1:19" x14ac:dyDescent="0.15">
      <c r="A3" s="503" t="s">
        <v>405</v>
      </c>
    </row>
    <row r="5" spans="1:19" x14ac:dyDescent="0.15">
      <c r="C5" s="511"/>
      <c r="D5" s="511"/>
      <c r="E5" s="511"/>
      <c r="F5" s="511"/>
      <c r="G5" s="511"/>
      <c r="H5" s="511"/>
      <c r="I5" s="511"/>
      <c r="J5" s="511"/>
      <c r="K5" s="511"/>
    </row>
    <row r="6" spans="1:19" ht="13.5" thickBot="1" x14ac:dyDescent="0.25">
      <c r="C6" s="504" t="s">
        <v>164</v>
      </c>
      <c r="D6" s="504" t="s">
        <v>165</v>
      </c>
      <c r="E6" s="504" t="s">
        <v>166</v>
      </c>
      <c r="F6" s="504" t="s">
        <v>167</v>
      </c>
      <c r="G6" s="504" t="s">
        <v>168</v>
      </c>
      <c r="H6" s="504" t="s">
        <v>169</v>
      </c>
      <c r="I6" s="504" t="s">
        <v>170</v>
      </c>
      <c r="J6" s="504" t="s">
        <v>171</v>
      </c>
      <c r="K6" s="504" t="s">
        <v>172</v>
      </c>
      <c r="L6" s="504" t="s">
        <v>173</v>
      </c>
      <c r="M6" s="504" t="s">
        <v>174</v>
      </c>
      <c r="N6" s="504" t="s">
        <v>175</v>
      </c>
      <c r="O6" s="504" t="s">
        <v>176</v>
      </c>
      <c r="P6" s="504"/>
      <c r="Q6" s="504">
        <v>2002</v>
      </c>
      <c r="R6" s="504">
        <v>2003</v>
      </c>
      <c r="S6" s="504"/>
    </row>
    <row r="7" spans="1:19" ht="13.5" thickBot="1" x14ac:dyDescent="0.25">
      <c r="A7" s="505" t="s">
        <v>473</v>
      </c>
    </row>
    <row r="8" spans="1:19" x14ac:dyDescent="0.15">
      <c r="A8" s="239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</row>
    <row r="9" spans="1:19" x14ac:dyDescent="0.15">
      <c r="A9" s="239" t="s">
        <v>406</v>
      </c>
      <c r="B9" s="239"/>
      <c r="C9" s="449">
        <v>2468.6</v>
      </c>
      <c r="D9" s="449">
        <v>2430.3000000000002</v>
      </c>
      <c r="E9" s="449">
        <v>2396</v>
      </c>
      <c r="F9" s="449">
        <v>2343.5</v>
      </c>
      <c r="G9" s="449">
        <v>2411.9</v>
      </c>
      <c r="H9" s="449">
        <v>2416.3000000000002</v>
      </c>
      <c r="I9" s="449">
        <v>2240.1999999999998</v>
      </c>
      <c r="J9" s="449">
        <v>2268.3000000000002</v>
      </c>
      <c r="K9" s="449">
        <v>2234.6</v>
      </c>
      <c r="L9" s="449">
        <v>2356</v>
      </c>
      <c r="M9" s="449">
        <v>2390.5</v>
      </c>
      <c r="N9" s="449">
        <v>2424.4</v>
      </c>
      <c r="O9" s="449"/>
    </row>
    <row r="10" spans="1:19" x14ac:dyDescent="0.15">
      <c r="A10" s="239"/>
      <c r="B10" s="239"/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</row>
    <row r="11" spans="1:19" x14ac:dyDescent="0.15">
      <c r="A11" s="506" t="s">
        <v>407</v>
      </c>
      <c r="B11" s="239"/>
      <c r="C11" s="239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</row>
    <row r="12" spans="1:19" x14ac:dyDescent="0.15">
      <c r="A12" s="239" t="s">
        <v>408</v>
      </c>
      <c r="B12" s="239"/>
      <c r="C12" s="512">
        <f>Forecast01!B25</f>
        <v>429.08499999999998</v>
      </c>
      <c r="D12" s="512">
        <f>Forecast01!C25</f>
        <v>413.94200000000001</v>
      </c>
      <c r="E12" s="512">
        <f>Forecast01!D25</f>
        <v>416.3</v>
      </c>
      <c r="F12" s="512">
        <f>Forecast01!E25</f>
        <v>318.39999999999998</v>
      </c>
      <c r="G12" s="512">
        <f>Forecast01!F25</f>
        <v>343.4</v>
      </c>
      <c r="H12" s="512">
        <f>Forecast01!G25</f>
        <v>363.4</v>
      </c>
      <c r="I12" s="512">
        <f>Forecast01!H25</f>
        <v>369.90000000000003</v>
      </c>
      <c r="J12" s="512">
        <f>Forecast01!I25</f>
        <v>387.9</v>
      </c>
      <c r="K12" s="512">
        <f>Forecast01!J25</f>
        <v>363.9</v>
      </c>
      <c r="L12" s="512">
        <f>Forecast01!K25</f>
        <v>392.29399999999998</v>
      </c>
      <c r="M12" s="512">
        <f>Forecast01!L25</f>
        <v>462.58</v>
      </c>
      <c r="N12" s="512">
        <f>Forecast01!M25</f>
        <v>422.25</v>
      </c>
      <c r="O12" s="239"/>
      <c r="Q12" s="239">
        <v>4531</v>
      </c>
      <c r="R12" s="239">
        <v>4999</v>
      </c>
    </row>
    <row r="13" spans="1:19" x14ac:dyDescent="0.15">
      <c r="A13" s="239" t="s">
        <v>409</v>
      </c>
      <c r="B13" s="239"/>
      <c r="C13" s="512">
        <f>Forecast01!B18</f>
        <v>438.59500000000003</v>
      </c>
      <c r="D13" s="512">
        <f>Forecast01!C18</f>
        <v>452.06900000000007</v>
      </c>
      <c r="E13" s="512">
        <f>Forecast01!D18</f>
        <v>437.20000000000005</v>
      </c>
      <c r="F13" s="512">
        <f>Forecast01!E18</f>
        <v>577.5</v>
      </c>
      <c r="G13" s="512">
        <f>Forecast01!F18</f>
        <v>517.1</v>
      </c>
      <c r="H13" s="512">
        <f>Forecast01!G18</f>
        <v>489.79999999999995</v>
      </c>
      <c r="I13" s="512">
        <f>Forecast01!H18</f>
        <v>485.20000000000005</v>
      </c>
      <c r="J13" s="512">
        <f>Forecast01!I18</f>
        <v>495</v>
      </c>
      <c r="K13" s="512">
        <f>Forecast01!J18</f>
        <v>449.8</v>
      </c>
      <c r="L13" s="512">
        <f>Forecast01!K18</f>
        <v>382.67580645161291</v>
      </c>
      <c r="M13" s="512">
        <f>Forecast01!L18</f>
        <v>289.5893333333334</v>
      </c>
      <c r="N13" s="512">
        <f>Forecast01!M18</f>
        <v>316.89699999999999</v>
      </c>
      <c r="O13" s="239"/>
      <c r="Q13" s="239">
        <v>4524</v>
      </c>
      <c r="R13" s="239">
        <v>4524</v>
      </c>
    </row>
    <row r="14" spans="1:19" x14ac:dyDescent="0.15">
      <c r="A14" s="239" t="s">
        <v>410</v>
      </c>
      <c r="B14" s="239"/>
      <c r="C14" s="512">
        <f>Forecast01!B32+Forecast01!B40</f>
        <v>240.94399999999999</v>
      </c>
      <c r="D14" s="512">
        <f>Forecast01!C32+Forecast01!C40</f>
        <v>253.24799999999999</v>
      </c>
      <c r="E14" s="512">
        <f>Forecast01!D32+Forecast01!D40</f>
        <v>256.39999999999998</v>
      </c>
      <c r="F14" s="512">
        <f>Forecast01!E32+Forecast01!E40</f>
        <v>207.8</v>
      </c>
      <c r="G14" s="512">
        <f>Forecast01!F32+Forecast01!F40</f>
        <v>214.60000000000002</v>
      </c>
      <c r="H14" s="512">
        <f>Forecast01!G32+Forecast01!G40</f>
        <v>219.5</v>
      </c>
      <c r="I14" s="512">
        <f>Forecast01!H32+Forecast01!H40</f>
        <v>235.4</v>
      </c>
      <c r="J14" s="512">
        <f>Forecast01!I32+Forecast01!I40</f>
        <v>223.9</v>
      </c>
      <c r="K14" s="512">
        <f>Forecast01!J32+Forecast01!J40</f>
        <v>206.5</v>
      </c>
      <c r="L14" s="512">
        <f>Forecast01!K32+Forecast01!K40</f>
        <v>225.42</v>
      </c>
      <c r="M14" s="512">
        <f>Forecast01!L32+Forecast01!L40</f>
        <v>249.6</v>
      </c>
      <c r="N14" s="512">
        <f>Forecast01!M32+Forecast01!M40</f>
        <v>259.15800000000002</v>
      </c>
      <c r="O14" s="239"/>
      <c r="Q14" s="239">
        <v>3953</v>
      </c>
      <c r="R14" s="239">
        <v>7778</v>
      </c>
    </row>
    <row r="15" spans="1:19" x14ac:dyDescent="0.15">
      <c r="A15" s="239" t="s">
        <v>440</v>
      </c>
      <c r="B15" s="239"/>
      <c r="C15" s="512">
        <f>Forecast01!B89</f>
        <v>341.15099999999995</v>
      </c>
      <c r="D15" s="512">
        <f>Forecast01!C89</f>
        <v>317.78100000000001</v>
      </c>
      <c r="E15" s="512">
        <f>Forecast01!D89</f>
        <v>301.3</v>
      </c>
      <c r="F15" s="512">
        <f>Forecast01!E89</f>
        <v>375.1</v>
      </c>
      <c r="G15" s="512">
        <f>Forecast01!F89</f>
        <v>400.4</v>
      </c>
      <c r="H15" s="512">
        <f>Forecast01!G89</f>
        <v>373.5</v>
      </c>
      <c r="I15" s="512">
        <f>Forecast01!H89</f>
        <v>247.5</v>
      </c>
      <c r="J15" s="512">
        <f>Forecast01!I89</f>
        <v>264.89999999999998</v>
      </c>
      <c r="K15" s="512">
        <f>Forecast01!J89</f>
        <v>337</v>
      </c>
      <c r="L15" s="512">
        <f>Forecast01!K89</f>
        <v>220.9665</v>
      </c>
      <c r="M15" s="512">
        <f>Forecast01!L89</f>
        <v>268.07249999999999</v>
      </c>
      <c r="N15" s="512">
        <f>Forecast01!M89</f>
        <v>417.44849999999997</v>
      </c>
      <c r="O15" s="239"/>
      <c r="Q15" s="239">
        <v>12360</v>
      </c>
      <c r="R15" s="239">
        <v>12360</v>
      </c>
    </row>
    <row r="16" spans="1:19" x14ac:dyDescent="0.15">
      <c r="A16" s="239" t="s">
        <v>441</v>
      </c>
      <c r="B16" s="239"/>
      <c r="C16" s="512">
        <f>Forecast01!B82+Forecast01!B99</f>
        <v>764.06399999999996</v>
      </c>
      <c r="D16" s="512">
        <f>Forecast01!C82+Forecast01!C99</f>
        <v>757.65</v>
      </c>
      <c r="E16" s="512">
        <f>Forecast01!D82+Forecast01!D99</f>
        <v>707.4</v>
      </c>
      <c r="F16" s="512">
        <f>Forecast01!E82+Forecast01!E99</f>
        <v>628.29999999999995</v>
      </c>
      <c r="G16" s="512">
        <f>Forecast01!F82+Forecast01!F99</f>
        <v>648.9</v>
      </c>
      <c r="H16" s="512">
        <f>Forecast01!G82+Forecast01!G99</f>
        <v>694.09999999999991</v>
      </c>
      <c r="I16" s="512">
        <f>Forecast01!H82+Forecast01!H99</f>
        <v>822.1</v>
      </c>
      <c r="J16" s="512">
        <f>Forecast01!I82+Forecast01!I99</f>
        <v>804.3</v>
      </c>
      <c r="K16" s="512">
        <f>Forecast01!J82+Forecast01!J99</f>
        <v>679.4</v>
      </c>
      <c r="L16" s="512">
        <f>Forecast01!K82+Forecast01!K99</f>
        <v>697.53899999999999</v>
      </c>
      <c r="M16" s="512">
        <f>Forecast01!L82+Forecast01!L99</f>
        <v>691.40300000000002</v>
      </c>
      <c r="N16" s="512">
        <f>Forecast01!M82+Forecast01!M99</f>
        <v>621.62699999999995</v>
      </c>
      <c r="O16" s="239"/>
    </row>
    <row r="17" spans="1:18" x14ac:dyDescent="0.15">
      <c r="A17" s="239" t="s">
        <v>411</v>
      </c>
      <c r="B17" s="239"/>
      <c r="C17" s="512">
        <f>Forecast01!B65+Forecast01!B72</f>
        <v>109.79900000000001</v>
      </c>
      <c r="D17" s="512">
        <f>Forecast01!C65+Forecast01!C72</f>
        <v>94.042999999999992</v>
      </c>
      <c r="E17" s="512">
        <f>Forecast01!D65+Forecast01!D72</f>
        <v>85.100000000000009</v>
      </c>
      <c r="F17" s="512">
        <f>Forecast01!E65+Forecast01!E72</f>
        <v>175.2</v>
      </c>
      <c r="G17" s="512">
        <f>Forecast01!F65+Forecast01!F72</f>
        <v>148.79999999999998</v>
      </c>
      <c r="H17" s="512">
        <f>Forecast01!G65+Forecast01!G72</f>
        <v>136.19999999999999</v>
      </c>
      <c r="I17" s="512">
        <f>Forecast01!H65+Forecast01!H72</f>
        <v>141.5</v>
      </c>
      <c r="J17" s="512">
        <f>Forecast01!I65+Forecast01!I72</f>
        <v>136</v>
      </c>
      <c r="K17" s="512">
        <f>Forecast01!J65+Forecast01!J72</f>
        <v>133.4</v>
      </c>
      <c r="L17" s="512">
        <f>Forecast01!K65+Forecast01!K72</f>
        <v>120.2</v>
      </c>
      <c r="M17" s="512">
        <f>Forecast01!L65+Forecast01!L72</f>
        <v>127.6</v>
      </c>
      <c r="N17" s="512">
        <f>Forecast01!M65+Forecast01!M72</f>
        <v>121.4</v>
      </c>
      <c r="O17" s="239"/>
      <c r="Q17" s="239">
        <v>0</v>
      </c>
      <c r="R17" s="239">
        <v>0</v>
      </c>
    </row>
    <row r="18" spans="1:18" x14ac:dyDescent="0.15">
      <c r="A18" s="239" t="s">
        <v>412</v>
      </c>
      <c r="B18" s="239"/>
      <c r="C18" s="550">
        <f>Forecast01!B50+Forecast01!B58</f>
        <v>226.26400000000001</v>
      </c>
      <c r="D18" s="550">
        <f>Forecast01!C50+Forecast01!C58</f>
        <v>249.815</v>
      </c>
      <c r="E18" s="550">
        <f>Forecast01!D50+Forecast01!D58</f>
        <v>273.59999999999997</v>
      </c>
      <c r="F18" s="550">
        <f>Forecast01!E50+Forecast01!E58</f>
        <v>365.24700000000001</v>
      </c>
      <c r="G18" s="550">
        <f>Forecast01!F50+Forecast01!F58</f>
        <v>345.6</v>
      </c>
      <c r="H18" s="550">
        <f>Forecast01!G50+Forecast01!G58</f>
        <v>348</v>
      </c>
      <c r="I18" s="550">
        <f>Forecast01!H50+Forecast01!H58</f>
        <v>352.3</v>
      </c>
      <c r="J18" s="550">
        <f>Forecast01!I50+Forecast01!I58</f>
        <v>335.40000000000003</v>
      </c>
      <c r="K18" s="550">
        <f>Forecast01!J50+Forecast01!J58</f>
        <v>289.29999999999995</v>
      </c>
      <c r="L18" s="550">
        <f>Forecast01!K50+Forecast01!K58</f>
        <v>278.09000000000003</v>
      </c>
      <c r="M18" s="550">
        <f>Forecast01!L50+Forecast01!L58</f>
        <v>311.28000000000003</v>
      </c>
      <c r="N18" s="550">
        <f>Forecast01!M50+Forecast01!M58</f>
        <v>351.97860200000002</v>
      </c>
      <c r="O18" s="239"/>
      <c r="Q18" s="239">
        <v>5044</v>
      </c>
      <c r="R18" s="239">
        <v>5044</v>
      </c>
    </row>
    <row r="19" spans="1:18" x14ac:dyDescent="0.15">
      <c r="A19" s="239"/>
      <c r="B19" s="239"/>
      <c r="C19" s="512">
        <f>SUM(C12:C18)</f>
        <v>2549.902</v>
      </c>
      <c r="D19" s="512">
        <f t="shared" ref="D19:N19" si="0">SUM(D12:D18)</f>
        <v>2538.5480000000002</v>
      </c>
      <c r="E19" s="512">
        <f t="shared" si="0"/>
        <v>2477.2999999999997</v>
      </c>
      <c r="F19" s="512">
        <f t="shared" si="0"/>
        <v>2647.547</v>
      </c>
      <c r="G19" s="512">
        <f t="shared" si="0"/>
        <v>2618.8000000000002</v>
      </c>
      <c r="H19" s="512">
        <f t="shared" si="0"/>
        <v>2624.4999999999995</v>
      </c>
      <c r="I19" s="512">
        <f t="shared" si="0"/>
        <v>2653.9000000000005</v>
      </c>
      <c r="J19" s="512">
        <f t="shared" si="0"/>
        <v>2647.4</v>
      </c>
      <c r="K19" s="512">
        <f t="shared" si="0"/>
        <v>2459.3000000000002</v>
      </c>
      <c r="L19" s="512">
        <f t="shared" si="0"/>
        <v>2317.1853064516131</v>
      </c>
      <c r="M19" s="512">
        <f t="shared" si="0"/>
        <v>2400.1248333333338</v>
      </c>
      <c r="N19" s="512">
        <f t="shared" si="0"/>
        <v>2510.759102</v>
      </c>
      <c r="O19" s="239"/>
    </row>
    <row r="20" spans="1:18" x14ac:dyDescent="0.15">
      <c r="A20" s="239"/>
      <c r="B20" s="239"/>
      <c r="C20" s="239"/>
      <c r="D20" s="239"/>
      <c r="E20" s="239"/>
      <c r="F20" s="239"/>
      <c r="G20" s="239"/>
      <c r="H20" s="239"/>
      <c r="I20" s="239"/>
      <c r="J20" s="239"/>
      <c r="K20" s="239"/>
      <c r="L20" s="239"/>
      <c r="M20" s="239"/>
      <c r="N20" s="239"/>
      <c r="O20" s="239"/>
    </row>
    <row r="21" spans="1:18" x14ac:dyDescent="0.15">
      <c r="A21" s="506" t="s">
        <v>413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</row>
    <row r="22" spans="1:18" x14ac:dyDescent="0.15">
      <c r="A22" s="239" t="s">
        <v>408</v>
      </c>
      <c r="B22" s="239"/>
      <c r="C22" s="513">
        <v>0.05</v>
      </c>
      <c r="D22" s="513">
        <v>0.05</v>
      </c>
      <c r="E22" s="513">
        <v>0.05</v>
      </c>
      <c r="F22" s="513">
        <v>0.05</v>
      </c>
      <c r="G22" s="513">
        <v>0.05</v>
      </c>
      <c r="H22" s="513">
        <v>0.05</v>
      </c>
      <c r="I22" s="513">
        <v>0.05</v>
      </c>
      <c r="J22" s="513">
        <v>0.05</v>
      </c>
      <c r="K22" s="513">
        <v>0.05</v>
      </c>
      <c r="L22" s="513">
        <v>0.05</v>
      </c>
      <c r="M22" s="513">
        <v>0.05</v>
      </c>
      <c r="N22" s="513">
        <v>0.05</v>
      </c>
      <c r="O22" s="239"/>
      <c r="Q22" s="513">
        <v>0.05</v>
      </c>
      <c r="R22" s="513">
        <v>0.05</v>
      </c>
    </row>
    <row r="23" spans="1:18" x14ac:dyDescent="0.15">
      <c r="A23" s="239" t="s">
        <v>409</v>
      </c>
      <c r="B23" s="239"/>
      <c r="C23" s="513">
        <v>4.4999999999999998E-2</v>
      </c>
      <c r="D23" s="513">
        <v>4.4999999999999998E-2</v>
      </c>
      <c r="E23" s="513">
        <v>4.4999999999999998E-2</v>
      </c>
      <c r="F23" s="513">
        <v>4.4999999999999998E-2</v>
      </c>
      <c r="G23" s="513">
        <v>4.4999999999999998E-2</v>
      </c>
      <c r="H23" s="513">
        <v>4.4999999999999998E-2</v>
      </c>
      <c r="I23" s="513">
        <v>4.4999999999999998E-2</v>
      </c>
      <c r="J23" s="513">
        <v>4.4999999999999998E-2</v>
      </c>
      <c r="K23" s="513">
        <v>4.4999999999999998E-2</v>
      </c>
      <c r="L23" s="513">
        <v>4.4999999999999998E-2</v>
      </c>
      <c r="M23" s="513">
        <v>4.4999999999999998E-2</v>
      </c>
      <c r="N23" s="513">
        <v>4.4999999999999998E-2</v>
      </c>
      <c r="O23" s="239"/>
      <c r="Q23" s="513">
        <v>4.4999999999999998E-2</v>
      </c>
      <c r="R23" s="513">
        <v>4.4999999999999998E-2</v>
      </c>
    </row>
    <row r="24" spans="1:18" x14ac:dyDescent="0.15">
      <c r="A24" s="239" t="s">
        <v>410</v>
      </c>
      <c r="B24" s="239"/>
      <c r="C24" s="513">
        <v>4.7500000000000001E-2</v>
      </c>
      <c r="D24" s="513">
        <v>4.7500000000000001E-2</v>
      </c>
      <c r="E24" s="513">
        <v>4.7500000000000001E-2</v>
      </c>
      <c r="F24" s="513">
        <v>4.7500000000000001E-2</v>
      </c>
      <c r="G24" s="513">
        <v>4.7500000000000001E-2</v>
      </c>
      <c r="H24" s="513">
        <v>4.7500000000000001E-2</v>
      </c>
      <c r="I24" s="513">
        <v>4.7500000000000001E-2</v>
      </c>
      <c r="J24" s="513">
        <v>4.7500000000000001E-2</v>
      </c>
      <c r="K24" s="513">
        <v>4.7500000000000001E-2</v>
      </c>
      <c r="L24" s="513">
        <v>4.7500000000000001E-2</v>
      </c>
      <c r="M24" s="513">
        <v>4.7500000000000001E-2</v>
      </c>
      <c r="N24" s="513">
        <v>4.7500000000000001E-2</v>
      </c>
      <c r="O24" s="239"/>
      <c r="Q24" s="513">
        <v>4.7500000000000001E-2</v>
      </c>
      <c r="R24" s="513">
        <v>4.7500000000000001E-2</v>
      </c>
    </row>
    <row r="25" spans="1:18" x14ac:dyDescent="0.15">
      <c r="A25" s="239" t="s">
        <v>440</v>
      </c>
      <c r="B25" s="239"/>
      <c r="C25" s="513">
        <v>2.5000000000000001E-3</v>
      </c>
      <c r="D25" s="513">
        <v>2.5000000000000001E-3</v>
      </c>
      <c r="E25" s="513">
        <v>2.5000000000000001E-3</v>
      </c>
      <c r="F25" s="513">
        <v>2.5000000000000001E-3</v>
      </c>
      <c r="G25" s="513">
        <v>2.5000000000000001E-3</v>
      </c>
      <c r="H25" s="513">
        <v>2.5000000000000001E-3</v>
      </c>
      <c r="I25" s="513">
        <v>2.5000000000000001E-3</v>
      </c>
      <c r="J25" s="513">
        <v>2.5000000000000001E-3</v>
      </c>
      <c r="K25" s="513">
        <v>2.5000000000000001E-3</v>
      </c>
      <c r="L25" s="513">
        <v>2.5000000000000001E-3</v>
      </c>
      <c r="M25" s="513">
        <v>2.5000000000000001E-3</v>
      </c>
      <c r="N25" s="513">
        <v>2.5000000000000001E-3</v>
      </c>
      <c r="O25" s="239"/>
      <c r="Q25" s="513">
        <v>2.5000000000000001E-3</v>
      </c>
      <c r="R25" s="513">
        <v>2.5000000000000001E-3</v>
      </c>
    </row>
    <row r="26" spans="1:18" x14ac:dyDescent="0.15">
      <c r="A26" s="239" t="s">
        <v>441</v>
      </c>
      <c r="B26" s="239"/>
      <c r="C26" s="513">
        <v>2.5000000000000001E-3</v>
      </c>
      <c r="D26" s="513">
        <v>2.5000000000000001E-3</v>
      </c>
      <c r="E26" s="513">
        <v>2.5000000000000001E-3</v>
      </c>
      <c r="F26" s="513">
        <v>2.5000000000000001E-3</v>
      </c>
      <c r="G26" s="513">
        <v>2.5000000000000001E-3</v>
      </c>
      <c r="H26" s="513">
        <v>2.5000000000000001E-3</v>
      </c>
      <c r="I26" s="513">
        <v>2.5000000000000001E-3</v>
      </c>
      <c r="J26" s="513">
        <v>2.5000000000000001E-3</v>
      </c>
      <c r="K26" s="513">
        <v>2.5000000000000001E-3</v>
      </c>
      <c r="L26" s="513">
        <v>2.5000000000000001E-3</v>
      </c>
      <c r="M26" s="513">
        <v>2.5000000000000001E-3</v>
      </c>
      <c r="N26" s="513">
        <v>2.5000000000000001E-3</v>
      </c>
      <c r="O26" s="239"/>
      <c r="Q26" s="513"/>
      <c r="R26" s="513"/>
    </row>
    <row r="27" spans="1:18" x14ac:dyDescent="0.15">
      <c r="A27" s="239" t="s">
        <v>411</v>
      </c>
      <c r="B27" s="239"/>
      <c r="C27" s="513">
        <v>1.5599999999999999E-2</v>
      </c>
      <c r="D27" s="513">
        <v>1.5599999999999999E-2</v>
      </c>
      <c r="E27" s="513">
        <v>1.5599999999999999E-2</v>
      </c>
      <c r="F27" s="513">
        <v>1.5599999999999999E-2</v>
      </c>
      <c r="G27" s="513">
        <v>1.5599999999999999E-2</v>
      </c>
      <c r="H27" s="513">
        <v>1.5599999999999999E-2</v>
      </c>
      <c r="I27" s="513">
        <v>1.5599999999999999E-2</v>
      </c>
      <c r="J27" s="513">
        <v>1.5599999999999999E-2</v>
      </c>
      <c r="K27" s="513">
        <v>1.5599999999999999E-2</v>
      </c>
      <c r="L27" s="513">
        <v>1.5599999999999999E-2</v>
      </c>
      <c r="M27" s="513">
        <v>1.5599999999999999E-2</v>
      </c>
      <c r="N27" s="513">
        <v>1.5599999999999999E-2</v>
      </c>
      <c r="O27" s="239"/>
      <c r="Q27" s="513">
        <v>1.5599999999999999E-2</v>
      </c>
      <c r="R27" s="513">
        <v>1.5599999999999999E-2</v>
      </c>
    </row>
    <row r="28" spans="1:18" x14ac:dyDescent="0.15">
      <c r="A28" s="239" t="s">
        <v>412</v>
      </c>
      <c r="B28" s="239"/>
      <c r="C28" s="513">
        <v>1.3100000000000001E-2</v>
      </c>
      <c r="D28" s="513">
        <v>1.3100000000000001E-2</v>
      </c>
      <c r="E28" s="513">
        <v>1.3100000000000001E-2</v>
      </c>
      <c r="F28" s="513">
        <v>1.3100000000000001E-2</v>
      </c>
      <c r="G28" s="513">
        <v>1.3100000000000001E-2</v>
      </c>
      <c r="H28" s="513">
        <v>1.3100000000000001E-2</v>
      </c>
      <c r="I28" s="513">
        <v>1.3100000000000001E-2</v>
      </c>
      <c r="J28" s="513">
        <v>1.3100000000000001E-2</v>
      </c>
      <c r="K28" s="513">
        <v>1.3100000000000001E-2</v>
      </c>
      <c r="L28" s="513">
        <v>1.3100000000000001E-2</v>
      </c>
      <c r="M28" s="513">
        <v>1.3100000000000001E-2</v>
      </c>
      <c r="N28" s="513">
        <v>1.3100000000000001E-2</v>
      </c>
      <c r="O28" s="239"/>
      <c r="Q28" s="513">
        <v>1.3100000000000001E-2</v>
      </c>
      <c r="R28" s="513">
        <v>1.3100000000000001E-2</v>
      </c>
    </row>
    <row r="29" spans="1:18" x14ac:dyDescent="0.15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</row>
    <row r="30" spans="1:18" x14ac:dyDescent="0.15">
      <c r="A30" s="506" t="s">
        <v>414</v>
      </c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</row>
    <row r="31" spans="1:18" x14ac:dyDescent="0.15">
      <c r="A31" s="239" t="s">
        <v>415</v>
      </c>
      <c r="B31" s="239"/>
      <c r="C31" s="239">
        <f t="shared" ref="C31:C37" si="1">ROUND(C12/(1-C22),1)</f>
        <v>451.7</v>
      </c>
      <c r="D31" s="239">
        <f t="shared" ref="D31:N31" si="2">ROUND(D12/(1-D22),1)</f>
        <v>435.7</v>
      </c>
      <c r="E31" s="239">
        <f t="shared" si="2"/>
        <v>438.2</v>
      </c>
      <c r="F31" s="239">
        <f t="shared" si="2"/>
        <v>335.2</v>
      </c>
      <c r="G31" s="239">
        <f t="shared" si="2"/>
        <v>361.5</v>
      </c>
      <c r="H31" s="239">
        <f t="shared" si="2"/>
        <v>382.5</v>
      </c>
      <c r="I31" s="239">
        <f t="shared" si="2"/>
        <v>389.4</v>
      </c>
      <c r="J31" s="239">
        <f t="shared" si="2"/>
        <v>408.3</v>
      </c>
      <c r="K31" s="239">
        <f t="shared" si="2"/>
        <v>383.1</v>
      </c>
      <c r="L31" s="239">
        <f t="shared" si="2"/>
        <v>412.9</v>
      </c>
      <c r="M31" s="239">
        <f t="shared" si="2"/>
        <v>486.9</v>
      </c>
      <c r="N31" s="239">
        <f t="shared" si="2"/>
        <v>444.5</v>
      </c>
      <c r="O31" s="239"/>
      <c r="Q31" s="239">
        <f t="shared" ref="Q31:R34" si="3">ROUND(Q12/(1-Q22),1)</f>
        <v>4769.5</v>
      </c>
      <c r="R31" s="239">
        <f t="shared" si="3"/>
        <v>5262.1</v>
      </c>
    </row>
    <row r="32" spans="1:18" x14ac:dyDescent="0.15">
      <c r="A32" s="239" t="s">
        <v>416</v>
      </c>
      <c r="B32" s="239"/>
      <c r="C32" s="239">
        <f t="shared" si="1"/>
        <v>459.3</v>
      </c>
      <c r="D32" s="239">
        <f t="shared" ref="D32:N32" si="4">ROUND(D13/(1-D23),1)</f>
        <v>473.4</v>
      </c>
      <c r="E32" s="239">
        <f t="shared" si="4"/>
        <v>457.8</v>
      </c>
      <c r="F32" s="239">
        <f t="shared" si="4"/>
        <v>604.70000000000005</v>
      </c>
      <c r="G32" s="239">
        <f t="shared" si="4"/>
        <v>541.5</v>
      </c>
      <c r="H32" s="239">
        <f t="shared" si="4"/>
        <v>512.9</v>
      </c>
      <c r="I32" s="239">
        <f t="shared" si="4"/>
        <v>508.1</v>
      </c>
      <c r="J32" s="239">
        <f t="shared" si="4"/>
        <v>518.29999999999995</v>
      </c>
      <c r="K32" s="239">
        <f t="shared" si="4"/>
        <v>471</v>
      </c>
      <c r="L32" s="239">
        <f t="shared" si="4"/>
        <v>400.7</v>
      </c>
      <c r="M32" s="239">
        <f t="shared" si="4"/>
        <v>303.2</v>
      </c>
      <c r="N32" s="239">
        <f t="shared" si="4"/>
        <v>331.8</v>
      </c>
      <c r="O32" s="239"/>
      <c r="Q32" s="239">
        <f t="shared" si="3"/>
        <v>4737.2</v>
      </c>
      <c r="R32" s="239">
        <f t="shared" si="3"/>
        <v>4737.2</v>
      </c>
    </row>
    <row r="33" spans="1:18" x14ac:dyDescent="0.15">
      <c r="A33" s="239" t="s">
        <v>417</v>
      </c>
      <c r="B33" s="239"/>
      <c r="C33" s="239">
        <f t="shared" si="1"/>
        <v>253</v>
      </c>
      <c r="D33" s="239">
        <f t="shared" ref="D33:N33" si="5">ROUND(D14/(1-D24),1)</f>
        <v>265.89999999999998</v>
      </c>
      <c r="E33" s="239">
        <f t="shared" si="5"/>
        <v>269.2</v>
      </c>
      <c r="F33" s="239">
        <f t="shared" si="5"/>
        <v>218.2</v>
      </c>
      <c r="G33" s="239">
        <f t="shared" si="5"/>
        <v>225.3</v>
      </c>
      <c r="H33" s="239">
        <f t="shared" si="5"/>
        <v>230.4</v>
      </c>
      <c r="I33" s="239">
        <f t="shared" si="5"/>
        <v>247.1</v>
      </c>
      <c r="J33" s="239">
        <f t="shared" si="5"/>
        <v>235.1</v>
      </c>
      <c r="K33" s="239">
        <f t="shared" si="5"/>
        <v>216.8</v>
      </c>
      <c r="L33" s="239">
        <f t="shared" si="5"/>
        <v>236.7</v>
      </c>
      <c r="M33" s="239">
        <f t="shared" si="5"/>
        <v>262</v>
      </c>
      <c r="N33" s="239">
        <f t="shared" si="5"/>
        <v>272.10000000000002</v>
      </c>
      <c r="O33" s="239"/>
      <c r="Q33" s="239">
        <f t="shared" si="3"/>
        <v>4150.1000000000004</v>
      </c>
      <c r="R33" s="239">
        <f t="shared" si="3"/>
        <v>8165.9</v>
      </c>
    </row>
    <row r="34" spans="1:18" x14ac:dyDescent="0.15">
      <c r="A34" s="239" t="s">
        <v>442</v>
      </c>
      <c r="B34" s="239"/>
      <c r="C34" s="239">
        <f t="shared" si="1"/>
        <v>342</v>
      </c>
      <c r="D34" s="239">
        <f t="shared" ref="D34:N34" si="6">ROUND(D15/(1-D25),1)</f>
        <v>318.60000000000002</v>
      </c>
      <c r="E34" s="239">
        <f t="shared" si="6"/>
        <v>302.10000000000002</v>
      </c>
      <c r="F34" s="239">
        <f t="shared" si="6"/>
        <v>376</v>
      </c>
      <c r="G34" s="239">
        <f t="shared" si="6"/>
        <v>401.4</v>
      </c>
      <c r="H34" s="239">
        <f t="shared" si="6"/>
        <v>374.4</v>
      </c>
      <c r="I34" s="239">
        <f t="shared" si="6"/>
        <v>248.1</v>
      </c>
      <c r="J34" s="239">
        <f t="shared" si="6"/>
        <v>265.60000000000002</v>
      </c>
      <c r="K34" s="239">
        <f t="shared" si="6"/>
        <v>337.8</v>
      </c>
      <c r="L34" s="239">
        <f t="shared" si="6"/>
        <v>221.5</v>
      </c>
      <c r="M34" s="239">
        <f t="shared" si="6"/>
        <v>268.7</v>
      </c>
      <c r="N34" s="239">
        <f t="shared" si="6"/>
        <v>418.5</v>
      </c>
      <c r="O34" s="239"/>
      <c r="Q34" s="239">
        <f t="shared" si="3"/>
        <v>12391</v>
      </c>
      <c r="R34" s="239">
        <f t="shared" si="3"/>
        <v>12391</v>
      </c>
    </row>
    <row r="35" spans="1:18" x14ac:dyDescent="0.15">
      <c r="A35" s="239" t="s">
        <v>443</v>
      </c>
      <c r="B35" s="239"/>
      <c r="C35" s="239">
        <f t="shared" si="1"/>
        <v>766</v>
      </c>
      <c r="D35" s="239">
        <f t="shared" ref="D35:N35" si="7">ROUND(D16/(1-D26),1)</f>
        <v>759.5</v>
      </c>
      <c r="E35" s="239">
        <f t="shared" si="7"/>
        <v>709.2</v>
      </c>
      <c r="F35" s="239">
        <f t="shared" si="7"/>
        <v>629.9</v>
      </c>
      <c r="G35" s="239">
        <f t="shared" si="7"/>
        <v>650.5</v>
      </c>
      <c r="H35" s="239">
        <f t="shared" si="7"/>
        <v>695.8</v>
      </c>
      <c r="I35" s="239">
        <f t="shared" si="7"/>
        <v>824.2</v>
      </c>
      <c r="J35" s="239">
        <f t="shared" si="7"/>
        <v>806.3</v>
      </c>
      <c r="K35" s="239">
        <f t="shared" si="7"/>
        <v>681.1</v>
      </c>
      <c r="L35" s="239">
        <f t="shared" si="7"/>
        <v>699.3</v>
      </c>
      <c r="M35" s="239">
        <f t="shared" si="7"/>
        <v>693.1</v>
      </c>
      <c r="N35" s="239">
        <f t="shared" si="7"/>
        <v>623.20000000000005</v>
      </c>
      <c r="O35" s="239"/>
    </row>
    <row r="36" spans="1:18" x14ac:dyDescent="0.15">
      <c r="A36" s="239" t="s">
        <v>418</v>
      </c>
      <c r="B36" s="239"/>
      <c r="C36" s="239">
        <f t="shared" si="1"/>
        <v>111.5</v>
      </c>
      <c r="D36" s="239">
        <f t="shared" ref="D36:N36" si="8">ROUND(D17/(1-D27),1)</f>
        <v>95.5</v>
      </c>
      <c r="E36" s="239">
        <f t="shared" si="8"/>
        <v>86.4</v>
      </c>
      <c r="F36" s="239">
        <f t="shared" si="8"/>
        <v>178</v>
      </c>
      <c r="G36" s="239">
        <f t="shared" si="8"/>
        <v>151.19999999999999</v>
      </c>
      <c r="H36" s="239">
        <f t="shared" si="8"/>
        <v>138.4</v>
      </c>
      <c r="I36" s="239">
        <f t="shared" si="8"/>
        <v>143.69999999999999</v>
      </c>
      <c r="J36" s="239">
        <f t="shared" si="8"/>
        <v>138.19999999999999</v>
      </c>
      <c r="K36" s="239">
        <f t="shared" si="8"/>
        <v>135.5</v>
      </c>
      <c r="L36" s="239">
        <f t="shared" si="8"/>
        <v>122.1</v>
      </c>
      <c r="M36" s="239">
        <f t="shared" si="8"/>
        <v>129.6</v>
      </c>
      <c r="N36" s="239">
        <f t="shared" si="8"/>
        <v>123.3</v>
      </c>
      <c r="O36" s="239"/>
      <c r="Q36" s="239">
        <f>ROUND(Q17/(1-Q27),1)</f>
        <v>0</v>
      </c>
      <c r="R36" s="239">
        <f>ROUND(R17/(1-R27),1)</f>
        <v>0</v>
      </c>
    </row>
    <row r="37" spans="1:18" x14ac:dyDescent="0.15">
      <c r="A37" s="239" t="s">
        <v>419</v>
      </c>
      <c r="B37" s="239"/>
      <c r="C37" s="449">
        <f t="shared" si="1"/>
        <v>229.3</v>
      </c>
      <c r="D37" s="449">
        <f t="shared" ref="D37:N37" si="9">ROUND(D18/(1-D28),1)</f>
        <v>253.1</v>
      </c>
      <c r="E37" s="449">
        <f t="shared" si="9"/>
        <v>277.2</v>
      </c>
      <c r="F37" s="449">
        <f t="shared" si="9"/>
        <v>370.1</v>
      </c>
      <c r="G37" s="449">
        <f t="shared" si="9"/>
        <v>350.2</v>
      </c>
      <c r="H37" s="449">
        <f t="shared" si="9"/>
        <v>352.6</v>
      </c>
      <c r="I37" s="449">
        <f t="shared" si="9"/>
        <v>357</v>
      </c>
      <c r="J37" s="449">
        <f t="shared" si="9"/>
        <v>339.9</v>
      </c>
      <c r="K37" s="449">
        <f t="shared" si="9"/>
        <v>293.10000000000002</v>
      </c>
      <c r="L37" s="449">
        <f t="shared" si="9"/>
        <v>281.8</v>
      </c>
      <c r="M37" s="449">
        <f t="shared" si="9"/>
        <v>315.39999999999998</v>
      </c>
      <c r="N37" s="449">
        <f t="shared" si="9"/>
        <v>356.7</v>
      </c>
      <c r="O37" s="239"/>
      <c r="Q37" s="449">
        <f>ROUND(Q18/(1-Q28),1)</f>
        <v>5111</v>
      </c>
      <c r="R37" s="449">
        <f>ROUND(R18/(1-R28),1)</f>
        <v>5111</v>
      </c>
    </row>
    <row r="38" spans="1:18" x14ac:dyDescent="0.15">
      <c r="A38" s="239" t="s">
        <v>420</v>
      </c>
      <c r="B38" s="239"/>
      <c r="C38" s="239">
        <f>SUM(C31:C37)</f>
        <v>2612.8000000000002</v>
      </c>
      <c r="D38" s="239">
        <f t="shared" ref="D38:N38" si="10">SUM(D31:D37)</f>
        <v>2601.6999999999998</v>
      </c>
      <c r="E38" s="239">
        <f t="shared" si="10"/>
        <v>2540.1</v>
      </c>
      <c r="F38" s="239">
        <f t="shared" si="10"/>
        <v>2712.1</v>
      </c>
      <c r="G38" s="239">
        <f t="shared" si="10"/>
        <v>2681.5999999999995</v>
      </c>
      <c r="H38" s="239">
        <f t="shared" si="10"/>
        <v>2687</v>
      </c>
      <c r="I38" s="239">
        <f t="shared" si="10"/>
        <v>2717.5999999999995</v>
      </c>
      <c r="J38" s="239">
        <f t="shared" si="10"/>
        <v>2711.6999999999994</v>
      </c>
      <c r="K38" s="239">
        <f t="shared" si="10"/>
        <v>2518.4</v>
      </c>
      <c r="L38" s="239">
        <f t="shared" si="10"/>
        <v>2375</v>
      </c>
      <c r="M38" s="239">
        <f t="shared" si="10"/>
        <v>2458.9</v>
      </c>
      <c r="N38" s="239">
        <f t="shared" si="10"/>
        <v>2570.1000000000004</v>
      </c>
      <c r="O38" s="239"/>
      <c r="Q38" s="239">
        <f>SUM(Q31:Q37)</f>
        <v>31158.800000000003</v>
      </c>
      <c r="R38" s="239">
        <f>SUM(R31:R37)</f>
        <v>35667.199999999997</v>
      </c>
    </row>
    <row r="39" spans="1:18" x14ac:dyDescent="0.15">
      <c r="A39" s="239" t="s">
        <v>421</v>
      </c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</row>
    <row r="40" spans="1:18" x14ac:dyDescent="0.15">
      <c r="A40" s="239" t="s">
        <v>422</v>
      </c>
      <c r="B40" s="239"/>
      <c r="C40" s="239">
        <f>Forecast01!B99</f>
        <v>465.38399999999996</v>
      </c>
      <c r="D40" s="239">
        <f>Forecast01!C99</f>
        <v>467.26400000000001</v>
      </c>
      <c r="E40" s="239">
        <f>Forecast01!D99</f>
        <v>462.9</v>
      </c>
      <c r="F40" s="239">
        <f>Forecast01!E99</f>
        <v>440</v>
      </c>
      <c r="G40" s="239">
        <f>Forecast01!F99</f>
        <v>436.9</v>
      </c>
      <c r="H40" s="239">
        <f>Forecast01!G99</f>
        <v>479.99999999999994</v>
      </c>
      <c r="I40" s="239">
        <f>Forecast01!H99</f>
        <v>471</v>
      </c>
      <c r="J40" s="239">
        <f>Forecast01!I99</f>
        <v>457.4</v>
      </c>
      <c r="K40" s="239">
        <f>Forecast01!J99</f>
        <v>444.3</v>
      </c>
      <c r="L40" s="239">
        <f>Forecast01!K99</f>
        <v>425.47500000000002</v>
      </c>
      <c r="M40" s="239">
        <f>Forecast01!L99</f>
        <v>424.54500000000002</v>
      </c>
      <c r="N40" s="239">
        <f>Forecast01!M99</f>
        <v>428.26499999999999</v>
      </c>
      <c r="O40" s="239"/>
      <c r="Q40" s="239">
        <v>5221</v>
      </c>
      <c r="R40" s="239">
        <v>5221</v>
      </c>
    </row>
    <row r="41" spans="1:18" x14ac:dyDescent="0.15">
      <c r="A41" s="239" t="s">
        <v>423</v>
      </c>
      <c r="B41" s="239"/>
      <c r="C41" s="449">
        <f>Forecast01!B82</f>
        <v>298.68</v>
      </c>
      <c r="D41" s="449">
        <f>Forecast01!C82</f>
        <v>290.38599999999997</v>
      </c>
      <c r="E41" s="449">
        <f>Forecast01!D82</f>
        <v>244.5</v>
      </c>
      <c r="F41" s="449">
        <f>Forecast01!E82</f>
        <v>188.29999999999998</v>
      </c>
      <c r="G41" s="449">
        <f>Forecast01!F82</f>
        <v>212</v>
      </c>
      <c r="H41" s="449">
        <f>Forecast01!G82</f>
        <v>214.1</v>
      </c>
      <c r="I41" s="449">
        <f>Forecast01!H82</f>
        <v>351.1</v>
      </c>
      <c r="J41" s="449">
        <f>Forecast01!I82</f>
        <v>346.9</v>
      </c>
      <c r="K41" s="449">
        <f>Forecast01!J82</f>
        <v>235.1</v>
      </c>
      <c r="L41" s="449">
        <f>Forecast01!K82</f>
        <v>272.06399999999996</v>
      </c>
      <c r="M41" s="449">
        <f>Forecast01!L82</f>
        <v>266.858</v>
      </c>
      <c r="N41" s="449">
        <f>Forecast01!M82</f>
        <v>193.36199999999999</v>
      </c>
      <c r="O41" s="239"/>
      <c r="Q41" s="449">
        <v>2900</v>
      </c>
      <c r="R41" s="449">
        <v>2900</v>
      </c>
    </row>
    <row r="42" spans="1:18" x14ac:dyDescent="0.15">
      <c r="A42" s="239" t="s">
        <v>424</v>
      </c>
      <c r="B42" s="239"/>
      <c r="C42" s="512">
        <f>C38-C40-C41</f>
        <v>1848.7360000000001</v>
      </c>
      <c r="D42" s="512">
        <f t="shared" ref="D42:N42" si="11">D38-D40-D41</f>
        <v>1844.0499999999997</v>
      </c>
      <c r="E42" s="512">
        <f t="shared" si="11"/>
        <v>1832.6999999999998</v>
      </c>
      <c r="F42" s="512">
        <f t="shared" si="11"/>
        <v>2083.7999999999997</v>
      </c>
      <c r="G42" s="512">
        <f t="shared" si="11"/>
        <v>2032.6999999999994</v>
      </c>
      <c r="H42" s="512">
        <f t="shared" si="11"/>
        <v>1992.9</v>
      </c>
      <c r="I42" s="512">
        <f t="shared" si="11"/>
        <v>1895.4999999999995</v>
      </c>
      <c r="J42" s="512">
        <f t="shared" si="11"/>
        <v>1907.3999999999992</v>
      </c>
      <c r="K42" s="512">
        <f t="shared" si="11"/>
        <v>1839</v>
      </c>
      <c r="L42" s="512">
        <f t="shared" si="11"/>
        <v>1677.4610000000002</v>
      </c>
      <c r="M42" s="512">
        <f t="shared" si="11"/>
        <v>1767.4970000000001</v>
      </c>
      <c r="N42" s="512">
        <f t="shared" si="11"/>
        <v>1948.4730000000004</v>
      </c>
      <c r="O42" s="239"/>
      <c r="Q42" s="239">
        <f>Q38-Q40-Q41</f>
        <v>23037.800000000003</v>
      </c>
      <c r="R42" s="239">
        <f>R38-R40-R41</f>
        <v>27546.199999999997</v>
      </c>
    </row>
    <row r="43" spans="1:18" x14ac:dyDescent="0.15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</row>
    <row r="44" spans="1:18" x14ac:dyDescent="0.15">
      <c r="A44" s="239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</row>
    <row r="45" spans="1:18" x14ac:dyDescent="0.2">
      <c r="A45" s="239" t="s">
        <v>425</v>
      </c>
      <c r="B45" s="239"/>
      <c r="C45" s="514">
        <f>C42*C1</f>
        <v>57310.816000000006</v>
      </c>
      <c r="D45" s="514">
        <f t="shared" ref="D45:N45" si="12">D42*D1</f>
        <v>51633.399999999994</v>
      </c>
      <c r="E45" s="514">
        <f t="shared" si="12"/>
        <v>56813.7</v>
      </c>
      <c r="F45" s="514">
        <f t="shared" si="12"/>
        <v>62513.999999999993</v>
      </c>
      <c r="G45" s="514">
        <f t="shared" si="12"/>
        <v>63013.699999999983</v>
      </c>
      <c r="H45" s="514">
        <f t="shared" si="12"/>
        <v>59787</v>
      </c>
      <c r="I45" s="514">
        <f t="shared" si="12"/>
        <v>58760.499999999985</v>
      </c>
      <c r="J45" s="514">
        <f t="shared" si="12"/>
        <v>59129.399999999972</v>
      </c>
      <c r="K45" s="514">
        <f t="shared" si="12"/>
        <v>55170</v>
      </c>
      <c r="L45" s="514">
        <f t="shared" si="12"/>
        <v>52001.291000000005</v>
      </c>
      <c r="M45" s="514">
        <f t="shared" si="12"/>
        <v>53024.91</v>
      </c>
      <c r="N45" s="514">
        <f t="shared" si="12"/>
        <v>60402.663000000015</v>
      </c>
      <c r="O45" s="444">
        <f>SUM(C45:N45)</f>
        <v>689561.38</v>
      </c>
      <c r="Q45" s="514">
        <f>Q42/12*365</f>
        <v>700733.08333333337</v>
      </c>
      <c r="R45" s="514">
        <f>R42/12*365</f>
        <v>837863.58333333326</v>
      </c>
    </row>
    <row r="46" spans="1:18" x14ac:dyDescent="0.2">
      <c r="A46" s="239"/>
      <c r="B46" s="239"/>
      <c r="C46" s="514"/>
      <c r="D46" s="514"/>
      <c r="E46" s="514"/>
      <c r="F46" s="514"/>
      <c r="G46" s="514"/>
      <c r="H46" s="514"/>
      <c r="I46" s="514"/>
      <c r="J46" s="514"/>
      <c r="K46" s="514"/>
      <c r="L46" s="514"/>
      <c r="M46" s="514"/>
      <c r="N46" s="514"/>
      <c r="O46" s="444"/>
      <c r="Q46" s="514"/>
      <c r="R46" s="514"/>
    </row>
    <row r="47" spans="1:18" x14ac:dyDescent="0.2">
      <c r="A47" s="239"/>
      <c r="B47" s="239"/>
      <c r="C47" s="514"/>
      <c r="D47" s="514"/>
      <c r="E47" s="514"/>
      <c r="F47" s="514"/>
      <c r="G47" s="514"/>
      <c r="H47" s="514"/>
      <c r="I47" s="514"/>
      <c r="J47" s="514"/>
      <c r="K47" s="514"/>
      <c r="L47" s="514"/>
      <c r="M47" s="514"/>
      <c r="N47" s="514"/>
      <c r="O47" s="444"/>
      <c r="Q47" s="514"/>
      <c r="R47" s="514"/>
    </row>
    <row r="48" spans="1:18" customFormat="1" x14ac:dyDescent="0.15">
      <c r="A48" s="506" t="s">
        <v>444</v>
      </c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</row>
    <row r="49" spans="1:18" customFormat="1" x14ac:dyDescent="0.15">
      <c r="A49" s="239" t="s">
        <v>415</v>
      </c>
      <c r="B49" s="239"/>
      <c r="C49" s="239">
        <f t="shared" ref="C49:N55" si="13">(C31-C12)*C$1</f>
        <v>701.06500000000028</v>
      </c>
      <c r="D49" s="239">
        <f t="shared" si="13"/>
        <v>609.22399999999948</v>
      </c>
      <c r="E49" s="239">
        <f t="shared" si="13"/>
        <v>678.8999999999993</v>
      </c>
      <c r="F49" s="239">
        <f t="shared" si="13"/>
        <v>504.00000000000034</v>
      </c>
      <c r="G49" s="239">
        <f t="shared" si="13"/>
        <v>561.1000000000007</v>
      </c>
      <c r="H49" s="239">
        <f t="shared" si="13"/>
        <v>573.00000000000068</v>
      </c>
      <c r="I49" s="239">
        <f t="shared" si="13"/>
        <v>604.49999999999818</v>
      </c>
      <c r="J49" s="239">
        <f t="shared" si="13"/>
        <v>632.400000000001</v>
      </c>
      <c r="K49" s="239">
        <f t="shared" si="13"/>
        <v>576.00000000000136</v>
      </c>
      <c r="L49" s="239">
        <f t="shared" si="13"/>
        <v>638.78599999999983</v>
      </c>
      <c r="M49" s="239">
        <f t="shared" si="13"/>
        <v>729.5999999999998</v>
      </c>
      <c r="N49" s="239">
        <f t="shared" si="13"/>
        <v>689.75</v>
      </c>
      <c r="O49" s="239"/>
    </row>
    <row r="50" spans="1:18" customFormat="1" x14ac:dyDescent="0.15">
      <c r="A50" s="239" t="s">
        <v>416</v>
      </c>
      <c r="B50" s="239"/>
      <c r="C50" s="239">
        <f t="shared" si="13"/>
        <v>641.85499999999956</v>
      </c>
      <c r="D50" s="239">
        <f t="shared" si="13"/>
        <v>597.2679999999973</v>
      </c>
      <c r="E50" s="239">
        <f t="shared" si="13"/>
        <v>638.599999999999</v>
      </c>
      <c r="F50" s="239">
        <f t="shared" si="13"/>
        <v>816.00000000000136</v>
      </c>
      <c r="G50" s="239">
        <f t="shared" si="13"/>
        <v>756.3999999999993</v>
      </c>
      <c r="H50" s="239">
        <f t="shared" si="13"/>
        <v>693.00000000000068</v>
      </c>
      <c r="I50" s="239">
        <f t="shared" si="13"/>
        <v>709.8999999999993</v>
      </c>
      <c r="J50" s="239">
        <f t="shared" si="13"/>
        <v>722.29999999999859</v>
      </c>
      <c r="K50" s="239">
        <f t="shared" si="13"/>
        <v>635.99999999999966</v>
      </c>
      <c r="L50" s="239">
        <f t="shared" si="13"/>
        <v>558.74999999999932</v>
      </c>
      <c r="M50" s="239">
        <f t="shared" si="13"/>
        <v>408.31999999999766</v>
      </c>
      <c r="N50" s="239">
        <f t="shared" si="13"/>
        <v>461.99300000000062</v>
      </c>
      <c r="O50" s="239"/>
    </row>
    <row r="51" spans="1:18" customFormat="1" x14ac:dyDescent="0.15">
      <c r="A51" s="239" t="s">
        <v>417</v>
      </c>
      <c r="B51" s="239"/>
      <c r="C51" s="239">
        <f t="shared" si="13"/>
        <v>373.73600000000033</v>
      </c>
      <c r="D51" s="239">
        <f t="shared" si="13"/>
        <v>354.25599999999963</v>
      </c>
      <c r="E51" s="239">
        <f t="shared" si="13"/>
        <v>396.80000000000035</v>
      </c>
      <c r="F51" s="239">
        <f t="shared" si="13"/>
        <v>311.99999999999932</v>
      </c>
      <c r="G51" s="239">
        <f t="shared" si="13"/>
        <v>331.69999999999965</v>
      </c>
      <c r="H51" s="239">
        <f t="shared" si="13"/>
        <v>327.00000000000017</v>
      </c>
      <c r="I51" s="239">
        <f t="shared" si="13"/>
        <v>362.69999999999965</v>
      </c>
      <c r="J51" s="239">
        <f t="shared" si="13"/>
        <v>347.19999999999965</v>
      </c>
      <c r="K51" s="239">
        <f t="shared" si="13"/>
        <v>309.00000000000034</v>
      </c>
      <c r="L51" s="239">
        <f t="shared" si="13"/>
        <v>349.68000000000006</v>
      </c>
      <c r="M51" s="239">
        <f t="shared" si="13"/>
        <v>372.00000000000017</v>
      </c>
      <c r="N51" s="239">
        <f t="shared" si="13"/>
        <v>401.20200000000023</v>
      </c>
      <c r="O51" s="239"/>
    </row>
    <row r="52" spans="1:18" customFormat="1" x14ac:dyDescent="0.15">
      <c r="A52" s="239" t="s">
        <v>440</v>
      </c>
      <c r="B52" s="239"/>
      <c r="C52" s="512">
        <f t="shared" si="13"/>
        <v>26.319000000001438</v>
      </c>
      <c r="D52" s="512">
        <f t="shared" si="13"/>
        <v>22.932000000000471</v>
      </c>
      <c r="E52" s="512">
        <f t="shared" si="13"/>
        <v>24.800000000000352</v>
      </c>
      <c r="F52" s="512">
        <f t="shared" si="13"/>
        <v>26.999999999999318</v>
      </c>
      <c r="G52" s="512">
        <f t="shared" si="13"/>
        <v>31</v>
      </c>
      <c r="H52" s="512">
        <f t="shared" si="13"/>
        <v>26.999999999999318</v>
      </c>
      <c r="I52" s="512">
        <f t="shared" si="13"/>
        <v>18.599999999999824</v>
      </c>
      <c r="J52" s="512">
        <f t="shared" si="13"/>
        <v>21.70000000000141</v>
      </c>
      <c r="K52" s="512">
        <f t="shared" si="13"/>
        <v>24.000000000000341</v>
      </c>
      <c r="L52" s="512">
        <f t="shared" si="13"/>
        <v>16.538500000000113</v>
      </c>
      <c r="M52" s="239">
        <f t="shared" si="13"/>
        <v>18.824999999999932</v>
      </c>
      <c r="N52" s="239">
        <f t="shared" si="13"/>
        <v>32.596500000001015</v>
      </c>
      <c r="O52" s="239"/>
    </row>
    <row r="53" spans="1:18" customFormat="1" x14ac:dyDescent="0.15">
      <c r="A53" s="239" t="s">
        <v>445</v>
      </c>
      <c r="B53" s="239"/>
      <c r="C53" s="512">
        <f t="shared" si="13"/>
        <v>60.0160000000011</v>
      </c>
      <c r="D53" s="512">
        <f t="shared" si="13"/>
        <v>51.800000000000637</v>
      </c>
      <c r="E53" s="512">
        <f t="shared" si="13"/>
        <v>55.800000000002115</v>
      </c>
      <c r="F53" s="512">
        <f t="shared" si="13"/>
        <v>48.000000000000682</v>
      </c>
      <c r="G53" s="512">
        <f t="shared" si="13"/>
        <v>49.600000000000705</v>
      </c>
      <c r="H53" s="512">
        <f t="shared" si="13"/>
        <v>51.000000000001364</v>
      </c>
      <c r="I53" s="512">
        <f t="shared" si="13"/>
        <v>65.100000000000705</v>
      </c>
      <c r="J53" s="512">
        <f t="shared" si="13"/>
        <v>62</v>
      </c>
      <c r="K53" s="512">
        <f t="shared" si="13"/>
        <v>51.000000000001364</v>
      </c>
      <c r="L53" s="512">
        <f t="shared" si="13"/>
        <v>54.590999999998985</v>
      </c>
      <c r="M53" s="239">
        <f t="shared" si="13"/>
        <v>50.910000000000082</v>
      </c>
      <c r="N53" s="239">
        <f t="shared" si="13"/>
        <v>48.763000000002876</v>
      </c>
      <c r="O53" s="239"/>
    </row>
    <row r="54" spans="1:18" customFormat="1" x14ac:dyDescent="0.15">
      <c r="A54" s="239" t="s">
        <v>418</v>
      </c>
      <c r="B54" s="239"/>
      <c r="C54" s="239">
        <f t="shared" si="13"/>
        <v>52.730999999999796</v>
      </c>
      <c r="D54" s="239">
        <f t="shared" si="13"/>
        <v>40.79600000000022</v>
      </c>
      <c r="E54" s="239">
        <f t="shared" si="13"/>
        <v>40.299999999999912</v>
      </c>
      <c r="F54" s="239">
        <f t="shared" si="13"/>
        <v>84.000000000000341</v>
      </c>
      <c r="G54" s="239">
        <f t="shared" si="13"/>
        <v>74.400000000000176</v>
      </c>
      <c r="H54" s="239">
        <f t="shared" si="13"/>
        <v>66.000000000000512</v>
      </c>
      <c r="I54" s="239">
        <f t="shared" si="13"/>
        <v>68.199999999999648</v>
      </c>
      <c r="J54" s="239">
        <f t="shared" si="13"/>
        <v>68.199999999999648</v>
      </c>
      <c r="K54" s="239">
        <f t="shared" si="13"/>
        <v>62.999999999999829</v>
      </c>
      <c r="L54" s="239">
        <f t="shared" si="13"/>
        <v>58.899999999999736</v>
      </c>
      <c r="M54" s="239">
        <f t="shared" si="13"/>
        <v>60</v>
      </c>
      <c r="N54" s="239">
        <f t="shared" si="13"/>
        <v>58.899999999999736</v>
      </c>
      <c r="O54" s="239"/>
    </row>
    <row r="55" spans="1:18" customFormat="1" x14ac:dyDescent="0.15">
      <c r="A55" s="239" t="s">
        <v>419</v>
      </c>
      <c r="B55" s="239"/>
      <c r="C55" s="549">
        <f t="shared" si="13"/>
        <v>94.116000000000042</v>
      </c>
      <c r="D55" s="549">
        <f t="shared" si="13"/>
        <v>91.979999999999905</v>
      </c>
      <c r="E55" s="549">
        <f t="shared" si="13"/>
        <v>111.6000000000007</v>
      </c>
      <c r="F55" s="549">
        <f t="shared" si="13"/>
        <v>145.59000000000026</v>
      </c>
      <c r="G55" s="549">
        <f t="shared" si="13"/>
        <v>142.59999999999894</v>
      </c>
      <c r="H55" s="549">
        <f t="shared" si="13"/>
        <v>138.00000000000068</v>
      </c>
      <c r="I55" s="549">
        <f t="shared" si="13"/>
        <v>145.69999999999965</v>
      </c>
      <c r="J55" s="549">
        <f t="shared" si="13"/>
        <v>139.49999999999824</v>
      </c>
      <c r="K55" s="549">
        <f t="shared" si="13"/>
        <v>114.00000000000205</v>
      </c>
      <c r="L55" s="549">
        <f t="shared" si="13"/>
        <v>115.00999999999937</v>
      </c>
      <c r="M55" s="549">
        <f t="shared" si="13"/>
        <v>123.59999999999843</v>
      </c>
      <c r="N55" s="549">
        <f t="shared" si="13"/>
        <v>146.36333799999892</v>
      </c>
      <c r="O55" s="239"/>
    </row>
    <row r="56" spans="1:18" customFormat="1" x14ac:dyDescent="0.15">
      <c r="A56" s="239" t="s">
        <v>446</v>
      </c>
      <c r="B56" s="239"/>
      <c r="C56" s="548">
        <f t="shared" ref="C56:N56" si="14">SUM(C49:C55)</f>
        <v>1949.8380000000025</v>
      </c>
      <c r="D56" s="548">
        <f t="shared" si="14"/>
        <v>1768.2559999999976</v>
      </c>
      <c r="E56" s="548">
        <f t="shared" si="14"/>
        <v>1946.8000000000015</v>
      </c>
      <c r="F56" s="548">
        <f t="shared" si="14"/>
        <v>1936.5900000000015</v>
      </c>
      <c r="G56" s="548">
        <f t="shared" si="14"/>
        <v>1946.7999999999993</v>
      </c>
      <c r="H56" s="548">
        <f t="shared" si="14"/>
        <v>1875.0000000000034</v>
      </c>
      <c r="I56" s="548">
        <f t="shared" si="14"/>
        <v>1974.6999999999966</v>
      </c>
      <c r="J56" s="548">
        <f t="shared" si="14"/>
        <v>1993.2999999999984</v>
      </c>
      <c r="K56" s="548">
        <f t="shared" si="14"/>
        <v>1773.000000000005</v>
      </c>
      <c r="L56" s="548">
        <f t="shared" si="14"/>
        <v>1792.2554999999973</v>
      </c>
      <c r="M56" s="548">
        <f t="shared" si="14"/>
        <v>1763.254999999996</v>
      </c>
      <c r="N56" s="548">
        <f t="shared" si="14"/>
        <v>1839.5678380000033</v>
      </c>
      <c r="O56" s="239">
        <f>SUM(C56:N56)</f>
        <v>22559.362338000003</v>
      </c>
    </row>
    <row r="57" spans="1:18" customFormat="1" x14ac:dyDescent="0.15">
      <c r="A57" s="239"/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  <c r="M57" s="239"/>
      <c r="N57" s="239"/>
      <c r="O57" s="239"/>
    </row>
    <row r="58" spans="1:18" customFormat="1" x14ac:dyDescent="0.15">
      <c r="A58" s="239"/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  <c r="M58" s="239"/>
      <c r="N58" s="239"/>
      <c r="O58" s="239"/>
    </row>
    <row r="59" spans="1:18" customFormat="1" x14ac:dyDescent="0.15">
      <c r="A59" s="239" t="s">
        <v>447</v>
      </c>
      <c r="B59" s="239"/>
      <c r="C59" s="391">
        <f t="shared" ref="C59:N59" si="15">+ROUND(((C12+C13+C14+C15+C17+C18)*-C76*C$1),0)</f>
        <v>-996</v>
      </c>
      <c r="D59" s="391">
        <f t="shared" si="15"/>
        <v>-898</v>
      </c>
      <c r="E59" s="391">
        <f t="shared" si="15"/>
        <v>-988</v>
      </c>
      <c r="F59" s="391">
        <f t="shared" si="15"/>
        <v>-1090</v>
      </c>
      <c r="G59" s="391">
        <f t="shared" si="15"/>
        <v>-1099</v>
      </c>
      <c r="H59" s="391">
        <f t="shared" si="15"/>
        <v>-1042</v>
      </c>
      <c r="I59" s="391">
        <f t="shared" si="15"/>
        <v>-1022</v>
      </c>
      <c r="J59" s="391">
        <f t="shared" si="15"/>
        <v>-1028</v>
      </c>
      <c r="K59" s="473">
        <v>-958</v>
      </c>
      <c r="L59" s="391">
        <f t="shared" si="15"/>
        <v>-904</v>
      </c>
      <c r="M59" s="391">
        <f t="shared" si="15"/>
        <v>-923</v>
      </c>
      <c r="N59" s="391">
        <f t="shared" si="15"/>
        <v>-1054</v>
      </c>
      <c r="O59" s="391">
        <f>SUM(C59:N59)</f>
        <v>-12002</v>
      </c>
      <c r="Q59" s="146">
        <f>+ROUND(((O24+O26+O27+O28+O29+O35)*-Q76*30.4),0)</f>
        <v>0</v>
      </c>
      <c r="R59" s="146">
        <f>+ROUND(((P24+P26+P27+P28+P29+P35)*-R76*30.4),0)</f>
        <v>0</v>
      </c>
    </row>
    <row r="60" spans="1:18" customFormat="1" x14ac:dyDescent="0.15">
      <c r="A60" s="239" t="s">
        <v>448</v>
      </c>
      <c r="B60" s="239"/>
      <c r="C60" s="544">
        <f t="shared" ref="C60:N60" si="16">C45*-C73</f>
        <v>-22.924326400000005</v>
      </c>
      <c r="D60" s="544">
        <f t="shared" si="16"/>
        <v>-20.653359999999999</v>
      </c>
      <c r="E60" s="544">
        <f t="shared" si="16"/>
        <v>-22.725480000000001</v>
      </c>
      <c r="F60" s="544">
        <f t="shared" si="16"/>
        <v>-25.005599999999998</v>
      </c>
      <c r="G60" s="544">
        <f t="shared" si="16"/>
        <v>-25.205479999999994</v>
      </c>
      <c r="H60" s="544">
        <f t="shared" si="16"/>
        <v>-23.9148</v>
      </c>
      <c r="I60" s="544">
        <f t="shared" si="16"/>
        <v>-23.504199999999994</v>
      </c>
      <c r="J60" s="544">
        <f t="shared" si="16"/>
        <v>-23.651759999999989</v>
      </c>
      <c r="K60" s="544">
        <f t="shared" si="16"/>
        <v>-22.068000000000001</v>
      </c>
      <c r="L60" s="544">
        <f t="shared" si="16"/>
        <v>-20.800516400000003</v>
      </c>
      <c r="M60" s="544">
        <f t="shared" si="16"/>
        <v>-21.209964000000003</v>
      </c>
      <c r="N60" s="544">
        <f t="shared" si="16"/>
        <v>-24.161065200000007</v>
      </c>
      <c r="O60" s="391">
        <f>SUM(C60:N60)</f>
        <v>-275.82455200000004</v>
      </c>
      <c r="Q60" s="146">
        <f>+ROUND(((O32+O35)*-Q73*30.4),0)</f>
        <v>0</v>
      </c>
      <c r="R60" s="146">
        <f>+ROUND(((P32+P35)*-R73*30.4),0)</f>
        <v>0</v>
      </c>
    </row>
    <row r="61" spans="1:18" customFormat="1" x14ac:dyDescent="0.15">
      <c r="A61" s="239" t="s">
        <v>449</v>
      </c>
      <c r="B61" s="239"/>
      <c r="C61" s="544">
        <f t="shared" ref="C61:N61" si="17">C45*-C74</f>
        <v>-11.462163200000003</v>
      </c>
      <c r="D61" s="544">
        <f t="shared" si="17"/>
        <v>-10.32668</v>
      </c>
      <c r="E61" s="544">
        <f t="shared" si="17"/>
        <v>-11.362740000000001</v>
      </c>
      <c r="F61" s="544">
        <f t="shared" si="17"/>
        <v>-12.502799999999999</v>
      </c>
      <c r="G61" s="544">
        <f t="shared" si="17"/>
        <v>-12.602739999999997</v>
      </c>
      <c r="H61" s="544">
        <f t="shared" si="17"/>
        <v>-11.9574</v>
      </c>
      <c r="I61" s="544">
        <f t="shared" si="17"/>
        <v>-11.752099999999997</v>
      </c>
      <c r="J61" s="544">
        <f t="shared" si="17"/>
        <v>-11.825879999999994</v>
      </c>
      <c r="K61" s="544">
        <f t="shared" si="17"/>
        <v>-11.034000000000001</v>
      </c>
      <c r="L61" s="544">
        <f t="shared" si="17"/>
        <v>-10.400258200000001</v>
      </c>
      <c r="M61" s="544">
        <f t="shared" si="17"/>
        <v>-10.604982000000001</v>
      </c>
      <c r="N61" s="544">
        <f t="shared" si="17"/>
        <v>-12.080532600000003</v>
      </c>
      <c r="O61" s="391">
        <f>SUM(C61:N61)</f>
        <v>-137.91227600000002</v>
      </c>
      <c r="Q61" s="146"/>
      <c r="R61" s="146"/>
    </row>
    <row r="62" spans="1:18" customFormat="1" x14ac:dyDescent="0.15">
      <c r="A62" s="239"/>
      <c r="B62" s="239"/>
      <c r="C62" s="239"/>
      <c r="D62" s="239"/>
      <c r="E62" s="239"/>
      <c r="F62" s="548"/>
      <c r="G62" s="239"/>
      <c r="H62" s="239"/>
      <c r="I62" s="239"/>
      <c r="J62" s="239"/>
      <c r="K62" s="239"/>
      <c r="L62" s="239"/>
      <c r="M62" s="239"/>
      <c r="N62" s="239"/>
      <c r="O62" s="239"/>
    </row>
    <row r="63" spans="1:18" customFormat="1" x14ac:dyDescent="0.15">
      <c r="A63" s="239" t="s">
        <v>188</v>
      </c>
      <c r="B63" s="239"/>
      <c r="C63" s="393">
        <f t="shared" ref="C63:N63" si="18">ROUND((C56*C72),0)</f>
        <v>16008</v>
      </c>
      <c r="D63" s="393">
        <f t="shared" si="18"/>
        <v>9938</v>
      </c>
      <c r="E63" s="393">
        <f t="shared" si="18"/>
        <v>9695</v>
      </c>
      <c r="F63" s="393">
        <f t="shared" si="18"/>
        <v>9431</v>
      </c>
      <c r="G63" s="393">
        <f t="shared" si="18"/>
        <v>7437</v>
      </c>
      <c r="H63" s="393">
        <f t="shared" si="18"/>
        <v>5981</v>
      </c>
      <c r="I63" s="393">
        <f t="shared" si="18"/>
        <v>5470</v>
      </c>
      <c r="J63" s="393">
        <f t="shared" si="18"/>
        <v>5521</v>
      </c>
      <c r="K63" s="393">
        <f t="shared" si="18"/>
        <v>3457</v>
      </c>
      <c r="L63" s="393">
        <f t="shared" si="18"/>
        <v>4086</v>
      </c>
      <c r="M63" s="393">
        <f t="shared" si="18"/>
        <v>4461</v>
      </c>
      <c r="N63" s="393">
        <f t="shared" si="18"/>
        <v>5243</v>
      </c>
      <c r="O63" s="393">
        <f t="shared" ref="O63:O70" si="19">SUM(C63:N63)</f>
        <v>86728</v>
      </c>
      <c r="Q63" s="147">
        <v>0</v>
      </c>
      <c r="R63" s="147">
        <v>0</v>
      </c>
    </row>
    <row r="64" spans="1:18" customFormat="1" x14ac:dyDescent="0.15">
      <c r="A64" s="239" t="s">
        <v>379</v>
      </c>
      <c r="B64" s="239"/>
      <c r="C64" s="393">
        <f>ROUND((ROUND(5*C$1*3.23,0)+(5*C$1*3.74)+(5*C$1*3.63)+(5*C$1*3.585))-(ROUND(20*C$1*C72,0)),0)</f>
        <v>-2891</v>
      </c>
      <c r="D64" s="393">
        <f t="shared" ref="D64:N64" si="20">ROUND((ROUND(5*D$1*3.23,0)+(5*D$1*3.74)+(5*D$1*3.63)+(5*D$1*3.585))-(ROUND(20*D$1*D72,0)),0)</f>
        <v>-1161</v>
      </c>
      <c r="E64" s="393">
        <f t="shared" si="20"/>
        <v>-889</v>
      </c>
      <c r="F64" s="393">
        <f t="shared" si="20"/>
        <v>-794</v>
      </c>
      <c r="G64" s="393">
        <f t="shared" si="20"/>
        <v>-169</v>
      </c>
      <c r="H64" s="393">
        <f t="shared" si="20"/>
        <v>214</v>
      </c>
      <c r="I64" s="393">
        <f t="shared" si="20"/>
        <v>482</v>
      </c>
      <c r="J64" s="393">
        <f t="shared" si="20"/>
        <v>482</v>
      </c>
      <c r="K64" s="393">
        <f t="shared" si="20"/>
        <v>958</v>
      </c>
      <c r="L64" s="393">
        <f t="shared" si="20"/>
        <v>785</v>
      </c>
      <c r="M64" s="393">
        <f t="shared" si="20"/>
        <v>610</v>
      </c>
      <c r="N64" s="393">
        <f t="shared" si="20"/>
        <v>432</v>
      </c>
      <c r="O64" s="393">
        <f>SUM(C64:N64)</f>
        <v>-1941</v>
      </c>
      <c r="Q64" s="147">
        <v>0</v>
      </c>
      <c r="R64" s="147">
        <v>0</v>
      </c>
    </row>
    <row r="65" spans="1:18" customFormat="1" x14ac:dyDescent="0.15">
      <c r="A65" s="239" t="s">
        <v>459</v>
      </c>
      <c r="B65" s="239"/>
      <c r="C65" s="393">
        <f>ROUND(((10*C$1*0.005)+(10*C$1*0.02)),0)</f>
        <v>8</v>
      </c>
      <c r="D65" s="393">
        <f t="shared" ref="D65:N65" si="21">ROUND(((10*D$1*0.005)+(10*D$1*0.02)),0)</f>
        <v>7</v>
      </c>
      <c r="E65" s="393">
        <f t="shared" si="21"/>
        <v>8</v>
      </c>
      <c r="F65" s="393">
        <f t="shared" si="21"/>
        <v>8</v>
      </c>
      <c r="G65" s="393">
        <f t="shared" si="21"/>
        <v>8</v>
      </c>
      <c r="H65" s="393">
        <f t="shared" si="21"/>
        <v>8</v>
      </c>
      <c r="I65" s="393">
        <f t="shared" si="21"/>
        <v>8</v>
      </c>
      <c r="J65" s="393">
        <f t="shared" si="21"/>
        <v>8</v>
      </c>
      <c r="K65" s="393">
        <f t="shared" si="21"/>
        <v>8</v>
      </c>
      <c r="L65" s="393">
        <f t="shared" si="21"/>
        <v>8</v>
      </c>
      <c r="M65" s="393">
        <f t="shared" si="21"/>
        <v>8</v>
      </c>
      <c r="N65" s="393">
        <f t="shared" si="21"/>
        <v>8</v>
      </c>
      <c r="O65" s="393">
        <f>SUM(C65:N65)</f>
        <v>95</v>
      </c>
      <c r="Q65" s="147"/>
      <c r="R65" s="147"/>
    </row>
    <row r="66" spans="1:18" customFormat="1" x14ac:dyDescent="0.15">
      <c r="A66" s="239" t="s">
        <v>189</v>
      </c>
      <c r="B66" s="239"/>
      <c r="C66" s="393">
        <f t="shared" ref="C66:N66" si="22">ROUND((C59*C72),0)</f>
        <v>-8177</v>
      </c>
      <c r="D66" s="393">
        <f t="shared" si="22"/>
        <v>-5047</v>
      </c>
      <c r="E66" s="393">
        <f t="shared" si="22"/>
        <v>-4920</v>
      </c>
      <c r="F66" s="393">
        <f t="shared" si="22"/>
        <v>-5308</v>
      </c>
      <c r="G66" s="393">
        <f t="shared" si="22"/>
        <v>-4198</v>
      </c>
      <c r="H66" s="393">
        <f t="shared" si="22"/>
        <v>-3324</v>
      </c>
      <c r="I66" s="393">
        <f t="shared" si="22"/>
        <v>-2831</v>
      </c>
      <c r="J66" s="393">
        <f t="shared" si="22"/>
        <v>-2848</v>
      </c>
      <c r="K66" s="393">
        <f t="shared" si="22"/>
        <v>-1868</v>
      </c>
      <c r="L66" s="393">
        <f t="shared" si="22"/>
        <v>-2061</v>
      </c>
      <c r="M66" s="393">
        <f t="shared" si="22"/>
        <v>-2335</v>
      </c>
      <c r="N66" s="393">
        <f t="shared" si="22"/>
        <v>-3004</v>
      </c>
      <c r="O66" s="393">
        <f t="shared" si="19"/>
        <v>-45921</v>
      </c>
      <c r="Q66" s="147">
        <v>0</v>
      </c>
      <c r="R66" s="147">
        <v>0</v>
      </c>
    </row>
    <row r="67" spans="1:18" customFormat="1" x14ac:dyDescent="0.15">
      <c r="A67" s="545" t="s">
        <v>450</v>
      </c>
      <c r="B67" s="239"/>
      <c r="C67" s="546">
        <f t="shared" ref="C67:N67" si="23">(C75-C72)*(C60+C61)</f>
        <v>0</v>
      </c>
      <c r="D67" s="546">
        <f t="shared" si="23"/>
        <v>0</v>
      </c>
      <c r="E67" s="546">
        <f t="shared" si="23"/>
        <v>0</v>
      </c>
      <c r="F67" s="546">
        <f t="shared" si="23"/>
        <v>0</v>
      </c>
      <c r="G67" s="546">
        <f t="shared" si="23"/>
        <v>0</v>
      </c>
      <c r="H67" s="546">
        <f t="shared" si="23"/>
        <v>0</v>
      </c>
      <c r="I67" s="546">
        <f t="shared" si="23"/>
        <v>0</v>
      </c>
      <c r="J67" s="546">
        <f t="shared" si="23"/>
        <v>0</v>
      </c>
      <c r="K67" s="546">
        <f t="shared" si="23"/>
        <v>0</v>
      </c>
      <c r="L67" s="546">
        <f t="shared" si="23"/>
        <v>0</v>
      </c>
      <c r="M67" s="546">
        <f t="shared" si="23"/>
        <v>0</v>
      </c>
      <c r="N67" s="546">
        <f t="shared" si="23"/>
        <v>0</v>
      </c>
      <c r="O67" s="546">
        <f t="shared" si="19"/>
        <v>0</v>
      </c>
      <c r="Q67" s="147">
        <v>0</v>
      </c>
      <c r="R67" s="147">
        <v>0</v>
      </c>
    </row>
    <row r="68" spans="1:18" customFormat="1" x14ac:dyDescent="0.15">
      <c r="A68" s="545" t="s">
        <v>451</v>
      </c>
      <c r="B68" s="239"/>
      <c r="C68" s="546">
        <f t="shared" ref="C68:N68" si="24">C60*C72</f>
        <v>-188.20871974400006</v>
      </c>
      <c r="D68" s="546">
        <f t="shared" si="24"/>
        <v>-116.0718832</v>
      </c>
      <c r="E68" s="546">
        <f t="shared" si="24"/>
        <v>-113.17289040000001</v>
      </c>
      <c r="F68" s="546">
        <f t="shared" si="24"/>
        <v>-121.777272</v>
      </c>
      <c r="G68" s="546">
        <f t="shared" si="24"/>
        <v>-96.284933599999974</v>
      </c>
      <c r="H68" s="546">
        <f t="shared" si="24"/>
        <v>-76.288212000000001</v>
      </c>
      <c r="I68" s="546">
        <f t="shared" si="24"/>
        <v>-65.106633999999985</v>
      </c>
      <c r="J68" s="546">
        <f t="shared" si="24"/>
        <v>-65.515375199999966</v>
      </c>
      <c r="K68" s="546">
        <f t="shared" si="24"/>
        <v>-43.032600000000002</v>
      </c>
      <c r="L68" s="546">
        <f t="shared" si="24"/>
        <v>-47.425177392000002</v>
      </c>
      <c r="M68" s="546">
        <f t="shared" si="24"/>
        <v>-53.66120892</v>
      </c>
      <c r="N68" s="546">
        <f t="shared" si="24"/>
        <v>-68.859035820000017</v>
      </c>
      <c r="O68" s="546">
        <f t="shared" si="19"/>
        <v>-1055.4039422760002</v>
      </c>
      <c r="Q68" s="147">
        <v>0</v>
      </c>
      <c r="R68" s="147">
        <v>0</v>
      </c>
    </row>
    <row r="69" spans="1:18" customFormat="1" x14ac:dyDescent="0.15">
      <c r="A69" s="545" t="s">
        <v>452</v>
      </c>
      <c r="B69" s="239"/>
      <c r="C69" s="546">
        <f t="shared" ref="C69:N69" si="25">C61*C72</f>
        <v>-94.104359872000032</v>
      </c>
      <c r="D69" s="546">
        <f t="shared" si="25"/>
        <v>-58.035941600000001</v>
      </c>
      <c r="E69" s="546">
        <f t="shared" si="25"/>
        <v>-56.586445200000007</v>
      </c>
      <c r="F69" s="546">
        <f t="shared" si="25"/>
        <v>-60.888635999999998</v>
      </c>
      <c r="G69" s="546">
        <f t="shared" si="25"/>
        <v>-48.142466799999987</v>
      </c>
      <c r="H69" s="546">
        <f t="shared" si="25"/>
        <v>-38.144106000000001</v>
      </c>
      <c r="I69" s="546">
        <f t="shared" si="25"/>
        <v>-32.553316999999993</v>
      </c>
      <c r="J69" s="546">
        <f t="shared" si="25"/>
        <v>-32.757687599999983</v>
      </c>
      <c r="K69" s="546">
        <f t="shared" si="25"/>
        <v>-21.516300000000001</v>
      </c>
      <c r="L69" s="546">
        <f t="shared" si="25"/>
        <v>-23.712588696000001</v>
      </c>
      <c r="M69" s="546">
        <f t="shared" si="25"/>
        <v>-26.83060446</v>
      </c>
      <c r="N69" s="546">
        <f t="shared" si="25"/>
        <v>-34.429517910000008</v>
      </c>
      <c r="O69" s="546">
        <f t="shared" si="19"/>
        <v>-527.70197113800009</v>
      </c>
      <c r="Q69" s="147">
        <v>0</v>
      </c>
      <c r="R69" s="147">
        <v>0</v>
      </c>
    </row>
    <row r="70" spans="1:18" customFormat="1" x14ac:dyDescent="0.15">
      <c r="A70" s="239" t="s">
        <v>191</v>
      </c>
      <c r="B70" s="239"/>
      <c r="C70" s="394">
        <f t="shared" ref="C70:N70" si="26">SUM(C63:C69)</f>
        <v>4665.6869203840006</v>
      </c>
      <c r="D70" s="394">
        <f t="shared" si="26"/>
        <v>3562.8921751999997</v>
      </c>
      <c r="E70" s="394">
        <f t="shared" si="26"/>
        <v>3724.2406643999998</v>
      </c>
      <c r="F70" s="394">
        <f t="shared" si="26"/>
        <v>3154.3340920000001</v>
      </c>
      <c r="G70" s="394">
        <f t="shared" si="26"/>
        <v>2933.5725996000001</v>
      </c>
      <c r="H70" s="394">
        <f t="shared" si="26"/>
        <v>2764.5676819999999</v>
      </c>
      <c r="I70" s="394">
        <f t="shared" si="26"/>
        <v>3031.3400490000004</v>
      </c>
      <c r="J70" s="394">
        <f t="shared" si="26"/>
        <v>3064.7269372000001</v>
      </c>
      <c r="K70" s="394">
        <f t="shared" si="26"/>
        <v>2490.4511000000002</v>
      </c>
      <c r="L70" s="394">
        <f t="shared" si="26"/>
        <v>2746.8622339120002</v>
      </c>
      <c r="M70" s="394">
        <f t="shared" si="26"/>
        <v>2663.5081866200003</v>
      </c>
      <c r="N70" s="394">
        <f t="shared" si="26"/>
        <v>2575.7114462700001</v>
      </c>
      <c r="O70" s="394">
        <f t="shared" si="19"/>
        <v>37377.894086585999</v>
      </c>
      <c r="Q70" s="148">
        <f>SUM(Q63:Q69)</f>
        <v>0</v>
      </c>
      <c r="R70" s="148">
        <f>SUM(R63:R69)</f>
        <v>0</v>
      </c>
    </row>
    <row r="71" spans="1:18" customFormat="1" x14ac:dyDescent="0.15">
      <c r="A71" s="239"/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</row>
    <row r="72" spans="1:18" customFormat="1" x14ac:dyDescent="0.15">
      <c r="A72" s="395" t="s">
        <v>453</v>
      </c>
      <c r="B72" s="239"/>
      <c r="C72" s="395">
        <f>Forecast01!B381</f>
        <v>8.2100000000000009</v>
      </c>
      <c r="D72" s="395">
        <f>Forecast01!C381</f>
        <v>5.62</v>
      </c>
      <c r="E72" s="395">
        <f>Forecast01!D381</f>
        <v>4.9800000000000004</v>
      </c>
      <c r="F72" s="395">
        <f>Forecast01!E381</f>
        <v>4.87</v>
      </c>
      <c r="G72" s="395">
        <f>Forecast01!F381</f>
        <v>3.82</v>
      </c>
      <c r="H72" s="395">
        <f>Forecast01!G381</f>
        <v>3.19</v>
      </c>
      <c r="I72" s="395">
        <f>Forecast01!H381</f>
        <v>2.77</v>
      </c>
      <c r="J72" s="395">
        <f>Forecast01!I381</f>
        <v>2.77</v>
      </c>
      <c r="K72" s="395">
        <f>Forecast01!J381</f>
        <v>1.95</v>
      </c>
      <c r="L72" s="395">
        <f>Forecast01!K381</f>
        <v>2.2799999999999998</v>
      </c>
      <c r="M72" s="395">
        <f>Forecast01!L381</f>
        <v>2.5299999999999998</v>
      </c>
      <c r="N72" s="395">
        <f>Forecast01!M381</f>
        <v>2.85</v>
      </c>
      <c r="O72" s="395">
        <f>AVERAGE(C72:N72)</f>
        <v>3.8200000000000016</v>
      </c>
      <c r="Q72" s="149">
        <v>2.37</v>
      </c>
      <c r="R72" s="149">
        <v>2.37</v>
      </c>
    </row>
    <row r="73" spans="1:18" customFormat="1" x14ac:dyDescent="0.15">
      <c r="A73" s="396" t="s">
        <v>454</v>
      </c>
      <c r="B73" s="239"/>
      <c r="C73" s="396">
        <v>4.0000000000000002E-4</v>
      </c>
      <c r="D73" s="396">
        <v>4.0000000000000002E-4</v>
      </c>
      <c r="E73" s="396">
        <v>4.0000000000000002E-4</v>
      </c>
      <c r="F73" s="396">
        <v>4.0000000000000002E-4</v>
      </c>
      <c r="G73" s="396">
        <v>4.0000000000000002E-4</v>
      </c>
      <c r="H73" s="396">
        <v>4.0000000000000002E-4</v>
      </c>
      <c r="I73" s="396">
        <v>4.0000000000000002E-4</v>
      </c>
      <c r="J73" s="396">
        <v>4.0000000000000002E-4</v>
      </c>
      <c r="K73" s="396">
        <v>4.0000000000000002E-4</v>
      </c>
      <c r="L73" s="396">
        <v>4.0000000000000002E-4</v>
      </c>
      <c r="M73" s="396">
        <v>4.0000000000000002E-4</v>
      </c>
      <c r="N73" s="396">
        <v>4.0000000000000002E-4</v>
      </c>
      <c r="O73" s="396">
        <v>5.9999999999999995E-4</v>
      </c>
      <c r="Q73" s="150">
        <v>2E-3</v>
      </c>
      <c r="R73" s="150">
        <v>2E-3</v>
      </c>
    </row>
    <row r="74" spans="1:18" customFormat="1" x14ac:dyDescent="0.15">
      <c r="A74" s="396" t="s">
        <v>455</v>
      </c>
      <c r="B74" s="239"/>
      <c r="C74" s="396">
        <v>2.0000000000000001E-4</v>
      </c>
      <c r="D74" s="396">
        <v>2.0000000000000001E-4</v>
      </c>
      <c r="E74" s="396">
        <v>2.0000000000000001E-4</v>
      </c>
      <c r="F74" s="396">
        <v>2.0000000000000001E-4</v>
      </c>
      <c r="G74" s="396">
        <v>2.0000000000000001E-4</v>
      </c>
      <c r="H74" s="396">
        <v>2.0000000000000001E-4</v>
      </c>
      <c r="I74" s="396">
        <v>2.0000000000000001E-4</v>
      </c>
      <c r="J74" s="396">
        <v>2.0000000000000001E-4</v>
      </c>
      <c r="K74" s="396">
        <v>2.0000000000000001E-4</v>
      </c>
      <c r="L74" s="396">
        <v>2.0000000000000001E-4</v>
      </c>
      <c r="M74" s="396">
        <v>2.0000000000000001E-4</v>
      </c>
      <c r="N74" s="396">
        <v>2.0000000000000001E-4</v>
      </c>
      <c r="O74" s="396"/>
      <c r="Q74" s="150"/>
      <c r="R74" s="150"/>
    </row>
    <row r="75" spans="1:18" customFormat="1" x14ac:dyDescent="0.15">
      <c r="A75" s="396" t="s">
        <v>456</v>
      </c>
      <c r="B75" s="239"/>
      <c r="C75" s="395">
        <f>C72</f>
        <v>8.2100000000000009</v>
      </c>
      <c r="D75" s="395">
        <f>D72</f>
        <v>5.62</v>
      </c>
      <c r="E75" s="395">
        <f>E72</f>
        <v>4.9800000000000004</v>
      </c>
      <c r="F75" s="395">
        <f>F72</f>
        <v>4.87</v>
      </c>
      <c r="G75" s="395">
        <f t="shared" ref="G75:N75" si="27">G72</f>
        <v>3.82</v>
      </c>
      <c r="H75" s="395">
        <f t="shared" si="27"/>
        <v>3.19</v>
      </c>
      <c r="I75" s="395">
        <f t="shared" si="27"/>
        <v>2.77</v>
      </c>
      <c r="J75" s="395">
        <f t="shared" si="27"/>
        <v>2.77</v>
      </c>
      <c r="K75" s="395">
        <f t="shared" si="27"/>
        <v>1.95</v>
      </c>
      <c r="L75" s="395">
        <f t="shared" si="27"/>
        <v>2.2799999999999998</v>
      </c>
      <c r="M75" s="395">
        <f t="shared" si="27"/>
        <v>2.5299999999999998</v>
      </c>
      <c r="N75" s="395">
        <f t="shared" si="27"/>
        <v>2.85</v>
      </c>
      <c r="O75" s="395">
        <f>AVERAGE(C75:N75)</f>
        <v>3.8200000000000016</v>
      </c>
      <c r="Q75" s="150"/>
      <c r="R75" s="150"/>
    </row>
    <row r="76" spans="1:18" customFormat="1" x14ac:dyDescent="0.15">
      <c r="A76" s="396" t="s">
        <v>457</v>
      </c>
      <c r="B76" s="239"/>
      <c r="C76" s="396">
        <v>1.7999999999999999E-2</v>
      </c>
      <c r="D76" s="396">
        <v>1.7999999999999999E-2</v>
      </c>
      <c r="E76" s="396">
        <v>1.7999999999999999E-2</v>
      </c>
      <c r="F76" s="396">
        <v>1.7999999999999999E-2</v>
      </c>
      <c r="G76" s="396">
        <v>1.7999999999999999E-2</v>
      </c>
      <c r="H76" s="396">
        <v>1.7999999999999999E-2</v>
      </c>
      <c r="I76" s="396">
        <v>1.7999999999999999E-2</v>
      </c>
      <c r="J76" s="396">
        <v>1.7999999999999999E-2</v>
      </c>
      <c r="K76" s="396">
        <v>1.7999999999999999E-2</v>
      </c>
      <c r="L76" s="396">
        <v>1.7999999999999999E-2</v>
      </c>
      <c r="M76" s="396">
        <v>1.7999999999999999E-2</v>
      </c>
      <c r="N76" s="396">
        <v>1.7999999999999999E-2</v>
      </c>
      <c r="O76" s="396">
        <f>AVERAGE(C76:N76)</f>
        <v>1.7999999999999995E-2</v>
      </c>
      <c r="Q76" s="150">
        <f>AVERAGE(D76:O76)</f>
        <v>1.7999999999999995E-2</v>
      </c>
      <c r="R76" s="150">
        <f>AVERAGE(E76:P76)</f>
        <v>1.7999999999999995E-2</v>
      </c>
    </row>
    <row r="77" spans="1:18" customFormat="1" x14ac:dyDescent="0.15">
      <c r="A77" s="239"/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</row>
    <row r="78" spans="1:18" customFormat="1" x14ac:dyDescent="0.15">
      <c r="A78" s="503"/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  <c r="M78" s="239"/>
      <c r="N78" s="239"/>
      <c r="O78" s="239"/>
    </row>
    <row r="79" spans="1:18" customFormat="1" x14ac:dyDescent="0.15">
      <c r="A79" s="239" t="s">
        <v>458</v>
      </c>
      <c r="B79" s="239"/>
      <c r="C79" s="393">
        <f>ROUND(((5*C$1*3.23)+(5*C$1*3.74)+(5*C$1*3.63)+(5*C$1*3.585)),0)</f>
        <v>2199</v>
      </c>
      <c r="D79" s="393">
        <f t="shared" ref="D79:N79" si="28">ROUND(((5*D$1*3.23)+(5*D$1*3.74)+(5*D$1*3.63)+(5*D$1*3.585)),0)</f>
        <v>1986</v>
      </c>
      <c r="E79" s="393">
        <f t="shared" si="28"/>
        <v>2199</v>
      </c>
      <c r="F79" s="393">
        <f t="shared" si="28"/>
        <v>2128</v>
      </c>
      <c r="G79" s="393">
        <f t="shared" si="28"/>
        <v>2199</v>
      </c>
      <c r="H79" s="393">
        <f t="shared" si="28"/>
        <v>2128</v>
      </c>
      <c r="I79" s="393">
        <f t="shared" si="28"/>
        <v>2199</v>
      </c>
      <c r="J79" s="393">
        <f t="shared" si="28"/>
        <v>2199</v>
      </c>
      <c r="K79" s="393">
        <f t="shared" si="28"/>
        <v>2128</v>
      </c>
      <c r="L79" s="393">
        <f t="shared" si="28"/>
        <v>2199</v>
      </c>
      <c r="M79" s="393">
        <f t="shared" si="28"/>
        <v>2128</v>
      </c>
      <c r="N79" s="393">
        <f t="shared" si="28"/>
        <v>2199</v>
      </c>
      <c r="O79" s="393">
        <f>SUM(C79:N79)</f>
        <v>25891</v>
      </c>
    </row>
    <row r="80" spans="1:18" customFormat="1" x14ac:dyDescent="0.15">
      <c r="A80" s="239" t="s">
        <v>459</v>
      </c>
      <c r="B80" s="239"/>
      <c r="C80" s="393">
        <f>ROUND(((10*C$1*0.005)+(10*C$1*0.02)),0)</f>
        <v>8</v>
      </c>
      <c r="D80" s="393">
        <f t="shared" ref="D80:N80" si="29">ROUND(((10*D$1*0.005)+(10*D$1*0.02)),0)</f>
        <v>7</v>
      </c>
      <c r="E80" s="393">
        <f t="shared" si="29"/>
        <v>8</v>
      </c>
      <c r="F80" s="393">
        <f t="shared" si="29"/>
        <v>8</v>
      </c>
      <c r="G80" s="393">
        <f t="shared" si="29"/>
        <v>8</v>
      </c>
      <c r="H80" s="393">
        <f t="shared" si="29"/>
        <v>8</v>
      </c>
      <c r="I80" s="393">
        <f t="shared" si="29"/>
        <v>8</v>
      </c>
      <c r="J80" s="393">
        <f t="shared" si="29"/>
        <v>8</v>
      </c>
      <c r="K80" s="393">
        <f t="shared" si="29"/>
        <v>8</v>
      </c>
      <c r="L80" s="393">
        <f t="shared" si="29"/>
        <v>8</v>
      </c>
      <c r="M80" s="393">
        <f t="shared" si="29"/>
        <v>8</v>
      </c>
      <c r="N80" s="393">
        <f t="shared" si="29"/>
        <v>8</v>
      </c>
      <c r="O80" s="393">
        <f>SUM(C80:N80)</f>
        <v>95</v>
      </c>
    </row>
    <row r="81" spans="1:18" s="554" customFormat="1" x14ac:dyDescent="0.15">
      <c r="A81" s="552" t="s">
        <v>460</v>
      </c>
      <c r="B81" s="552"/>
      <c r="C81" s="553">
        <f>C70-C79-C67-C68-C69-C80</f>
        <v>2741.0000000000009</v>
      </c>
      <c r="D81" s="553">
        <f t="shared" ref="D81:N81" si="30">D70-D79-D67-D68-D69-D80</f>
        <v>1743.9999999999995</v>
      </c>
      <c r="E81" s="553">
        <f t="shared" si="30"/>
        <v>1686.9999999999998</v>
      </c>
      <c r="F81" s="553">
        <f t="shared" si="30"/>
        <v>1201</v>
      </c>
      <c r="G81" s="553">
        <f t="shared" si="30"/>
        <v>871</v>
      </c>
      <c r="H81" s="553">
        <f t="shared" si="30"/>
        <v>742.99999999999989</v>
      </c>
      <c r="I81" s="553">
        <f t="shared" si="30"/>
        <v>922.00000000000034</v>
      </c>
      <c r="J81" s="553">
        <f t="shared" si="30"/>
        <v>956</v>
      </c>
      <c r="K81" s="553">
        <f t="shared" si="30"/>
        <v>419.00000000000023</v>
      </c>
      <c r="L81" s="553">
        <f t="shared" si="30"/>
        <v>611.00000000000023</v>
      </c>
      <c r="M81" s="553">
        <f t="shared" si="30"/>
        <v>608.00000000000034</v>
      </c>
      <c r="N81" s="553">
        <f t="shared" si="30"/>
        <v>472.00000000000017</v>
      </c>
      <c r="O81" s="553">
        <f>SUM(C81:N81)</f>
        <v>12975</v>
      </c>
    </row>
    <row r="82" spans="1:18" s="545" customFormat="1" x14ac:dyDescent="0.15">
      <c r="A82" s="545" t="s">
        <v>461</v>
      </c>
      <c r="C82" s="547">
        <f>SUM(C67:C69)</f>
        <v>-282.3130796160001</v>
      </c>
      <c r="D82" s="547">
        <f t="shared" ref="D82:N82" si="31">SUM(D67:D69)</f>
        <v>-174.1078248</v>
      </c>
      <c r="E82" s="547">
        <f t="shared" si="31"/>
        <v>-169.75933560000001</v>
      </c>
      <c r="F82" s="547">
        <f t="shared" si="31"/>
        <v>-182.665908</v>
      </c>
      <c r="G82" s="547">
        <f t="shared" si="31"/>
        <v>-144.42740039999995</v>
      </c>
      <c r="H82" s="547">
        <f t="shared" si="31"/>
        <v>-114.43231800000001</v>
      </c>
      <c r="I82" s="547">
        <f t="shared" si="31"/>
        <v>-97.659950999999978</v>
      </c>
      <c r="J82" s="547">
        <f t="shared" si="31"/>
        <v>-98.273062799999948</v>
      </c>
      <c r="K82" s="547">
        <f t="shared" si="31"/>
        <v>-64.548900000000003</v>
      </c>
      <c r="L82" s="547">
        <f t="shared" si="31"/>
        <v>-71.137766088000006</v>
      </c>
      <c r="M82" s="547">
        <f t="shared" si="31"/>
        <v>-80.491813379999996</v>
      </c>
      <c r="N82" s="547">
        <f t="shared" si="31"/>
        <v>-103.28855373000002</v>
      </c>
      <c r="O82" s="547">
        <f>SUM(C82:N82)</f>
        <v>-1583.105913414</v>
      </c>
    </row>
    <row r="83" spans="1:18" customFormat="1" x14ac:dyDescent="0.15">
      <c r="A83" s="239" t="s">
        <v>462</v>
      </c>
      <c r="B83" s="239"/>
      <c r="C83" s="393">
        <f>SUM(C79:C82)</f>
        <v>4665.6869203840006</v>
      </c>
      <c r="D83" s="393">
        <f t="shared" ref="D83:N83" si="32">SUM(D79:D82)</f>
        <v>3562.8921751999997</v>
      </c>
      <c r="E83" s="393">
        <f t="shared" si="32"/>
        <v>3724.2406643999998</v>
      </c>
      <c r="F83" s="393">
        <f t="shared" si="32"/>
        <v>3154.3340920000001</v>
      </c>
      <c r="G83" s="393">
        <f t="shared" si="32"/>
        <v>2933.5725996000001</v>
      </c>
      <c r="H83" s="393">
        <f t="shared" si="32"/>
        <v>2764.5676819999999</v>
      </c>
      <c r="I83" s="393">
        <f t="shared" si="32"/>
        <v>3031.3400490000004</v>
      </c>
      <c r="J83" s="393">
        <f t="shared" si="32"/>
        <v>3064.7269372000001</v>
      </c>
      <c r="K83" s="393">
        <f t="shared" si="32"/>
        <v>2490.4511000000002</v>
      </c>
      <c r="L83" s="393">
        <f t="shared" si="32"/>
        <v>2746.8622339120002</v>
      </c>
      <c r="M83" s="393">
        <f t="shared" si="32"/>
        <v>2663.5081866200003</v>
      </c>
      <c r="N83" s="393">
        <f t="shared" si="32"/>
        <v>2575.7114462700001</v>
      </c>
      <c r="O83" s="393">
        <f>SUM(C83:N83)</f>
        <v>37377.894086585999</v>
      </c>
    </row>
    <row r="84" spans="1:18" customFormat="1" x14ac:dyDescent="0.15">
      <c r="A84" s="239"/>
      <c r="B84" s="239"/>
      <c r="C84" s="393"/>
      <c r="D84" s="393"/>
      <c r="E84" s="393"/>
      <c r="F84" s="393"/>
      <c r="G84" s="393"/>
      <c r="H84" s="393"/>
      <c r="I84" s="393"/>
      <c r="J84" s="393"/>
      <c r="K84" s="393"/>
      <c r="L84" s="393"/>
      <c r="M84" s="393"/>
      <c r="N84" s="393"/>
      <c r="O84" s="393"/>
    </row>
    <row r="85" spans="1:18" customFormat="1" x14ac:dyDescent="0.15">
      <c r="A85" s="503" t="s">
        <v>463</v>
      </c>
      <c r="B85" s="239"/>
      <c r="C85" s="393">
        <v>2832</v>
      </c>
      <c r="D85" s="393">
        <v>2572</v>
      </c>
      <c r="E85" s="393">
        <v>2566</v>
      </c>
      <c r="F85" s="393">
        <v>2533</v>
      </c>
      <c r="G85" s="393">
        <v>2566</v>
      </c>
      <c r="H85" s="393">
        <v>2115</v>
      </c>
      <c r="I85" s="393">
        <v>2449</v>
      </c>
      <c r="J85" s="393">
        <v>2478</v>
      </c>
      <c r="K85" s="393">
        <v>2571</v>
      </c>
      <c r="L85" s="393">
        <v>3162</v>
      </c>
      <c r="M85" s="393">
        <v>2876</v>
      </c>
      <c r="N85" s="393">
        <v>2525</v>
      </c>
      <c r="O85" s="551">
        <f>SUM(C85:N85)</f>
        <v>31245</v>
      </c>
    </row>
    <row r="86" spans="1:18" customFormat="1" x14ac:dyDescent="0.15">
      <c r="A86" s="239"/>
      <c r="B86" s="239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3"/>
    </row>
    <row r="87" spans="1:18" customFormat="1" x14ac:dyDescent="0.15">
      <c r="A87" s="239" t="s">
        <v>464</v>
      </c>
      <c r="B87" s="239"/>
      <c r="C87" s="393">
        <f>C83-C85</f>
        <v>1833.6869203840006</v>
      </c>
      <c r="D87" s="393">
        <f t="shared" ref="D87:N87" si="33">D83-D85</f>
        <v>990.89217519999966</v>
      </c>
      <c r="E87" s="393">
        <f t="shared" si="33"/>
        <v>1158.2406643999998</v>
      </c>
      <c r="F87" s="393">
        <f t="shared" si="33"/>
        <v>621.33409200000006</v>
      </c>
      <c r="G87" s="393">
        <f t="shared" si="33"/>
        <v>367.5725996000001</v>
      </c>
      <c r="H87" s="393">
        <f t="shared" si="33"/>
        <v>649.56768199999988</v>
      </c>
      <c r="I87" s="393">
        <f t="shared" si="33"/>
        <v>582.34004900000036</v>
      </c>
      <c r="J87" s="393">
        <f t="shared" si="33"/>
        <v>586.72693720000007</v>
      </c>
      <c r="K87" s="393">
        <f t="shared" si="33"/>
        <v>-80.548899999999776</v>
      </c>
      <c r="L87" s="393">
        <f t="shared" si="33"/>
        <v>-415.13776608799981</v>
      </c>
      <c r="M87" s="393">
        <f t="shared" si="33"/>
        <v>-212.49181337999971</v>
      </c>
      <c r="N87" s="393">
        <f t="shared" si="33"/>
        <v>50.711446270000124</v>
      </c>
      <c r="O87" s="393">
        <f>SUM(C87:N87)</f>
        <v>6132.8940865860013</v>
      </c>
      <c r="Q87" s="147">
        <v>0</v>
      </c>
      <c r="R87" s="147">
        <v>0</v>
      </c>
    </row>
    <row r="88" spans="1:18" x14ac:dyDescent="0.2">
      <c r="A88" s="239"/>
      <c r="B88" s="239"/>
      <c r="C88" s="514"/>
      <c r="D88" s="514"/>
      <c r="E88" s="514"/>
      <c r="F88" s="514"/>
      <c r="G88" s="514"/>
      <c r="H88" s="514"/>
      <c r="I88" s="514"/>
      <c r="J88" s="514"/>
      <c r="K88" s="514"/>
      <c r="L88" s="514"/>
      <c r="M88" s="514"/>
      <c r="N88" s="514"/>
      <c r="O88" s="444"/>
      <c r="Q88" s="514"/>
      <c r="R88" s="514"/>
    </row>
    <row r="89" spans="1:18" x14ac:dyDescent="0.2">
      <c r="A89" s="239"/>
      <c r="B89" s="239"/>
      <c r="C89" s="514"/>
      <c r="D89" s="514"/>
      <c r="E89" s="514"/>
      <c r="F89" s="514"/>
      <c r="G89" s="514"/>
      <c r="H89" s="514"/>
      <c r="I89" s="514"/>
      <c r="J89" s="514"/>
      <c r="K89" s="514"/>
      <c r="L89" s="514"/>
      <c r="M89" s="514"/>
      <c r="N89" s="514"/>
      <c r="O89" s="444"/>
      <c r="Q89" s="514"/>
      <c r="R89" s="514"/>
    </row>
    <row r="90" spans="1:18" x14ac:dyDescent="0.2">
      <c r="A90" s="239"/>
      <c r="B90" s="239"/>
      <c r="C90" s="514"/>
      <c r="D90" s="514"/>
      <c r="E90" s="514"/>
      <c r="F90" s="514"/>
      <c r="G90" s="514"/>
      <c r="H90" s="514"/>
      <c r="I90" s="514"/>
      <c r="J90" s="514"/>
      <c r="K90" s="514"/>
      <c r="L90" s="514"/>
      <c r="M90" s="514"/>
      <c r="N90" s="514"/>
      <c r="O90" s="239"/>
    </row>
    <row r="91" spans="1:18" x14ac:dyDescent="0.15">
      <c r="A91" s="301" t="s">
        <v>426</v>
      </c>
      <c r="B91" s="302"/>
      <c r="C91" s="507">
        <v>5.9999999999999995E-4</v>
      </c>
      <c r="D91" s="302"/>
      <c r="E91" s="302"/>
      <c r="F91" s="302"/>
      <c r="G91" s="302"/>
      <c r="H91" s="302"/>
      <c r="I91" s="302"/>
      <c r="J91" s="302"/>
      <c r="K91" s="302"/>
      <c r="L91" s="302"/>
      <c r="M91" s="302"/>
      <c r="N91" s="302"/>
      <c r="O91" s="399"/>
    </row>
    <row r="92" spans="1:18" x14ac:dyDescent="0.2">
      <c r="A92" s="297" t="s">
        <v>427</v>
      </c>
      <c r="B92" s="298"/>
      <c r="C92" s="515">
        <f>C45*$C$91</f>
        <v>34.386489599999997</v>
      </c>
      <c r="D92" s="515">
        <f t="shared" ref="D92:N92" si="34">D45*$C$91</f>
        <v>30.980039999999995</v>
      </c>
      <c r="E92" s="515">
        <f t="shared" si="34"/>
        <v>34.088219999999993</v>
      </c>
      <c r="F92" s="515">
        <f t="shared" si="34"/>
        <v>37.508399999999995</v>
      </c>
      <c r="G92" s="515">
        <f t="shared" si="34"/>
        <v>37.808219999999984</v>
      </c>
      <c r="H92" s="515">
        <f t="shared" si="34"/>
        <v>35.872199999999999</v>
      </c>
      <c r="I92" s="515">
        <f t="shared" si="34"/>
        <v>35.256299999999989</v>
      </c>
      <c r="J92" s="515">
        <f t="shared" si="34"/>
        <v>35.47763999999998</v>
      </c>
      <c r="K92" s="515">
        <f t="shared" si="34"/>
        <v>33.101999999999997</v>
      </c>
      <c r="L92" s="515">
        <f t="shared" si="34"/>
        <v>31.200774599999999</v>
      </c>
      <c r="M92" s="515">
        <f t="shared" si="34"/>
        <v>31.814945999999999</v>
      </c>
      <c r="N92" s="515">
        <f t="shared" si="34"/>
        <v>36.241597800000008</v>
      </c>
      <c r="O92" s="516">
        <f>SUM(C92:N92)</f>
        <v>413.73682799999995</v>
      </c>
      <c r="Q92" s="521">
        <f>Q45*0.0006</f>
        <v>420.43984999999998</v>
      </c>
      <c r="R92" s="521">
        <f>R45*0.0006</f>
        <v>502.71814999999992</v>
      </c>
    </row>
    <row r="93" spans="1:18" x14ac:dyDescent="0.2">
      <c r="A93" s="297" t="s">
        <v>192</v>
      </c>
      <c r="B93" s="298"/>
      <c r="C93" s="508">
        <v>4.5</v>
      </c>
      <c r="D93" s="508">
        <v>4.5</v>
      </c>
      <c r="E93" s="508">
        <v>4.5</v>
      </c>
      <c r="F93" s="508">
        <v>4.5</v>
      </c>
      <c r="G93" s="508">
        <v>4.5</v>
      </c>
      <c r="H93" s="508">
        <v>4.5</v>
      </c>
      <c r="I93" s="508">
        <v>4.5</v>
      </c>
      <c r="J93" s="508">
        <v>4.5</v>
      </c>
      <c r="K93" s="508">
        <v>4.5</v>
      </c>
      <c r="L93" s="508">
        <v>4.5</v>
      </c>
      <c r="M93" s="508">
        <v>4.5</v>
      </c>
      <c r="N93" s="508">
        <v>4.5</v>
      </c>
      <c r="O93" s="400"/>
      <c r="Q93" s="239">
        <v>2.37</v>
      </c>
      <c r="R93" s="239">
        <v>2.37</v>
      </c>
    </row>
    <row r="94" spans="1:18" x14ac:dyDescent="0.2">
      <c r="A94" s="297" t="s">
        <v>428</v>
      </c>
      <c r="B94" s="298"/>
      <c r="C94" s="517">
        <f>C92*C93</f>
        <v>154.73920319999999</v>
      </c>
      <c r="D94" s="517">
        <f>D92*D93</f>
        <v>139.41017999999997</v>
      </c>
      <c r="E94" s="517">
        <f t="shared" ref="E94:N94" si="35">E92*E93</f>
        <v>153.39698999999996</v>
      </c>
      <c r="F94" s="517">
        <f t="shared" si="35"/>
        <v>168.78779999999998</v>
      </c>
      <c r="G94" s="517">
        <f t="shared" si="35"/>
        <v>170.13698999999994</v>
      </c>
      <c r="H94" s="517">
        <f t="shared" si="35"/>
        <v>161.42490000000001</v>
      </c>
      <c r="I94" s="517">
        <f t="shared" si="35"/>
        <v>158.65334999999996</v>
      </c>
      <c r="J94" s="517">
        <f t="shared" si="35"/>
        <v>159.64937999999989</v>
      </c>
      <c r="K94" s="517">
        <f t="shared" si="35"/>
        <v>148.95899999999997</v>
      </c>
      <c r="L94" s="517">
        <f t="shared" si="35"/>
        <v>140.4034857</v>
      </c>
      <c r="M94" s="517">
        <f t="shared" si="35"/>
        <v>143.16725700000001</v>
      </c>
      <c r="N94" s="517">
        <f t="shared" si="35"/>
        <v>163.08719010000004</v>
      </c>
      <c r="O94" s="518">
        <f>SUM(C94:N94)</f>
        <v>1861.8157259999998</v>
      </c>
      <c r="Q94" s="521">
        <f>Q92*Q93</f>
        <v>996.44244449999997</v>
      </c>
      <c r="R94" s="521">
        <f>R92*R93</f>
        <v>1191.4420154999998</v>
      </c>
    </row>
    <row r="95" spans="1:18" x14ac:dyDescent="0.15">
      <c r="A95" s="519"/>
      <c r="B95" s="449"/>
      <c r="C95" s="449"/>
      <c r="D95" s="449"/>
      <c r="E95" s="449"/>
      <c r="F95" s="449"/>
      <c r="G95" s="449"/>
      <c r="H95" s="449"/>
      <c r="I95" s="449"/>
      <c r="J95" s="449"/>
      <c r="K95" s="449"/>
      <c r="L95" s="449"/>
      <c r="M95" s="449"/>
      <c r="N95" s="449"/>
      <c r="O95" s="520"/>
    </row>
    <row r="96" spans="1:18" x14ac:dyDescent="0.15">
      <c r="A96" s="239"/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  <c r="M96" s="239"/>
      <c r="N96" s="239"/>
      <c r="O96" s="239"/>
    </row>
    <row r="97" spans="1:15" x14ac:dyDescent="0.15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</row>
    <row r="98" spans="1:15" x14ac:dyDescent="0.15">
      <c r="A98" s="298"/>
      <c r="B98" s="298"/>
      <c r="C98" s="509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</row>
    <row r="99" spans="1:15" x14ac:dyDescent="0.15">
      <c r="A99" s="555" t="s">
        <v>465</v>
      </c>
      <c r="B99" s="302"/>
      <c r="C99" s="507">
        <v>5.9999999999999995E-4</v>
      </c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99"/>
    </row>
    <row r="100" spans="1:15" x14ac:dyDescent="0.2">
      <c r="A100" s="297" t="s">
        <v>427</v>
      </c>
      <c r="B100" s="298"/>
      <c r="C100" s="515">
        <v>34.413720000000012</v>
      </c>
      <c r="D100" s="515">
        <v>30.64487999999999</v>
      </c>
      <c r="E100" s="515">
        <v>33.522779999999997</v>
      </c>
      <c r="F100" s="515">
        <v>30.898800000000001</v>
      </c>
      <c r="G100" s="515">
        <v>32.828999999999994</v>
      </c>
      <c r="H100" s="515">
        <v>32.477400000000003</v>
      </c>
      <c r="I100" s="515">
        <v>29.583299999999998</v>
      </c>
      <c r="J100" s="515">
        <v>31.15128</v>
      </c>
      <c r="K100" s="515">
        <v>29.003400000000003</v>
      </c>
      <c r="L100" s="515">
        <v>31.692539999999997</v>
      </c>
      <c r="M100" s="515">
        <v>31.388400000000001</v>
      </c>
      <c r="N100" s="515">
        <v>34.374659999999999</v>
      </c>
      <c r="O100" s="516">
        <f>SUM(C100:N100)</f>
        <v>381.98015999999996</v>
      </c>
    </row>
    <row r="101" spans="1:15" x14ac:dyDescent="0.2">
      <c r="A101" s="297" t="s">
        <v>192</v>
      </c>
      <c r="B101" s="298"/>
      <c r="C101" s="508">
        <v>4.5</v>
      </c>
      <c r="D101" s="508">
        <v>4.5</v>
      </c>
      <c r="E101" s="508">
        <v>4.5</v>
      </c>
      <c r="F101" s="508">
        <v>4.5</v>
      </c>
      <c r="G101" s="508">
        <v>4.5</v>
      </c>
      <c r="H101" s="508">
        <v>4.5</v>
      </c>
      <c r="I101" s="508">
        <v>4.5</v>
      </c>
      <c r="J101" s="508">
        <v>4.5</v>
      </c>
      <c r="K101" s="508">
        <v>4.5</v>
      </c>
      <c r="L101" s="508">
        <v>4.5</v>
      </c>
      <c r="M101" s="508">
        <v>4.5</v>
      </c>
      <c r="N101" s="508">
        <v>4.5</v>
      </c>
      <c r="O101" s="400"/>
    </row>
    <row r="102" spans="1:15" x14ac:dyDescent="0.2">
      <c r="A102" s="297" t="s">
        <v>428</v>
      </c>
      <c r="B102" s="298"/>
      <c r="C102" s="517">
        <f t="shared" ref="C102:N102" si="36">C100*C101</f>
        <v>154.86174000000005</v>
      </c>
      <c r="D102" s="517">
        <f t="shared" si="36"/>
        <v>137.90195999999995</v>
      </c>
      <c r="E102" s="517">
        <f t="shared" si="36"/>
        <v>150.85251</v>
      </c>
      <c r="F102" s="517">
        <f t="shared" si="36"/>
        <v>139.0446</v>
      </c>
      <c r="G102" s="517">
        <f t="shared" si="36"/>
        <v>147.73049999999998</v>
      </c>
      <c r="H102" s="517">
        <f t="shared" si="36"/>
        <v>146.14830000000001</v>
      </c>
      <c r="I102" s="517">
        <f t="shared" si="36"/>
        <v>133.12484999999998</v>
      </c>
      <c r="J102" s="517">
        <f t="shared" si="36"/>
        <v>140.18075999999999</v>
      </c>
      <c r="K102" s="517">
        <f t="shared" si="36"/>
        <v>130.51530000000002</v>
      </c>
      <c r="L102" s="517">
        <f t="shared" si="36"/>
        <v>142.61642999999998</v>
      </c>
      <c r="M102" s="517">
        <f t="shared" si="36"/>
        <v>141.24780000000001</v>
      </c>
      <c r="N102" s="517">
        <f t="shared" si="36"/>
        <v>154.68597</v>
      </c>
      <c r="O102" s="518">
        <f>SUM(C102:N102)</f>
        <v>1718.9107200000001</v>
      </c>
    </row>
    <row r="103" spans="1:15" x14ac:dyDescent="0.15">
      <c r="A103" s="519"/>
      <c r="B103" s="449"/>
      <c r="C103" s="449"/>
      <c r="D103" s="449"/>
      <c r="E103" s="449"/>
      <c r="F103" s="449"/>
      <c r="G103" s="449"/>
      <c r="H103" s="449"/>
      <c r="I103" s="449"/>
      <c r="J103" s="449"/>
      <c r="K103" s="449"/>
      <c r="L103" s="449"/>
      <c r="M103" s="449"/>
      <c r="N103" s="449"/>
      <c r="O103" s="520"/>
    </row>
    <row r="106" spans="1:15" x14ac:dyDescent="0.15">
      <c r="A106" s="555" t="s">
        <v>228</v>
      </c>
      <c r="B106" s="302"/>
      <c r="C106" s="507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99"/>
    </row>
    <row r="107" spans="1:15" x14ac:dyDescent="0.2">
      <c r="A107" s="297" t="s">
        <v>478</v>
      </c>
      <c r="B107" s="298"/>
      <c r="C107" s="515">
        <f>(C56+C59+C60+C61)/C1</f>
        <v>29.659726141935565</v>
      </c>
      <c r="D107" s="515">
        <f t="shared" ref="D107:N107" si="37">(D56+D59+D60+D61)/D1</f>
        <v>29.97414142857134</v>
      </c>
      <c r="E107" s="515">
        <f t="shared" si="37"/>
        <v>29.829412258064568</v>
      </c>
      <c r="F107" s="515">
        <f t="shared" si="37"/>
        <v>26.969386666666718</v>
      </c>
      <c r="G107" s="515">
        <f t="shared" si="37"/>
        <v>26.128767096774169</v>
      </c>
      <c r="H107" s="515">
        <f t="shared" si="37"/>
        <v>26.570926666666779</v>
      </c>
      <c r="I107" s="515">
        <f t="shared" si="37"/>
        <v>29.594958064516021</v>
      </c>
      <c r="J107" s="515">
        <f t="shared" si="37"/>
        <v>29.994269677419304</v>
      </c>
      <c r="K107" s="515">
        <f t="shared" si="37"/>
        <v>26.063266666666834</v>
      </c>
      <c r="L107" s="515">
        <f t="shared" si="37"/>
        <v>27.646926625806362</v>
      </c>
      <c r="M107" s="515">
        <f t="shared" si="37"/>
        <v>26.948001799999869</v>
      </c>
      <c r="N107" s="515">
        <f t="shared" si="37"/>
        <v>24.171814200000107</v>
      </c>
      <c r="O107" s="516">
        <f>SUM(C107:N107)</f>
        <v>333.55159729308758</v>
      </c>
    </row>
    <row r="108" spans="1:15" x14ac:dyDescent="0.2">
      <c r="A108" s="297" t="s">
        <v>479</v>
      </c>
      <c r="B108" s="298"/>
      <c r="C108" s="582">
        <v>20</v>
      </c>
      <c r="D108" s="582">
        <v>20</v>
      </c>
      <c r="E108" s="582">
        <v>20</v>
      </c>
      <c r="F108" s="582">
        <v>20</v>
      </c>
      <c r="G108" s="582">
        <v>20</v>
      </c>
      <c r="H108" s="582">
        <v>20</v>
      </c>
      <c r="I108" s="582">
        <v>20</v>
      </c>
      <c r="J108" s="582">
        <v>20</v>
      </c>
      <c r="K108" s="582">
        <v>20</v>
      </c>
      <c r="L108" s="582">
        <v>20</v>
      </c>
      <c r="M108" s="582">
        <v>20</v>
      </c>
      <c r="N108" s="582">
        <v>20</v>
      </c>
      <c r="O108" s="516">
        <f>SUM(C108:N108)</f>
        <v>240</v>
      </c>
    </row>
    <row r="109" spans="1:15" x14ac:dyDescent="0.2">
      <c r="A109" s="297" t="s">
        <v>480</v>
      </c>
      <c r="B109" s="298"/>
      <c r="C109" s="583">
        <f>C107-C108</f>
        <v>9.6597261419355647</v>
      </c>
      <c r="D109" s="583">
        <f t="shared" ref="D109:N109" si="38">D107-D108</f>
        <v>9.9741414285713397</v>
      </c>
      <c r="E109" s="583">
        <f t="shared" si="38"/>
        <v>9.8294122580645684</v>
      </c>
      <c r="F109" s="583">
        <f t="shared" si="38"/>
        <v>6.9693866666667184</v>
      </c>
      <c r="G109" s="583">
        <f t="shared" si="38"/>
        <v>6.128767096774169</v>
      </c>
      <c r="H109" s="583">
        <f t="shared" si="38"/>
        <v>6.5709266666667787</v>
      </c>
      <c r="I109" s="583">
        <f t="shared" si="38"/>
        <v>9.5949580645160211</v>
      </c>
      <c r="J109" s="583">
        <f t="shared" si="38"/>
        <v>9.9942696774193038</v>
      </c>
      <c r="K109" s="583">
        <f t="shared" si="38"/>
        <v>6.0632666666668342</v>
      </c>
      <c r="L109" s="583">
        <f t="shared" si="38"/>
        <v>7.646926625806362</v>
      </c>
      <c r="M109" s="583">
        <f t="shared" si="38"/>
        <v>6.9480017999998687</v>
      </c>
      <c r="N109" s="583">
        <f t="shared" si="38"/>
        <v>4.1718142000001066</v>
      </c>
      <c r="O109" s="516">
        <f>SUM(C109:N109)</f>
        <v>93.551597293087639</v>
      </c>
    </row>
    <row r="110" spans="1:15" x14ac:dyDescent="0.15">
      <c r="A110" s="519"/>
      <c r="B110" s="449"/>
      <c r="C110" s="449"/>
      <c r="D110" s="449"/>
      <c r="E110" s="449"/>
      <c r="F110" s="449"/>
      <c r="G110" s="449"/>
      <c r="H110" s="449"/>
      <c r="I110" s="449"/>
      <c r="J110" s="449"/>
      <c r="K110" s="449"/>
      <c r="L110" s="449"/>
      <c r="M110" s="449"/>
      <c r="N110" s="449"/>
      <c r="O110" s="520"/>
    </row>
    <row r="112" spans="1:15" x14ac:dyDescent="0.15">
      <c r="A112" s="510" t="str">
        <f ca="1">CELL("filename")</f>
        <v>C:\Users\Felienne\Enron\EnronSpreadsheets\[tracy_geaccone__40543__CE 3-2001.xls]Model_source_data</v>
      </c>
      <c r="F112" s="570">
        <f ca="1">(NOW())</f>
        <v>41887.55140300926</v>
      </c>
    </row>
    <row r="118" spans="1:16" x14ac:dyDescent="0.2">
      <c r="C118" s="611" t="s">
        <v>497</v>
      </c>
      <c r="D118" s="611" t="s">
        <v>498</v>
      </c>
      <c r="E118" s="611" t="s">
        <v>210</v>
      </c>
      <c r="F118" s="612" t="s">
        <v>211</v>
      </c>
      <c r="G118" s="611" t="s">
        <v>168</v>
      </c>
      <c r="H118" s="611" t="s">
        <v>212</v>
      </c>
      <c r="I118" s="611" t="s">
        <v>213</v>
      </c>
      <c r="J118" s="611" t="s">
        <v>499</v>
      </c>
      <c r="K118" s="611" t="s">
        <v>500</v>
      </c>
      <c r="L118" s="611" t="s">
        <v>501</v>
      </c>
      <c r="M118" s="611" t="s">
        <v>502</v>
      </c>
      <c r="N118" s="611" t="s">
        <v>503</v>
      </c>
      <c r="O118" s="504" t="s">
        <v>176</v>
      </c>
      <c r="P118" s="504" t="s">
        <v>504</v>
      </c>
    </row>
    <row r="119" spans="1:16" x14ac:dyDescent="0.15">
      <c r="P119" s="239"/>
    </row>
    <row r="120" spans="1:16" x14ac:dyDescent="0.15">
      <c r="A120" s="613" t="s">
        <v>505</v>
      </c>
      <c r="P120" s="239"/>
    </row>
    <row r="121" spans="1:16" x14ac:dyDescent="0.15">
      <c r="A121" s="613" t="s">
        <v>506</v>
      </c>
      <c r="P121" s="239"/>
    </row>
    <row r="122" spans="1:16" x14ac:dyDescent="0.15">
      <c r="A122" s="613" t="s">
        <v>507</v>
      </c>
      <c r="C122" s="548">
        <f>C54+C55</f>
        <v>146.84699999999984</v>
      </c>
      <c r="D122" s="548">
        <f t="shared" ref="D122:N122" si="39">D54+D55</f>
        <v>132.77600000000012</v>
      </c>
      <c r="E122" s="548">
        <f t="shared" si="39"/>
        <v>151.9000000000006</v>
      </c>
      <c r="F122" s="548">
        <f t="shared" si="39"/>
        <v>229.5900000000006</v>
      </c>
      <c r="G122" s="548">
        <f t="shared" si="39"/>
        <v>216.99999999999912</v>
      </c>
      <c r="H122" s="548">
        <f t="shared" si="39"/>
        <v>204.00000000000119</v>
      </c>
      <c r="I122" s="548">
        <f t="shared" si="39"/>
        <v>213.8999999999993</v>
      </c>
      <c r="J122" s="548">
        <f t="shared" si="39"/>
        <v>207.69999999999789</v>
      </c>
      <c r="K122" s="548">
        <f t="shared" si="39"/>
        <v>177.00000000000188</v>
      </c>
      <c r="L122" s="548">
        <f t="shared" si="39"/>
        <v>173.90999999999912</v>
      </c>
      <c r="M122" s="548">
        <f t="shared" si="39"/>
        <v>183.59999999999843</v>
      </c>
      <c r="N122" s="548">
        <f t="shared" si="39"/>
        <v>205.26333799999867</v>
      </c>
      <c r="O122" s="548">
        <f>SUM(C122:N122)</f>
        <v>2243.486337999997</v>
      </c>
      <c r="P122" s="239">
        <f>ROUND(O122/12,1)</f>
        <v>187</v>
      </c>
    </row>
    <row r="123" spans="1:16" x14ac:dyDescent="0.15">
      <c r="A123" s="613" t="s">
        <v>508</v>
      </c>
      <c r="C123" s="548">
        <f>SUM(C52:C56)</f>
        <v>2183.020000000005</v>
      </c>
      <c r="D123" s="548">
        <f t="shared" ref="D123:N123" si="40">SUM(D52:D56)</f>
        <v>1975.7639999999988</v>
      </c>
      <c r="E123" s="548">
        <f t="shared" si="40"/>
        <v>2179.3000000000047</v>
      </c>
      <c r="F123" s="548">
        <f t="shared" si="40"/>
        <v>2241.1800000000021</v>
      </c>
      <c r="G123" s="548">
        <f t="shared" si="40"/>
        <v>2244.3999999999992</v>
      </c>
      <c r="H123" s="548">
        <f t="shared" si="40"/>
        <v>2157.0000000000055</v>
      </c>
      <c r="I123" s="548">
        <f t="shared" si="40"/>
        <v>2272.2999999999965</v>
      </c>
      <c r="J123" s="548">
        <f t="shared" si="40"/>
        <v>2284.6999999999975</v>
      </c>
      <c r="K123" s="548">
        <f t="shared" si="40"/>
        <v>2025.0000000000086</v>
      </c>
      <c r="L123" s="548">
        <f t="shared" si="40"/>
        <v>2037.2949999999955</v>
      </c>
      <c r="M123" s="548">
        <f t="shared" si="40"/>
        <v>2016.5899999999945</v>
      </c>
      <c r="N123" s="548">
        <f t="shared" si="40"/>
        <v>2126.1906760000061</v>
      </c>
      <c r="O123" s="548">
        <f>SUM(C123:N123)</f>
        <v>25742.739676000008</v>
      </c>
      <c r="P123" s="239">
        <f>ROUND(O123/12,1)</f>
        <v>2145.1999999999998</v>
      </c>
    </row>
    <row r="124" spans="1:16" x14ac:dyDescent="0.15">
      <c r="A124" s="613" t="s">
        <v>509</v>
      </c>
      <c r="C124" s="548">
        <f t="shared" ref="C124:P124" si="41">SUM(C122:C123)</f>
        <v>2329.8670000000047</v>
      </c>
      <c r="D124" s="548">
        <f t="shared" si="41"/>
        <v>2108.5399999999991</v>
      </c>
      <c r="E124" s="548">
        <f t="shared" si="41"/>
        <v>2331.2000000000053</v>
      </c>
      <c r="F124" s="548">
        <f t="shared" si="41"/>
        <v>2470.7700000000027</v>
      </c>
      <c r="G124" s="548">
        <f t="shared" si="41"/>
        <v>2461.3999999999983</v>
      </c>
      <c r="H124" s="548">
        <f t="shared" si="41"/>
        <v>2361.0000000000068</v>
      </c>
      <c r="I124" s="548">
        <f t="shared" si="41"/>
        <v>2486.1999999999957</v>
      </c>
      <c r="J124" s="548">
        <f t="shared" si="41"/>
        <v>2492.3999999999955</v>
      </c>
      <c r="K124" s="548">
        <f t="shared" si="41"/>
        <v>2202.0000000000105</v>
      </c>
      <c r="L124" s="548">
        <f t="shared" si="41"/>
        <v>2211.2049999999945</v>
      </c>
      <c r="M124" s="548">
        <f t="shared" si="41"/>
        <v>2200.1899999999928</v>
      </c>
      <c r="N124" s="548">
        <f t="shared" si="41"/>
        <v>2331.4540140000049</v>
      </c>
      <c r="O124" s="548">
        <f t="shared" si="41"/>
        <v>27986.226014000007</v>
      </c>
      <c r="P124" s="548">
        <f t="shared" si="41"/>
        <v>2332.1999999999998</v>
      </c>
    </row>
    <row r="125" spans="1:16" x14ac:dyDescent="0.15">
      <c r="A125" s="613"/>
      <c r="C125" s="548"/>
      <c r="D125" s="548"/>
      <c r="E125" s="548"/>
      <c r="F125" s="548"/>
      <c r="G125" s="548"/>
      <c r="H125" s="548"/>
      <c r="I125" s="548"/>
      <c r="J125" s="548"/>
      <c r="K125" s="548"/>
      <c r="L125" s="548"/>
      <c r="M125" s="548"/>
      <c r="N125" s="548"/>
      <c r="O125" s="548"/>
      <c r="P125" s="548"/>
    </row>
    <row r="126" spans="1:16" x14ac:dyDescent="0.15">
      <c r="A126" s="613" t="s">
        <v>510</v>
      </c>
      <c r="C126" s="548"/>
      <c r="D126" s="548"/>
      <c r="E126" s="548"/>
      <c r="F126" s="548"/>
      <c r="G126" s="548"/>
      <c r="H126" s="548"/>
      <c r="I126" s="548"/>
      <c r="J126" s="548"/>
      <c r="K126" s="548"/>
      <c r="L126" s="548"/>
      <c r="M126" s="548"/>
      <c r="N126" s="548"/>
      <c r="O126" s="548"/>
      <c r="P126" s="548"/>
    </row>
    <row r="127" spans="1:16" x14ac:dyDescent="0.15">
      <c r="A127" s="613" t="s">
        <v>511</v>
      </c>
      <c r="C127" s="548">
        <f>SUM(C17:C18)</f>
        <v>336.06299999999999</v>
      </c>
      <c r="D127" s="548">
        <f t="shared" ref="D127:N127" si="42">SUM(D17:D18)</f>
        <v>343.858</v>
      </c>
      <c r="E127" s="548">
        <f t="shared" si="42"/>
        <v>358.7</v>
      </c>
      <c r="F127" s="548">
        <f t="shared" si="42"/>
        <v>540.447</v>
      </c>
      <c r="G127" s="548">
        <f t="shared" si="42"/>
        <v>494.4</v>
      </c>
      <c r="H127" s="548">
        <f t="shared" si="42"/>
        <v>484.2</v>
      </c>
      <c r="I127" s="548">
        <f t="shared" si="42"/>
        <v>493.8</v>
      </c>
      <c r="J127" s="548">
        <f t="shared" si="42"/>
        <v>471.40000000000003</v>
      </c>
      <c r="K127" s="548">
        <f t="shared" si="42"/>
        <v>422.69999999999993</v>
      </c>
      <c r="L127" s="548">
        <f t="shared" si="42"/>
        <v>398.29</v>
      </c>
      <c r="M127" s="548">
        <f t="shared" si="42"/>
        <v>438.88</v>
      </c>
      <c r="N127" s="548">
        <f t="shared" si="42"/>
        <v>473.378602</v>
      </c>
      <c r="O127" s="548">
        <f>SUM(C127:N127)</f>
        <v>5256.1166020000001</v>
      </c>
      <c r="P127" s="239">
        <f>ROUND(O127/12,1)</f>
        <v>438</v>
      </c>
    </row>
    <row r="128" spans="1:16" x14ac:dyDescent="0.15">
      <c r="A128" s="613" t="s">
        <v>512</v>
      </c>
      <c r="C128" s="512">
        <f>SUM(C12:C16)</f>
        <v>2213.8389999999999</v>
      </c>
      <c r="D128" s="512">
        <f t="shared" ref="D128:N128" si="43">SUM(D12:D16)</f>
        <v>2194.69</v>
      </c>
      <c r="E128" s="512">
        <f t="shared" si="43"/>
        <v>2118.6</v>
      </c>
      <c r="F128" s="512">
        <f t="shared" si="43"/>
        <v>2107.1000000000004</v>
      </c>
      <c r="G128" s="512">
        <f t="shared" si="43"/>
        <v>2124.4</v>
      </c>
      <c r="H128" s="512">
        <f t="shared" si="43"/>
        <v>2140.2999999999997</v>
      </c>
      <c r="I128" s="512">
        <f t="shared" si="43"/>
        <v>2160.1000000000004</v>
      </c>
      <c r="J128" s="512">
        <f t="shared" si="43"/>
        <v>2176</v>
      </c>
      <c r="K128" s="512">
        <f t="shared" si="43"/>
        <v>2036.6</v>
      </c>
      <c r="L128" s="512">
        <f t="shared" si="43"/>
        <v>1918.8953064516129</v>
      </c>
      <c r="M128" s="512">
        <f t="shared" si="43"/>
        <v>1961.2448333333334</v>
      </c>
      <c r="N128" s="512">
        <f t="shared" si="43"/>
        <v>2037.3804999999998</v>
      </c>
      <c r="O128" s="548">
        <f>SUM(C128:N128)</f>
        <v>25189.149639784948</v>
      </c>
      <c r="P128" s="239">
        <f>ROUND(O128/12,1)</f>
        <v>2099.1</v>
      </c>
    </row>
    <row r="129" spans="1:16" x14ac:dyDescent="0.15">
      <c r="A129" s="613"/>
      <c r="C129" s="548">
        <f t="shared" ref="C129:P129" si="44">SUM(C127:C128)</f>
        <v>2549.902</v>
      </c>
      <c r="D129" s="548">
        <f t="shared" si="44"/>
        <v>2538.5480000000002</v>
      </c>
      <c r="E129" s="548">
        <f t="shared" si="44"/>
        <v>2477.2999999999997</v>
      </c>
      <c r="F129" s="548">
        <f t="shared" si="44"/>
        <v>2647.5470000000005</v>
      </c>
      <c r="G129" s="548">
        <f t="shared" si="44"/>
        <v>2618.8000000000002</v>
      </c>
      <c r="H129" s="548">
        <f t="shared" si="44"/>
        <v>2624.4999999999995</v>
      </c>
      <c r="I129" s="548">
        <f t="shared" si="44"/>
        <v>2653.9000000000005</v>
      </c>
      <c r="J129" s="548">
        <f t="shared" si="44"/>
        <v>2647.4</v>
      </c>
      <c r="K129" s="548">
        <f t="shared" si="44"/>
        <v>2459.2999999999997</v>
      </c>
      <c r="L129" s="548">
        <f t="shared" si="44"/>
        <v>2317.1853064516131</v>
      </c>
      <c r="M129" s="548">
        <f t="shared" si="44"/>
        <v>2400.1248333333333</v>
      </c>
      <c r="N129" s="548">
        <f t="shared" si="44"/>
        <v>2510.759102</v>
      </c>
      <c r="O129" s="548">
        <f t="shared" si="44"/>
        <v>30445.26624178495</v>
      </c>
      <c r="P129" s="548">
        <f t="shared" si="44"/>
        <v>2537.1</v>
      </c>
    </row>
    <row r="130" spans="1:16" x14ac:dyDescent="0.15">
      <c r="A130" s="613" t="s">
        <v>513</v>
      </c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  <c r="M130" s="239"/>
      <c r="N130" s="239"/>
      <c r="O130" s="239"/>
      <c r="P130" s="239"/>
    </row>
    <row r="131" spans="1:16" x14ac:dyDescent="0.15">
      <c r="A131" s="613" t="s">
        <v>514</v>
      </c>
      <c r="C131" s="548">
        <f>C122</f>
        <v>146.84699999999984</v>
      </c>
      <c r="D131" s="548">
        <f t="shared" ref="D131:N131" si="45">D122</f>
        <v>132.77600000000012</v>
      </c>
      <c r="E131" s="548">
        <f t="shared" si="45"/>
        <v>151.9000000000006</v>
      </c>
      <c r="F131" s="548">
        <f t="shared" si="45"/>
        <v>229.5900000000006</v>
      </c>
      <c r="G131" s="548">
        <f t="shared" si="45"/>
        <v>216.99999999999912</v>
      </c>
      <c r="H131" s="548">
        <f t="shared" si="45"/>
        <v>204.00000000000119</v>
      </c>
      <c r="I131" s="548">
        <f t="shared" si="45"/>
        <v>213.8999999999993</v>
      </c>
      <c r="J131" s="548">
        <f t="shared" si="45"/>
        <v>207.69999999999789</v>
      </c>
      <c r="K131" s="548">
        <f t="shared" si="45"/>
        <v>177.00000000000188</v>
      </c>
      <c r="L131" s="548">
        <f t="shared" si="45"/>
        <v>173.90999999999912</v>
      </c>
      <c r="M131" s="548">
        <f t="shared" si="45"/>
        <v>183.59999999999843</v>
      </c>
      <c r="N131" s="548">
        <f t="shared" si="45"/>
        <v>205.26333799999867</v>
      </c>
      <c r="O131" s="548">
        <f>SUM(C131:N131)</f>
        <v>2243.486337999997</v>
      </c>
      <c r="P131" s="239">
        <f>ROUND(O131/12,1)</f>
        <v>187</v>
      </c>
    </row>
    <row r="132" spans="1:16" x14ac:dyDescent="0.15">
      <c r="A132" s="613" t="s">
        <v>519</v>
      </c>
      <c r="C132" s="548">
        <f>(914.28*1.09)-C131</f>
        <v>849.71820000000014</v>
      </c>
      <c r="D132" s="548">
        <f>(836.32*1.09)-D131</f>
        <v>778.81279999999992</v>
      </c>
      <c r="E132" s="548">
        <f>(923.44*1.09)-E131</f>
        <v>854.64959999999951</v>
      </c>
      <c r="F132" s="548">
        <f>(765.77*1.09)-F131</f>
        <v>605.0992999999994</v>
      </c>
      <c r="G132" s="548">
        <f>(795.19*1.09)-G131</f>
        <v>649.75710000000106</v>
      </c>
      <c r="H132" s="548">
        <f>(792.9*1.09)-H131</f>
        <v>660.26099999999883</v>
      </c>
      <c r="I132" s="548">
        <f>(829.19*1.09)-I131</f>
        <v>689.9171000000008</v>
      </c>
      <c r="J132" s="239">
        <f>ROUND((J128-J16)*J76*J1,2)</f>
        <v>765.41</v>
      </c>
      <c r="K132" s="239">
        <f>ROUND((K128-K16)*K76*K1,2)</f>
        <v>732.89</v>
      </c>
      <c r="L132" s="239">
        <f>ROUND((L128-L16)*L76*L1,2)</f>
        <v>681.52</v>
      </c>
      <c r="M132" s="239">
        <f>ROUND((M128-M16)*M76*M1,2)</f>
        <v>685.71</v>
      </c>
      <c r="N132" s="239">
        <f>ROUND((N128-N16)*N76*N1,2)</f>
        <v>789.99</v>
      </c>
      <c r="O132" s="548">
        <f>SUM(C132:N132)</f>
        <v>8743.7350999999999</v>
      </c>
      <c r="P132" s="239">
        <f>ROUND(O132/12,1)</f>
        <v>728.6</v>
      </c>
    </row>
    <row r="133" spans="1:16" x14ac:dyDescent="0.15">
      <c r="A133" s="613"/>
      <c r="C133" s="548">
        <f t="shared" ref="C133:P133" si="46">SUM(C131:C132)</f>
        <v>996.5652</v>
      </c>
      <c r="D133" s="548">
        <f t="shared" si="46"/>
        <v>911.58879999999999</v>
      </c>
      <c r="E133" s="548">
        <f t="shared" si="46"/>
        <v>1006.5496000000001</v>
      </c>
      <c r="F133" s="548">
        <f t="shared" si="46"/>
        <v>834.6893</v>
      </c>
      <c r="G133" s="548">
        <f t="shared" si="46"/>
        <v>866.75710000000015</v>
      </c>
      <c r="H133" s="548">
        <f t="shared" si="46"/>
        <v>864.26099999999997</v>
      </c>
      <c r="I133" s="548">
        <f t="shared" si="46"/>
        <v>903.8171000000001</v>
      </c>
      <c r="J133" s="548">
        <f t="shared" si="46"/>
        <v>973.10999999999785</v>
      </c>
      <c r="K133" s="548">
        <f t="shared" si="46"/>
        <v>909.89000000000192</v>
      </c>
      <c r="L133" s="548">
        <f t="shared" si="46"/>
        <v>855.42999999999915</v>
      </c>
      <c r="M133" s="548">
        <f t="shared" si="46"/>
        <v>869.30999999999847</v>
      </c>
      <c r="N133" s="548">
        <f t="shared" si="46"/>
        <v>995.25333799999862</v>
      </c>
      <c r="O133" s="548">
        <f t="shared" si="46"/>
        <v>10987.221437999997</v>
      </c>
      <c r="P133" s="548">
        <f t="shared" si="46"/>
        <v>915.6</v>
      </c>
    </row>
    <row r="134" spans="1:16" x14ac:dyDescent="0.15">
      <c r="A134" s="613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  <c r="M134" s="239"/>
      <c r="N134" s="239"/>
      <c r="O134" s="239"/>
      <c r="P134" s="239"/>
    </row>
    <row r="135" spans="1:16" x14ac:dyDescent="0.15">
      <c r="A135" s="613" t="s">
        <v>518</v>
      </c>
      <c r="C135" s="391">
        <f>-C59</f>
        <v>996</v>
      </c>
      <c r="D135" s="391">
        <f t="shared" ref="D135:N135" si="47">-D59</f>
        <v>898</v>
      </c>
      <c r="E135" s="391">
        <f t="shared" si="47"/>
        <v>988</v>
      </c>
      <c r="F135" s="391">
        <f t="shared" si="47"/>
        <v>1090</v>
      </c>
      <c r="G135" s="391">
        <f t="shared" si="47"/>
        <v>1099</v>
      </c>
      <c r="H135" s="391">
        <f t="shared" si="47"/>
        <v>1042</v>
      </c>
      <c r="I135" s="391">
        <f t="shared" si="47"/>
        <v>1022</v>
      </c>
      <c r="J135" s="391">
        <f t="shared" si="47"/>
        <v>1028</v>
      </c>
      <c r="K135" s="391">
        <f t="shared" si="47"/>
        <v>958</v>
      </c>
      <c r="L135" s="391">
        <f t="shared" si="47"/>
        <v>904</v>
      </c>
      <c r="M135" s="391">
        <f t="shared" si="47"/>
        <v>923</v>
      </c>
      <c r="N135" s="391">
        <f t="shared" si="47"/>
        <v>1054</v>
      </c>
      <c r="O135" s="391">
        <f>-O62</f>
        <v>0</v>
      </c>
      <c r="P135" s="391">
        <f>-P62</f>
        <v>0</v>
      </c>
    </row>
    <row r="136" spans="1:16" x14ac:dyDescent="0.15">
      <c r="A136" s="613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  <c r="M136" s="239"/>
      <c r="N136" s="239"/>
      <c r="O136" s="239"/>
      <c r="P136" s="239"/>
    </row>
    <row r="137" spans="1:16" x14ac:dyDescent="0.15">
      <c r="A137" s="510" t="s">
        <v>515</v>
      </c>
      <c r="C137" s="548">
        <f>C133-C135</f>
        <v>0.56520000000000437</v>
      </c>
      <c r="D137" s="548">
        <f t="shared" ref="D137:N137" si="48">D133-D135</f>
        <v>13.588799999999992</v>
      </c>
      <c r="E137" s="548">
        <f t="shared" si="48"/>
        <v>18.549600000000055</v>
      </c>
      <c r="F137" s="548">
        <f t="shared" si="48"/>
        <v>-255.3107</v>
      </c>
      <c r="G137" s="548">
        <f t="shared" si="48"/>
        <v>-232.24289999999985</v>
      </c>
      <c r="H137" s="548">
        <f t="shared" si="48"/>
        <v>-177.73900000000003</v>
      </c>
      <c r="I137" s="548">
        <f t="shared" si="48"/>
        <v>-118.1828999999999</v>
      </c>
      <c r="J137" s="548">
        <f t="shared" si="48"/>
        <v>-54.890000000002146</v>
      </c>
      <c r="K137" s="548">
        <f t="shared" si="48"/>
        <v>-48.109999999998081</v>
      </c>
      <c r="L137" s="548">
        <f t="shared" si="48"/>
        <v>-48.570000000000846</v>
      </c>
      <c r="M137" s="548">
        <f t="shared" si="48"/>
        <v>-53.690000000001532</v>
      </c>
      <c r="N137" s="548">
        <f t="shared" si="48"/>
        <v>-58.746662000001379</v>
      </c>
      <c r="O137" s="548">
        <f>O133-O135</f>
        <v>10987.221437999997</v>
      </c>
      <c r="P137" s="548">
        <f>P133-P135</f>
        <v>915.6</v>
      </c>
    </row>
    <row r="138" spans="1:16" x14ac:dyDescent="0.15">
      <c r="P138" s="239"/>
    </row>
    <row r="139" spans="1:16" x14ac:dyDescent="0.15">
      <c r="A139" s="614" t="s">
        <v>516</v>
      </c>
      <c r="B139" s="614"/>
      <c r="C139" s="615">
        <f>C75</f>
        <v>8.2100000000000009</v>
      </c>
      <c r="D139" s="615">
        <f t="shared" ref="D139:N139" si="49">D75</f>
        <v>5.62</v>
      </c>
      <c r="E139" s="615">
        <f t="shared" si="49"/>
        <v>4.9800000000000004</v>
      </c>
      <c r="F139" s="615">
        <f t="shared" si="49"/>
        <v>4.87</v>
      </c>
      <c r="G139" s="615">
        <f t="shared" si="49"/>
        <v>3.82</v>
      </c>
      <c r="H139" s="615">
        <f t="shared" si="49"/>
        <v>3.19</v>
      </c>
      <c r="I139" s="615">
        <f t="shared" si="49"/>
        <v>2.77</v>
      </c>
      <c r="J139" s="615">
        <f t="shared" si="49"/>
        <v>2.77</v>
      </c>
      <c r="K139" s="615">
        <f t="shared" si="49"/>
        <v>1.95</v>
      </c>
      <c r="L139" s="615">
        <f t="shared" si="49"/>
        <v>2.2799999999999998</v>
      </c>
      <c r="M139" s="615">
        <f t="shared" si="49"/>
        <v>2.5299999999999998</v>
      </c>
      <c r="N139" s="615">
        <f t="shared" si="49"/>
        <v>2.85</v>
      </c>
      <c r="O139" s="615">
        <f>O75</f>
        <v>3.8200000000000016</v>
      </c>
      <c r="P139" s="548">
        <f>P75</f>
        <v>0</v>
      </c>
    </row>
    <row r="140" spans="1:16" x14ac:dyDescent="0.15">
      <c r="C140" s="548"/>
      <c r="D140" s="548"/>
      <c r="E140" s="548"/>
      <c r="F140" s="548"/>
      <c r="G140" s="548"/>
      <c r="H140" s="548"/>
      <c r="I140" s="548"/>
      <c r="J140" s="548"/>
      <c r="K140" s="548"/>
      <c r="L140" s="548"/>
      <c r="M140" s="548"/>
      <c r="N140" s="548"/>
      <c r="O140" s="548"/>
      <c r="P140" s="548"/>
    </row>
    <row r="141" spans="1:16" x14ac:dyDescent="0.15">
      <c r="A141" s="510" t="s">
        <v>517</v>
      </c>
      <c r="C141" s="548">
        <f>C137*C139</f>
        <v>4.6402920000000361</v>
      </c>
      <c r="D141" s="548">
        <f t="shared" ref="D141:N141" si="50">D137*D139</f>
        <v>76.369055999999958</v>
      </c>
      <c r="E141" s="548">
        <f t="shared" si="50"/>
        <v>92.377008000000288</v>
      </c>
      <c r="F141" s="548">
        <f t="shared" si="50"/>
        <v>-1243.3631090000001</v>
      </c>
      <c r="G141" s="548">
        <f t="shared" si="50"/>
        <v>-887.1678779999994</v>
      </c>
      <c r="H141" s="548">
        <f t="shared" si="50"/>
        <v>-566.98741000000007</v>
      </c>
      <c r="I141" s="548">
        <f t="shared" si="50"/>
        <v>-327.36663299999975</v>
      </c>
      <c r="J141" s="548">
        <f t="shared" si="50"/>
        <v>-152.04530000000594</v>
      </c>
      <c r="K141" s="548">
        <f t="shared" si="50"/>
        <v>-93.814499999996258</v>
      </c>
      <c r="L141" s="548">
        <f t="shared" si="50"/>
        <v>-110.73960000000191</v>
      </c>
      <c r="M141" s="548">
        <f t="shared" si="50"/>
        <v>-135.83570000000387</v>
      </c>
      <c r="N141" s="548">
        <f t="shared" si="50"/>
        <v>-167.42798670000394</v>
      </c>
      <c r="O141" s="548">
        <f>O137*O139</f>
        <v>41971.185893160007</v>
      </c>
      <c r="P141" s="548">
        <f>P137*P139</f>
        <v>0</v>
      </c>
    </row>
    <row r="143" spans="1:16" x14ac:dyDescent="0.15">
      <c r="A143" s="510" t="s">
        <v>520</v>
      </c>
      <c r="C143" s="510">
        <f>C132/(C128-C16)/C1</f>
        <v>1.8906564478025235E-2</v>
      </c>
      <c r="D143" s="510">
        <f t="shared" ref="D143:O143" si="51">D132/(D128-D16)/D1</f>
        <v>1.9355580121042458E-2</v>
      </c>
      <c r="E143" s="510">
        <f t="shared" si="51"/>
        <v>1.9536098310291853E-2</v>
      </c>
      <c r="F143" s="510">
        <f t="shared" si="51"/>
        <v>1.3639421603101597E-2</v>
      </c>
      <c r="G143" s="510">
        <f t="shared" si="51"/>
        <v>1.4205290716105006E-2</v>
      </c>
      <c r="H143" s="510">
        <f t="shared" si="51"/>
        <v>1.5218296224588552E-2</v>
      </c>
      <c r="I143" s="510">
        <f t="shared" si="51"/>
        <v>1.6633326100583455E-2</v>
      </c>
      <c r="J143" s="510">
        <f t="shared" si="51"/>
        <v>1.80000329235914E-2</v>
      </c>
      <c r="K143" s="510">
        <f t="shared" si="51"/>
        <v>1.8000049120738777E-2</v>
      </c>
      <c r="L143" s="510">
        <f t="shared" si="51"/>
        <v>1.8000084015534764E-2</v>
      </c>
      <c r="M143" s="510">
        <f t="shared" si="51"/>
        <v>1.7999879512553465E-2</v>
      </c>
      <c r="N143" s="510">
        <f t="shared" si="51"/>
        <v>1.7999989678356278E-2</v>
      </c>
      <c r="O143" s="510">
        <f t="shared" si="51"/>
        <v>9.5102212550679445E-4</v>
      </c>
    </row>
    <row r="145" spans="1:7" x14ac:dyDescent="0.15">
      <c r="A145" s="510" t="s">
        <v>521</v>
      </c>
      <c r="C145" s="510">
        <v>994</v>
      </c>
      <c r="D145" s="510">
        <v>905</v>
      </c>
      <c r="E145" s="510">
        <v>1026</v>
      </c>
      <c r="F145" s="510">
        <v>848</v>
      </c>
      <c r="G145" s="510">
        <v>905</v>
      </c>
    </row>
  </sheetData>
  <phoneticPr fontId="6" type="noConversion"/>
  <pageMargins left="0.75" right="0.75" top="0.66" bottom="0.21" header="0.5" footer="0.21"/>
  <pageSetup scale="70" orientation="landscape" horizontalDpi="4294967292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6:E289"/>
  <sheetViews>
    <sheetView workbookViewId="0">
      <selection activeCell="C74" sqref="C74"/>
    </sheetView>
  </sheetViews>
  <sheetFormatPr defaultColWidth="16" defaultRowHeight="12.75" x14ac:dyDescent="0.15"/>
  <cols>
    <col min="1" max="1" width="46.59765625" style="239" customWidth="1"/>
    <col min="2" max="3" width="16" style="440"/>
    <col min="4" max="16384" width="16" style="239"/>
  </cols>
  <sheetData>
    <row r="6" spans="1:4" x14ac:dyDescent="0.15">
      <c r="B6" s="441" t="s">
        <v>369</v>
      </c>
      <c r="C6" s="441" t="s">
        <v>370</v>
      </c>
    </row>
    <row r="7" spans="1:4" ht="15.75" x14ac:dyDescent="0.15">
      <c r="A7" s="174" t="s">
        <v>6</v>
      </c>
    </row>
    <row r="8" spans="1:4" ht="15.75" x14ac:dyDescent="0.15">
      <c r="A8" s="175" t="s">
        <v>7</v>
      </c>
    </row>
    <row r="9" spans="1:4" x14ac:dyDescent="0.15">
      <c r="A9" s="176" t="s">
        <v>8</v>
      </c>
    </row>
    <row r="10" spans="1:4" x14ac:dyDescent="0.15">
      <c r="A10" s="177" t="s">
        <v>9</v>
      </c>
      <c r="B10" s="440">
        <v>268</v>
      </c>
      <c r="C10" s="440">
        <f>Forecast01!N14</f>
        <v>261.45000000000005</v>
      </c>
      <c r="D10" s="444">
        <f>C10-B10</f>
        <v>-6.5499999999999545</v>
      </c>
    </row>
    <row r="11" spans="1:4" x14ac:dyDescent="0.15">
      <c r="A11" s="177" t="s">
        <v>10</v>
      </c>
      <c r="B11" s="440">
        <v>296.5</v>
      </c>
      <c r="C11" s="440">
        <f>Forecast01!N15</f>
        <v>361.48292831541221</v>
      </c>
      <c r="D11" s="444">
        <f>C11-B11</f>
        <v>64.982928315412209</v>
      </c>
    </row>
    <row r="12" spans="1:4" x14ac:dyDescent="0.15">
      <c r="A12" s="177" t="s">
        <v>11</v>
      </c>
      <c r="B12" s="440">
        <v>24</v>
      </c>
      <c r="C12" s="440">
        <f>Forecast01!N16</f>
        <v>43.552333333333337</v>
      </c>
      <c r="D12" s="444">
        <f>C12-B12</f>
        <v>19.552333333333337</v>
      </c>
    </row>
    <row r="13" spans="1:4" x14ac:dyDescent="0.15">
      <c r="A13" s="178" t="s">
        <v>12</v>
      </c>
      <c r="B13" s="440">
        <v>0.1</v>
      </c>
      <c r="C13" s="440">
        <f>Forecast01!N17</f>
        <v>39.250249999999994</v>
      </c>
      <c r="D13" s="444">
        <f>C13-B13</f>
        <v>39.150249999999993</v>
      </c>
    </row>
    <row r="14" spans="1:4" x14ac:dyDescent="0.15">
      <c r="A14" s="176" t="s">
        <v>13</v>
      </c>
      <c r="B14" s="440">
        <v>320.60000000000002</v>
      </c>
      <c r="C14" s="440">
        <f>Forecast01!N18</f>
        <v>444.28551164874551</v>
      </c>
      <c r="D14" s="444">
        <f>C14-B14</f>
        <v>123.68551164874549</v>
      </c>
    </row>
    <row r="15" spans="1:4" x14ac:dyDescent="0.15">
      <c r="A15" s="176"/>
    </row>
    <row r="16" spans="1:4" x14ac:dyDescent="0.15">
      <c r="A16" s="176" t="s">
        <v>14</v>
      </c>
    </row>
    <row r="17" spans="1:4" x14ac:dyDescent="0.15">
      <c r="A17" s="177" t="s">
        <v>9</v>
      </c>
      <c r="B17" s="440">
        <v>587.4</v>
      </c>
      <c r="C17" s="440">
        <f>Forecast01!N21</f>
        <v>588.76175000000001</v>
      </c>
      <c r="D17" s="444">
        <f>C17-B17</f>
        <v>1.3617500000000291</v>
      </c>
    </row>
    <row r="18" spans="1:4" x14ac:dyDescent="0.15">
      <c r="A18" s="177" t="s">
        <v>10</v>
      </c>
      <c r="B18" s="440">
        <v>397.9</v>
      </c>
      <c r="C18" s="440">
        <f>Forecast01!N22</f>
        <v>372.51366666666672</v>
      </c>
      <c r="D18" s="444">
        <f>C18-B18</f>
        <v>-25.386333333333255</v>
      </c>
    </row>
    <row r="19" spans="1:4" x14ac:dyDescent="0.15">
      <c r="A19" s="177" t="s">
        <v>11</v>
      </c>
      <c r="B19" s="440">
        <v>2.5</v>
      </c>
      <c r="C19" s="440">
        <f>Forecast01!N23</f>
        <v>4.8507500000000006</v>
      </c>
      <c r="D19" s="444">
        <f>C19-B19</f>
        <v>2.3507500000000006</v>
      </c>
    </row>
    <row r="20" spans="1:4" x14ac:dyDescent="0.15">
      <c r="A20" s="178" t="s">
        <v>15</v>
      </c>
      <c r="B20" s="440">
        <v>0.1</v>
      </c>
      <c r="C20" s="440">
        <f>Forecast01!N24</f>
        <v>12.914833333333334</v>
      </c>
      <c r="D20" s="444">
        <f>C20-B20</f>
        <v>12.814833333333334</v>
      </c>
    </row>
    <row r="21" spans="1:4" x14ac:dyDescent="0.15">
      <c r="A21" s="176" t="s">
        <v>16</v>
      </c>
      <c r="B21" s="440">
        <v>400.5</v>
      </c>
      <c r="C21" s="440">
        <f>Forecast01!N25</f>
        <v>390.27925000000005</v>
      </c>
      <c r="D21" s="444">
        <f>C21-B21</f>
        <v>-10.220749999999953</v>
      </c>
    </row>
    <row r="22" spans="1:4" x14ac:dyDescent="0.15">
      <c r="A22" s="176"/>
    </row>
    <row r="23" spans="1:4" x14ac:dyDescent="0.15">
      <c r="A23" s="176" t="s">
        <v>17</v>
      </c>
    </row>
    <row r="24" spans="1:4" x14ac:dyDescent="0.15">
      <c r="A24" s="177" t="s">
        <v>9</v>
      </c>
      <c r="B24" s="440">
        <v>60</v>
      </c>
      <c r="C24" s="440">
        <f>Forecast01!N28</f>
        <v>59.333333333333336</v>
      </c>
      <c r="D24" s="444">
        <f>C24-B24</f>
        <v>-0.6666666666666643</v>
      </c>
    </row>
    <row r="25" spans="1:4" x14ac:dyDescent="0.15">
      <c r="A25" s="177" t="s">
        <v>10</v>
      </c>
      <c r="B25" s="440">
        <v>54.5</v>
      </c>
      <c r="C25" s="440">
        <f>Forecast01!N29</f>
        <v>54.532416666666656</v>
      </c>
      <c r="D25" s="444">
        <f>C25-B25</f>
        <v>3.2416666666655658E-2</v>
      </c>
    </row>
    <row r="26" spans="1:4" x14ac:dyDescent="0.15">
      <c r="A26" s="234"/>
      <c r="C26" s="440">
        <f>Forecast01!N30</f>
        <v>0</v>
      </c>
      <c r="D26" s="444">
        <f>C26-B26</f>
        <v>0</v>
      </c>
    </row>
    <row r="27" spans="1:4" x14ac:dyDescent="0.15">
      <c r="A27" s="178" t="s">
        <v>15</v>
      </c>
      <c r="B27" s="440">
        <v>0</v>
      </c>
      <c r="C27" s="440">
        <f>Forecast01!N31</f>
        <v>0</v>
      </c>
      <c r="D27" s="444">
        <f>C27-B27</f>
        <v>0</v>
      </c>
    </row>
    <row r="28" spans="1:4" x14ac:dyDescent="0.15">
      <c r="A28" s="176" t="s">
        <v>18</v>
      </c>
      <c r="B28" s="440">
        <v>54.5</v>
      </c>
      <c r="C28" s="440">
        <f>Forecast01!N32</f>
        <v>54.532416666666656</v>
      </c>
      <c r="D28" s="444">
        <f>C28-B28</f>
        <v>3.2416666666655658E-2</v>
      </c>
    </row>
    <row r="29" spans="1:4" x14ac:dyDescent="0.15">
      <c r="A29" s="176"/>
    </row>
    <row r="30" spans="1:4" x14ac:dyDescent="0.15">
      <c r="A30" s="176" t="s">
        <v>19</v>
      </c>
    </row>
    <row r="31" spans="1:4" x14ac:dyDescent="0.15">
      <c r="A31" s="177" t="s">
        <v>9</v>
      </c>
      <c r="B31" s="440">
        <v>142</v>
      </c>
      <c r="C31" s="440">
        <f>Forecast01!N35</f>
        <v>188.35833333333332</v>
      </c>
      <c r="D31" s="444">
        <f t="shared" ref="D31:D38" si="0">C31-B31</f>
        <v>46.35833333333332</v>
      </c>
    </row>
    <row r="32" spans="1:4" x14ac:dyDescent="0.15">
      <c r="A32" s="177" t="s">
        <v>10</v>
      </c>
      <c r="B32" s="440">
        <v>120.8</v>
      </c>
      <c r="C32" s="440">
        <f>Forecast01!N36</f>
        <v>178.78258333333335</v>
      </c>
      <c r="D32" s="444">
        <f t="shared" si="0"/>
        <v>57.982583333333352</v>
      </c>
    </row>
    <row r="33" spans="1:4" x14ac:dyDescent="0.15">
      <c r="A33" s="177" t="s">
        <v>11</v>
      </c>
      <c r="B33" s="440">
        <v>0</v>
      </c>
      <c r="C33" s="440">
        <f>Forecast01!N37</f>
        <v>0</v>
      </c>
      <c r="D33" s="444">
        <f t="shared" si="0"/>
        <v>0</v>
      </c>
    </row>
    <row r="34" spans="1:4" x14ac:dyDescent="0.15">
      <c r="A34" s="177" t="s">
        <v>201</v>
      </c>
      <c r="B34" s="440">
        <v>0</v>
      </c>
      <c r="C34" s="440">
        <f>Forecast01!N38</f>
        <v>0.1075</v>
      </c>
      <c r="D34" s="444">
        <f t="shared" si="0"/>
        <v>0.1075</v>
      </c>
    </row>
    <row r="35" spans="1:4" x14ac:dyDescent="0.15">
      <c r="A35" s="178" t="s">
        <v>15</v>
      </c>
      <c r="B35" s="440">
        <v>0.1</v>
      </c>
      <c r="C35" s="440">
        <f>Forecast01!N39</f>
        <v>-0.71666666666666667</v>
      </c>
      <c r="D35" s="444">
        <f t="shared" si="0"/>
        <v>-0.81666666666666665</v>
      </c>
    </row>
    <row r="36" spans="1:4" x14ac:dyDescent="0.15">
      <c r="A36" s="176" t="s">
        <v>20</v>
      </c>
      <c r="B36" s="442">
        <v>121</v>
      </c>
      <c r="C36" s="442">
        <f>Forecast01!N40</f>
        <v>178.17341666666667</v>
      </c>
      <c r="D36" s="445">
        <f t="shared" si="0"/>
        <v>57.173416666666668</v>
      </c>
    </row>
    <row r="37" spans="1:4" x14ac:dyDescent="0.15">
      <c r="A37" s="179" t="s">
        <v>21</v>
      </c>
      <c r="B37" s="443">
        <v>896.6</v>
      </c>
      <c r="C37" s="443">
        <f>Forecast01!N41</f>
        <v>1067.270594982079</v>
      </c>
      <c r="D37" s="446">
        <f t="shared" si="0"/>
        <v>170.67059498207902</v>
      </c>
    </row>
    <row r="38" spans="1:4" x14ac:dyDescent="0.15">
      <c r="A38" s="179" t="s">
        <v>22</v>
      </c>
      <c r="B38" s="443">
        <v>1057.4000000000001</v>
      </c>
      <c r="C38" s="443">
        <f>Forecast01!N42</f>
        <v>1097.9034166666668</v>
      </c>
      <c r="D38" s="446">
        <f t="shared" si="0"/>
        <v>40.503416666666681</v>
      </c>
    </row>
    <row r="39" spans="1:4" x14ac:dyDescent="0.15">
      <c r="A39" s="180"/>
    </row>
    <row r="40" spans="1:4" ht="15.75" x14ac:dyDescent="0.15">
      <c r="A40" s="175" t="s">
        <v>23</v>
      </c>
    </row>
    <row r="41" spans="1:4" x14ac:dyDescent="0.15">
      <c r="A41" s="176" t="s">
        <v>195</v>
      </c>
    </row>
    <row r="42" spans="1:4" x14ac:dyDescent="0.15">
      <c r="A42" s="177" t="s">
        <v>9</v>
      </c>
      <c r="B42" s="440">
        <v>12.3</v>
      </c>
      <c r="C42" s="440">
        <f>Forecast01!N46</f>
        <v>59.358333333333327</v>
      </c>
      <c r="D42" s="444">
        <f>C42-B42</f>
        <v>47.058333333333323</v>
      </c>
    </row>
    <row r="43" spans="1:4" x14ac:dyDescent="0.15">
      <c r="A43" s="177" t="s">
        <v>10</v>
      </c>
      <c r="B43" s="440">
        <v>6.3</v>
      </c>
      <c r="C43" s="440">
        <f>Forecast01!N47</f>
        <v>6.9535833333333343</v>
      </c>
      <c r="D43" s="444">
        <f>C43-B43</f>
        <v>0.65358333333333452</v>
      </c>
    </row>
    <row r="44" spans="1:4" x14ac:dyDescent="0.15">
      <c r="A44" s="177" t="s">
        <v>11</v>
      </c>
      <c r="B44" s="440">
        <v>0</v>
      </c>
      <c r="C44" s="440">
        <f>Forecast01!N48</f>
        <v>0</v>
      </c>
      <c r="D44" s="444">
        <f>C44-B44</f>
        <v>0</v>
      </c>
    </row>
    <row r="45" spans="1:4" x14ac:dyDescent="0.15">
      <c r="A45" s="178" t="s">
        <v>15</v>
      </c>
      <c r="B45" s="440">
        <v>1.1000000000000001</v>
      </c>
      <c r="C45" s="440">
        <f>Forecast01!N49</f>
        <v>1.47</v>
      </c>
      <c r="D45" s="444">
        <f>C45-B45</f>
        <v>0.36999999999999988</v>
      </c>
    </row>
    <row r="46" spans="1:4" x14ac:dyDescent="0.15">
      <c r="A46" s="176" t="s">
        <v>24</v>
      </c>
      <c r="B46" s="440">
        <v>7.4</v>
      </c>
      <c r="C46" s="440">
        <f>Forecast01!N50</f>
        <v>8.423583333333335</v>
      </c>
      <c r="D46" s="444">
        <f>C46-B46</f>
        <v>1.0235833333333346</v>
      </c>
    </row>
    <row r="47" spans="1:4" x14ac:dyDescent="0.15">
      <c r="A47" s="176"/>
    </row>
    <row r="48" spans="1:4" x14ac:dyDescent="0.15">
      <c r="A48" s="176" t="s">
        <v>25</v>
      </c>
    </row>
    <row r="49" spans="1:4" x14ac:dyDescent="0.15">
      <c r="A49" s="177" t="s">
        <v>9</v>
      </c>
      <c r="B49" s="440">
        <v>454.2</v>
      </c>
      <c r="C49" s="440">
        <f>Forecast01!N53</f>
        <v>592.69833333333338</v>
      </c>
      <c r="D49" s="444">
        <f t="shared" ref="D49:D54" si="1">C49-B49</f>
        <v>138.49833333333339</v>
      </c>
    </row>
    <row r="50" spans="1:4" x14ac:dyDescent="0.15">
      <c r="A50" s="177" t="s">
        <v>10</v>
      </c>
      <c r="B50" s="440">
        <v>235.3</v>
      </c>
      <c r="C50" s="440">
        <f>Forecast01!N54</f>
        <v>277.81146683333333</v>
      </c>
      <c r="D50" s="444">
        <f t="shared" si="1"/>
        <v>42.511466833333316</v>
      </c>
    </row>
    <row r="51" spans="1:4" x14ac:dyDescent="0.15">
      <c r="A51" s="177" t="s">
        <v>11</v>
      </c>
      <c r="B51" s="440">
        <v>0</v>
      </c>
      <c r="C51" s="440">
        <f>Forecast01!N55</f>
        <v>0</v>
      </c>
      <c r="D51" s="444">
        <f t="shared" si="1"/>
        <v>0</v>
      </c>
    </row>
    <row r="52" spans="1:4" x14ac:dyDescent="0.15">
      <c r="A52" s="177" t="s">
        <v>202</v>
      </c>
      <c r="B52" s="440">
        <v>0</v>
      </c>
      <c r="C52" s="440">
        <f>Forecast01!N56</f>
        <v>9.9333333333333329E-2</v>
      </c>
      <c r="D52" s="444">
        <f t="shared" si="1"/>
        <v>9.9333333333333329E-2</v>
      </c>
    </row>
    <row r="53" spans="1:4" x14ac:dyDescent="0.15">
      <c r="A53" s="178" t="s">
        <v>15</v>
      </c>
      <c r="B53" s="440">
        <v>30.3</v>
      </c>
      <c r="C53" s="440">
        <f>Forecast01!N57</f>
        <v>24.238500000000002</v>
      </c>
      <c r="D53" s="444">
        <f t="shared" si="1"/>
        <v>-6.0614999999999988</v>
      </c>
    </row>
    <row r="54" spans="1:4" x14ac:dyDescent="0.15">
      <c r="A54" s="176" t="s">
        <v>26</v>
      </c>
      <c r="B54" s="440">
        <v>265.60000000000002</v>
      </c>
      <c r="C54" s="440">
        <f>Forecast01!N58</f>
        <v>302.14930016666665</v>
      </c>
      <c r="D54" s="444">
        <f t="shared" si="1"/>
        <v>36.549300166666626</v>
      </c>
    </row>
    <row r="55" spans="1:4" x14ac:dyDescent="0.15">
      <c r="A55" s="176"/>
    </row>
    <row r="56" spans="1:4" x14ac:dyDescent="0.15">
      <c r="A56" s="176" t="s">
        <v>27</v>
      </c>
    </row>
    <row r="57" spans="1:4" x14ac:dyDescent="0.15">
      <c r="A57" s="177" t="s">
        <v>9</v>
      </c>
      <c r="B57" s="440">
        <v>40</v>
      </c>
      <c r="C57" s="440">
        <f>Forecast01!N61</f>
        <v>40</v>
      </c>
      <c r="D57" s="444">
        <f>C57-B57</f>
        <v>0</v>
      </c>
    </row>
    <row r="58" spans="1:4" x14ac:dyDescent="0.15">
      <c r="A58" s="177" t="s">
        <v>10</v>
      </c>
      <c r="B58" s="440">
        <v>27.4</v>
      </c>
      <c r="C58" s="440">
        <f>Forecast01!N62</f>
        <v>24.16</v>
      </c>
      <c r="D58" s="444">
        <f>C58-B58</f>
        <v>-3.2399999999999984</v>
      </c>
    </row>
    <row r="59" spans="1:4" x14ac:dyDescent="0.15">
      <c r="A59" s="177" t="s">
        <v>11</v>
      </c>
      <c r="B59" s="440">
        <v>0</v>
      </c>
      <c r="C59" s="440">
        <f>Forecast01!N63</f>
        <v>0</v>
      </c>
      <c r="D59" s="444">
        <f>C59-B59</f>
        <v>0</v>
      </c>
    </row>
    <row r="60" spans="1:4" x14ac:dyDescent="0.15">
      <c r="A60" s="178" t="s">
        <v>15</v>
      </c>
      <c r="B60" s="440">
        <v>0.1</v>
      </c>
      <c r="C60" s="440">
        <f>Forecast01!N64</f>
        <v>1.3765833333333333</v>
      </c>
      <c r="D60" s="444">
        <f>C60-B60</f>
        <v>1.2765833333333332</v>
      </c>
    </row>
    <row r="61" spans="1:4" x14ac:dyDescent="0.15">
      <c r="A61" s="176" t="s">
        <v>28</v>
      </c>
      <c r="B61" s="440">
        <v>27.6</v>
      </c>
      <c r="C61" s="440">
        <f>Forecast01!N65</f>
        <v>25.536583333333333</v>
      </c>
      <c r="D61" s="444">
        <f>C61-B61</f>
        <v>-2.0634166666666687</v>
      </c>
    </row>
    <row r="62" spans="1:4" x14ac:dyDescent="0.15">
      <c r="A62" s="176"/>
    </row>
    <row r="63" spans="1:4" x14ac:dyDescent="0.15">
      <c r="A63" s="176" t="s">
        <v>29</v>
      </c>
    </row>
    <row r="64" spans="1:4" x14ac:dyDescent="0.15">
      <c r="A64" s="177" t="s">
        <v>9</v>
      </c>
      <c r="B64" s="440">
        <v>118.6</v>
      </c>
      <c r="C64" s="440">
        <f>Forecast01!N68</f>
        <v>99.166666666666671</v>
      </c>
      <c r="D64" s="444">
        <f t="shared" ref="D64:D70" si="2">C64-B64</f>
        <v>-19.433333333333323</v>
      </c>
    </row>
    <row r="65" spans="1:4" x14ac:dyDescent="0.15">
      <c r="A65" s="177" t="s">
        <v>10</v>
      </c>
      <c r="B65" s="440">
        <v>106.9</v>
      </c>
      <c r="C65" s="440">
        <f>Forecast01!N69</f>
        <v>96.889083333333346</v>
      </c>
      <c r="D65" s="444">
        <f t="shared" si="2"/>
        <v>-10.01091666666666</v>
      </c>
    </row>
    <row r="66" spans="1:4" x14ac:dyDescent="0.15">
      <c r="A66" s="177" t="s">
        <v>11</v>
      </c>
      <c r="B66" s="440">
        <v>0</v>
      </c>
      <c r="C66" s="440">
        <f>Forecast01!N70</f>
        <v>0</v>
      </c>
      <c r="D66" s="444">
        <f t="shared" si="2"/>
        <v>0</v>
      </c>
    </row>
    <row r="67" spans="1:4" x14ac:dyDescent="0.15">
      <c r="A67" s="178" t="s">
        <v>15</v>
      </c>
      <c r="B67" s="440">
        <v>3</v>
      </c>
      <c r="C67" s="440">
        <f>Forecast01!N71</f>
        <v>5.011166666666667</v>
      </c>
      <c r="D67" s="444">
        <f t="shared" si="2"/>
        <v>2.011166666666667</v>
      </c>
    </row>
    <row r="68" spans="1:4" x14ac:dyDescent="0.15">
      <c r="A68" s="176" t="s">
        <v>30</v>
      </c>
      <c r="B68" s="442">
        <v>109.9</v>
      </c>
      <c r="C68" s="442">
        <f>Forecast01!N72</f>
        <v>101.90025000000001</v>
      </c>
      <c r="D68" s="445">
        <f t="shared" si="2"/>
        <v>-7.9997499999999917</v>
      </c>
    </row>
    <row r="69" spans="1:4" x14ac:dyDescent="0.15">
      <c r="A69" s="179" t="s">
        <v>31</v>
      </c>
      <c r="B69" s="443">
        <v>410.4</v>
      </c>
      <c r="C69" s="443">
        <f>Forecast01!N73</f>
        <v>438.00971683333336</v>
      </c>
      <c r="D69" s="446">
        <f t="shared" si="2"/>
        <v>27.60971683333338</v>
      </c>
    </row>
    <row r="70" spans="1:4" x14ac:dyDescent="0.15">
      <c r="A70" s="179" t="s">
        <v>32</v>
      </c>
      <c r="B70" s="443">
        <v>625.1</v>
      </c>
      <c r="C70" s="443">
        <f>Forecast01!N74</f>
        <v>791.22333333333336</v>
      </c>
      <c r="D70" s="446">
        <f t="shared" si="2"/>
        <v>166.12333333333333</v>
      </c>
    </row>
    <row r="71" spans="1:4" x14ac:dyDescent="0.15">
      <c r="A71" s="176"/>
    </row>
    <row r="72" spans="1:4" ht="15.75" x14ac:dyDescent="0.15">
      <c r="A72" s="175" t="s">
        <v>33</v>
      </c>
    </row>
    <row r="73" spans="1:4" x14ac:dyDescent="0.15">
      <c r="A73" s="176" t="s">
        <v>34</v>
      </c>
    </row>
    <row r="74" spans="1:4" x14ac:dyDescent="0.15">
      <c r="A74" s="177" t="s">
        <v>35</v>
      </c>
      <c r="B74" s="440">
        <v>340.7</v>
      </c>
      <c r="C74" s="440">
        <f>Forecast01!N78</f>
        <v>278.3</v>
      </c>
      <c r="D74" s="444">
        <f>C74-B74</f>
        <v>-62.399999999999977</v>
      </c>
    </row>
    <row r="75" spans="1:4" x14ac:dyDescent="0.15">
      <c r="A75" s="177" t="s">
        <v>36</v>
      </c>
      <c r="B75" s="440">
        <v>250.5</v>
      </c>
      <c r="C75" s="440">
        <f>Forecast01!N79</f>
        <v>223.46166666666667</v>
      </c>
      <c r="D75" s="444">
        <f>C75-B75</f>
        <v>-27.038333333333327</v>
      </c>
    </row>
    <row r="76" spans="1:4" x14ac:dyDescent="0.15">
      <c r="A76" s="177" t="s">
        <v>11</v>
      </c>
      <c r="B76" s="440">
        <v>2.5</v>
      </c>
      <c r="C76" s="440">
        <f>Forecast01!N80</f>
        <v>2.476</v>
      </c>
      <c r="D76" s="444">
        <f>C76-B76</f>
        <v>-2.4000000000000021E-2</v>
      </c>
    </row>
    <row r="77" spans="1:4" x14ac:dyDescent="0.15">
      <c r="A77" s="178" t="s">
        <v>37</v>
      </c>
      <c r="B77" s="440">
        <v>14.2</v>
      </c>
      <c r="C77" s="440">
        <f>Forecast01!N81</f>
        <v>33.508166666666668</v>
      </c>
      <c r="D77" s="444">
        <f>C77-B77</f>
        <v>19.308166666666668</v>
      </c>
    </row>
    <row r="78" spans="1:4" x14ac:dyDescent="0.15">
      <c r="A78" s="176" t="s">
        <v>38</v>
      </c>
      <c r="B78" s="440">
        <v>267.2</v>
      </c>
      <c r="C78" s="440">
        <f>Forecast01!N82</f>
        <v>259.44583333333333</v>
      </c>
      <c r="D78" s="444">
        <f>C78-B78</f>
        <v>-7.7541666666666629</v>
      </c>
    </row>
    <row r="79" spans="1:4" x14ac:dyDescent="0.15">
      <c r="A79" s="176"/>
    </row>
    <row r="80" spans="1:4" x14ac:dyDescent="0.15">
      <c r="A80" s="176" t="s">
        <v>39</v>
      </c>
    </row>
    <row r="81" spans="1:4" x14ac:dyDescent="0.15">
      <c r="A81" s="177" t="s">
        <v>35</v>
      </c>
      <c r="B81" s="440">
        <v>187.2</v>
      </c>
      <c r="C81" s="440">
        <f>Forecast01!N85</f>
        <v>289.02324999999996</v>
      </c>
      <c r="D81" s="444">
        <f t="shared" ref="D81:D87" si="3">C81-B81</f>
        <v>101.82324999999997</v>
      </c>
    </row>
    <row r="82" spans="1:4" x14ac:dyDescent="0.15">
      <c r="A82" s="177" t="s">
        <v>36</v>
      </c>
      <c r="B82" s="440">
        <v>164.8</v>
      </c>
      <c r="C82" s="440">
        <f>Forecast01!N86</f>
        <v>243.42645833333336</v>
      </c>
      <c r="D82" s="444">
        <f t="shared" si="3"/>
        <v>78.626458333333346</v>
      </c>
    </row>
    <row r="83" spans="1:4" x14ac:dyDescent="0.15">
      <c r="A83" s="177" t="s">
        <v>11</v>
      </c>
      <c r="B83" s="440">
        <v>0</v>
      </c>
      <c r="C83" s="440">
        <f>Forecast01!N87</f>
        <v>0</v>
      </c>
      <c r="D83" s="444">
        <f t="shared" si="3"/>
        <v>0</v>
      </c>
    </row>
    <row r="84" spans="1:4" x14ac:dyDescent="0.15">
      <c r="A84" s="178" t="s">
        <v>37</v>
      </c>
      <c r="B84" s="440">
        <v>62.7</v>
      </c>
      <c r="C84" s="440">
        <f>Forecast01!N88</f>
        <v>78.666833333333344</v>
      </c>
      <c r="D84" s="444">
        <f t="shared" si="3"/>
        <v>15.966833333333341</v>
      </c>
    </row>
    <row r="85" spans="1:4" x14ac:dyDescent="0.15">
      <c r="A85" s="176" t="s">
        <v>40</v>
      </c>
      <c r="B85" s="442">
        <v>227.5</v>
      </c>
      <c r="C85" s="442">
        <f>Forecast01!N89</f>
        <v>322.09329166666669</v>
      </c>
      <c r="D85" s="445">
        <f t="shared" si="3"/>
        <v>94.593291666666687</v>
      </c>
    </row>
    <row r="86" spans="1:4" x14ac:dyDescent="0.15">
      <c r="A86" s="179" t="s">
        <v>41</v>
      </c>
      <c r="B86" s="443">
        <v>494.7</v>
      </c>
      <c r="C86" s="443">
        <f>Forecast01!N90</f>
        <v>581.53912500000001</v>
      </c>
      <c r="D86" s="446">
        <f t="shared" si="3"/>
        <v>86.839125000000024</v>
      </c>
    </row>
    <row r="87" spans="1:4" x14ac:dyDescent="0.15">
      <c r="A87" s="179" t="s">
        <v>42</v>
      </c>
      <c r="B87" s="443">
        <v>527.79999999999995</v>
      </c>
      <c r="C87" s="443">
        <f>Forecast01!N91</f>
        <v>567.32324999999992</v>
      </c>
      <c r="D87" s="446">
        <f t="shared" si="3"/>
        <v>39.523249999999962</v>
      </c>
    </row>
    <row r="88" spans="1:4" x14ac:dyDescent="0.15">
      <c r="A88" s="176"/>
    </row>
    <row r="89" spans="1:4" ht="15.75" x14ac:dyDescent="0.15">
      <c r="A89" s="175" t="s">
        <v>43</v>
      </c>
    </row>
    <row r="90" spans="1:4" x14ac:dyDescent="0.15">
      <c r="A90" s="176" t="s">
        <v>44</v>
      </c>
    </row>
    <row r="91" spans="1:4" x14ac:dyDescent="0.15">
      <c r="A91" s="177" t="s">
        <v>9</v>
      </c>
      <c r="B91" s="440">
        <v>468.7</v>
      </c>
      <c r="C91" s="440">
        <f>Forecast01!N95</f>
        <v>462.84999999999997</v>
      </c>
      <c r="D91" s="444">
        <f t="shared" ref="D91:D97" si="4">C91-B91</f>
        <v>-5.8500000000000227</v>
      </c>
    </row>
    <row r="92" spans="1:4" x14ac:dyDescent="0.15">
      <c r="A92" s="177" t="s">
        <v>36</v>
      </c>
      <c r="B92" s="440">
        <v>426</v>
      </c>
      <c r="C92" s="440">
        <f>Forecast01!N96</f>
        <v>398.04233333333337</v>
      </c>
      <c r="D92" s="444">
        <f t="shared" si="4"/>
        <v>-27.957666666666626</v>
      </c>
    </row>
    <row r="93" spans="1:4" x14ac:dyDescent="0.15">
      <c r="A93" s="177" t="s">
        <v>45</v>
      </c>
      <c r="B93" s="440">
        <v>16.2</v>
      </c>
      <c r="C93" s="440">
        <f>Forecast01!N97</f>
        <v>50.014916666666664</v>
      </c>
      <c r="D93" s="444">
        <f t="shared" si="4"/>
        <v>33.814916666666662</v>
      </c>
    </row>
    <row r="94" spans="1:4" x14ac:dyDescent="0.15">
      <c r="A94" s="181" t="s">
        <v>37</v>
      </c>
      <c r="B94" s="442">
        <v>0</v>
      </c>
      <c r="C94" s="442">
        <f>Forecast01!N98</f>
        <v>2.2288333333333332</v>
      </c>
      <c r="D94" s="445">
        <f t="shared" si="4"/>
        <v>2.2288333333333332</v>
      </c>
    </row>
    <row r="95" spans="1:4" x14ac:dyDescent="0.15">
      <c r="A95" s="182" t="s">
        <v>46</v>
      </c>
      <c r="B95" s="443">
        <v>442</v>
      </c>
      <c r="C95" s="443">
        <f>Forecast01!N99</f>
        <v>450.28608333333341</v>
      </c>
      <c r="D95" s="446">
        <f t="shared" si="4"/>
        <v>8.2860833333334085</v>
      </c>
    </row>
    <row r="96" spans="1:4" x14ac:dyDescent="0.15">
      <c r="A96" s="179" t="s">
        <v>47</v>
      </c>
      <c r="B96" s="443">
        <v>468.7</v>
      </c>
      <c r="C96" s="443">
        <f>Forecast01!N100</f>
        <v>462.84999999999997</v>
      </c>
      <c r="D96" s="446">
        <f t="shared" si="4"/>
        <v>-5.8500000000000227</v>
      </c>
    </row>
    <row r="97" spans="1:4" x14ac:dyDescent="0.15">
      <c r="A97" s="179" t="s">
        <v>48</v>
      </c>
      <c r="B97" s="443">
        <v>829.3</v>
      </c>
      <c r="C97" s="443">
        <f>Forecast01!N101</f>
        <v>849.70833333333348</v>
      </c>
      <c r="D97" s="446">
        <f t="shared" si="4"/>
        <v>20.40833333333353</v>
      </c>
    </row>
    <row r="98" spans="1:4" x14ac:dyDescent="0.15">
      <c r="A98" s="176"/>
    </row>
    <row r="99" spans="1:4" ht="15.75" x14ac:dyDescent="0.15">
      <c r="A99" s="183" t="s">
        <v>49</v>
      </c>
    </row>
    <row r="100" spans="1:4" x14ac:dyDescent="0.15">
      <c r="A100" s="184" t="s">
        <v>9</v>
      </c>
      <c r="B100" s="440">
        <v>2679</v>
      </c>
      <c r="C100" s="440">
        <f>Forecast01!N104</f>
        <v>2919.2999999999997</v>
      </c>
      <c r="D100" s="444">
        <f t="shared" ref="D100:D105" si="5">C100-B100</f>
        <v>240.29999999999973</v>
      </c>
    </row>
    <row r="101" spans="1:4" x14ac:dyDescent="0.15">
      <c r="A101" s="184" t="s">
        <v>36</v>
      </c>
      <c r="B101" s="440">
        <v>2086.9</v>
      </c>
      <c r="C101" s="440">
        <f>Forecast01!N105</f>
        <v>2238.0561868154118</v>
      </c>
      <c r="D101" s="444">
        <f t="shared" si="5"/>
        <v>151.15618681541173</v>
      </c>
    </row>
    <row r="102" spans="1:4" x14ac:dyDescent="0.15">
      <c r="A102" s="184" t="s">
        <v>45</v>
      </c>
      <c r="B102" s="440">
        <v>45.2</v>
      </c>
      <c r="C102" s="440">
        <f>Forecast01!N106</f>
        <v>100.89400000000001</v>
      </c>
      <c r="D102" s="444">
        <f t="shared" si="5"/>
        <v>55.694000000000003</v>
      </c>
    </row>
    <row r="103" spans="1:4" x14ac:dyDescent="0.15">
      <c r="A103" s="185" t="s">
        <v>37</v>
      </c>
      <c r="B103" s="440">
        <v>111.8</v>
      </c>
      <c r="C103" s="440">
        <f>Forecast01!N107</f>
        <v>197.94849999999997</v>
      </c>
      <c r="D103" s="444">
        <f t="shared" si="5"/>
        <v>86.14849999999997</v>
      </c>
    </row>
    <row r="104" spans="1:4" x14ac:dyDescent="0.15">
      <c r="A104" s="182" t="s">
        <v>50</v>
      </c>
      <c r="B104" s="440">
        <v>2243.9</v>
      </c>
      <c r="C104" s="440">
        <f>Forecast01!N108</f>
        <v>2536.898686815412</v>
      </c>
      <c r="D104" s="444">
        <f t="shared" si="5"/>
        <v>292.99868681541193</v>
      </c>
    </row>
    <row r="105" spans="1:4" x14ac:dyDescent="0.15">
      <c r="A105" s="179" t="s">
        <v>51</v>
      </c>
      <c r="B105" s="440">
        <v>2679</v>
      </c>
      <c r="C105" s="440">
        <f>Forecast01!N109</f>
        <v>2919.2999999999997</v>
      </c>
      <c r="D105" s="444">
        <f t="shared" si="5"/>
        <v>240.29999999999973</v>
      </c>
    </row>
    <row r="106" spans="1:4" x14ac:dyDescent="0.15">
      <c r="A106" s="179" t="s">
        <v>52</v>
      </c>
      <c r="B106" s="440">
        <v>1534.5</v>
      </c>
      <c r="C106" s="440">
        <f>Forecast01!N110</f>
        <v>1827.373603482079</v>
      </c>
      <c r="D106" s="444">
        <f>C106-B106</f>
        <v>292.87360348207903</v>
      </c>
    </row>
    <row r="107" spans="1:4" x14ac:dyDescent="0.15">
      <c r="A107" s="180"/>
    </row>
    <row r="108" spans="1:4" x14ac:dyDescent="0.15">
      <c r="A108" s="186"/>
    </row>
    <row r="109" spans="1:4" x14ac:dyDescent="0.15">
      <c r="A109" s="176" t="s">
        <v>53</v>
      </c>
    </row>
    <row r="110" spans="1:4" x14ac:dyDescent="0.15">
      <c r="A110" s="176" t="s">
        <v>54</v>
      </c>
    </row>
    <row r="111" spans="1:4" x14ac:dyDescent="0.15">
      <c r="A111" s="176" t="s">
        <v>55</v>
      </c>
    </row>
    <row r="112" spans="1:4" x14ac:dyDescent="0.15">
      <c r="A112" s="176"/>
    </row>
    <row r="113" spans="1:4" x14ac:dyDescent="0.15">
      <c r="A113" s="176"/>
    </row>
    <row r="114" spans="1:4" ht="15.75" x14ac:dyDescent="0.15">
      <c r="A114" s="174" t="s">
        <v>56</v>
      </c>
    </row>
    <row r="115" spans="1:4" x14ac:dyDescent="0.15">
      <c r="A115" s="176" t="s">
        <v>57</v>
      </c>
    </row>
    <row r="116" spans="1:4" x14ac:dyDescent="0.15">
      <c r="A116" s="177" t="s">
        <v>9</v>
      </c>
      <c r="B116" s="251">
        <v>0.29870000000000002</v>
      </c>
      <c r="C116" s="251">
        <f>Forecast01!N120</f>
        <v>0.30198249949569966</v>
      </c>
      <c r="D116" s="447">
        <f>C116-B116</f>
        <v>3.2824994956996423E-3</v>
      </c>
    </row>
    <row r="117" spans="1:4" x14ac:dyDescent="0.15">
      <c r="A117" s="177" t="s">
        <v>10</v>
      </c>
      <c r="B117" s="251">
        <v>2.6700000000000002E-2</v>
      </c>
      <c r="C117" s="251">
        <f>Forecast01!N121</f>
        <v>2.8237110185408178E-2</v>
      </c>
      <c r="D117" s="447">
        <f>C117-B117</f>
        <v>1.5371101854081762E-3</v>
      </c>
    </row>
    <row r="118" spans="1:4" x14ac:dyDescent="0.15">
      <c r="A118" s="177" t="s">
        <v>11</v>
      </c>
      <c r="B118" s="251">
        <v>3.0700000000000002E-2</v>
      </c>
      <c r="C118" s="251">
        <f>Forecast01!N122</f>
        <v>2.4734846368107397E-2</v>
      </c>
      <c r="D118" s="447">
        <f>C118-B118</f>
        <v>-5.965153631892605E-3</v>
      </c>
    </row>
    <row r="119" spans="1:4" x14ac:dyDescent="0.15">
      <c r="A119" s="177" t="s">
        <v>15</v>
      </c>
      <c r="B119" s="251">
        <v>1.7399999999999999E-2</v>
      </c>
      <c r="C119" s="251">
        <f>Forecast01!N123</f>
        <v>0.37211873617766861</v>
      </c>
      <c r="D119" s="447">
        <f>C119-B119</f>
        <v>0.35471873617766858</v>
      </c>
    </row>
    <row r="120" spans="1:4" x14ac:dyDescent="0.15">
      <c r="A120" s="177"/>
      <c r="B120" s="251"/>
      <c r="C120" s="251"/>
      <c r="D120" s="447"/>
    </row>
    <row r="121" spans="1:4" x14ac:dyDescent="0.15">
      <c r="A121" s="176" t="s">
        <v>58</v>
      </c>
      <c r="B121" s="251"/>
      <c r="C121" s="251"/>
      <c r="D121" s="447"/>
    </row>
    <row r="122" spans="1:4" x14ac:dyDescent="0.15">
      <c r="A122" s="177" t="s">
        <v>9</v>
      </c>
      <c r="B122" s="251">
        <v>0.2636</v>
      </c>
      <c r="C122" s="251">
        <f>Forecast01!N126</f>
        <v>0.26246387948666189</v>
      </c>
      <c r="D122" s="447">
        <f>C122-B122</f>
        <v>-1.1361205133381125E-3</v>
      </c>
    </row>
    <row r="123" spans="1:4" x14ac:dyDescent="0.15">
      <c r="A123" s="177" t="s">
        <v>10</v>
      </c>
      <c r="B123" s="251">
        <v>2.3E-2</v>
      </c>
      <c r="C123" s="251">
        <f>Forecast01!N127</f>
        <v>2.8273986289835244E-2</v>
      </c>
      <c r="D123" s="447">
        <f>C123-B123</f>
        <v>5.273986289835244E-3</v>
      </c>
    </row>
    <row r="124" spans="1:4" x14ac:dyDescent="0.15">
      <c r="A124" s="177" t="s">
        <v>11</v>
      </c>
      <c r="B124" s="251">
        <v>3.2199999999999999E-2</v>
      </c>
      <c r="C124" s="251">
        <f>Forecast01!N128</f>
        <v>3.2984590011853832E-2</v>
      </c>
      <c r="D124" s="447">
        <f>C124-B124</f>
        <v>7.8459001185383209E-4</v>
      </c>
    </row>
    <row r="125" spans="1:4" x14ac:dyDescent="0.15">
      <c r="A125" s="177" t="s">
        <v>15</v>
      </c>
      <c r="B125" s="251">
        <v>0.18290000000000001</v>
      </c>
      <c r="C125" s="251">
        <f>Forecast01!N129</f>
        <v>1.760956968350965E-2</v>
      </c>
      <c r="D125" s="447">
        <f>C125-B125</f>
        <v>-0.16529043031649035</v>
      </c>
    </row>
    <row r="126" spans="1:4" x14ac:dyDescent="0.15">
      <c r="A126" s="177"/>
      <c r="B126" s="251"/>
      <c r="C126" s="251"/>
      <c r="D126" s="447"/>
    </row>
    <row r="127" spans="1:4" x14ac:dyDescent="0.15">
      <c r="A127" s="176" t="s">
        <v>59</v>
      </c>
      <c r="B127" s="251"/>
      <c r="C127" s="251"/>
      <c r="D127" s="447"/>
    </row>
    <row r="128" spans="1:4" x14ac:dyDescent="0.15">
      <c r="A128" s="177" t="s">
        <v>9</v>
      </c>
      <c r="B128" s="251">
        <v>0.14580000000000001</v>
      </c>
      <c r="C128" s="251">
        <f>Forecast01!N132</f>
        <v>0.15875613975681085</v>
      </c>
      <c r="D128" s="447">
        <f>C128-B128</f>
        <v>1.2956139756810842E-2</v>
      </c>
    </row>
    <row r="129" spans="1:4" x14ac:dyDescent="0.15">
      <c r="A129" s="177" t="s">
        <v>10</v>
      </c>
      <c r="B129" s="251">
        <v>1.83E-2</v>
      </c>
      <c r="C129" s="251">
        <f>Forecast01!N133</f>
        <v>1.8597519296312318E-2</v>
      </c>
      <c r="D129" s="447">
        <f>C129-B129</f>
        <v>2.9751929631231799E-4</v>
      </c>
    </row>
    <row r="130" spans="1:4" x14ac:dyDescent="0.15">
      <c r="A130" s="177" t="s">
        <v>11</v>
      </c>
      <c r="B130" s="251">
        <v>0</v>
      </c>
      <c r="C130" s="251">
        <f>Forecast01!N134</f>
        <v>0</v>
      </c>
      <c r="D130" s="447">
        <f>C130-B130</f>
        <v>0</v>
      </c>
    </row>
    <row r="131" spans="1:4" x14ac:dyDescent="0.15">
      <c r="A131" s="177" t="s">
        <v>15</v>
      </c>
      <c r="B131" s="251">
        <v>0</v>
      </c>
      <c r="C131" s="251">
        <f>Forecast01!N135</f>
        <v>0</v>
      </c>
      <c r="D131" s="447">
        <f>C131-B131</f>
        <v>0</v>
      </c>
    </row>
    <row r="132" spans="1:4" x14ac:dyDescent="0.15">
      <c r="A132" s="177"/>
      <c r="B132" s="251"/>
      <c r="C132" s="251"/>
      <c r="D132" s="447"/>
    </row>
    <row r="133" spans="1:4" x14ac:dyDescent="0.15">
      <c r="A133" s="176" t="s">
        <v>19</v>
      </c>
      <c r="B133" s="251"/>
      <c r="C133" s="251"/>
      <c r="D133" s="447"/>
    </row>
    <row r="134" spans="1:4" x14ac:dyDescent="0.15">
      <c r="A134" s="177" t="s">
        <v>9</v>
      </c>
      <c r="B134" s="251">
        <v>0.14130000000000001</v>
      </c>
      <c r="C134" s="251">
        <f>Forecast01!N138</f>
        <v>0.21659904874113572</v>
      </c>
      <c r="D134" s="447">
        <f>C134-B134</f>
        <v>7.5299048741135716E-2</v>
      </c>
    </row>
    <row r="135" spans="1:4" x14ac:dyDescent="0.15">
      <c r="A135" s="177" t="s">
        <v>10</v>
      </c>
      <c r="B135" s="251">
        <v>1.89E-2</v>
      </c>
      <c r="C135" s="251">
        <f>Forecast01!N139</f>
        <v>1.9393292568063537E-2</v>
      </c>
      <c r="D135" s="447">
        <f>C135-B135</f>
        <v>4.9329256806353652E-4</v>
      </c>
    </row>
    <row r="136" spans="1:4" x14ac:dyDescent="0.15">
      <c r="A136" s="177" t="s">
        <v>11</v>
      </c>
      <c r="B136" s="251">
        <v>0</v>
      </c>
      <c r="C136" s="251">
        <f>Forecast01!N140</f>
        <v>0</v>
      </c>
      <c r="D136" s="447">
        <f>C136-B136</f>
        <v>0</v>
      </c>
    </row>
    <row r="137" spans="1:4" x14ac:dyDescent="0.15">
      <c r="A137" s="177" t="s">
        <v>15</v>
      </c>
      <c r="B137" s="251">
        <v>0.41760000000000003</v>
      </c>
      <c r="C137" s="251">
        <f>Forecast01!N141</f>
        <v>-1.9114367633004142E-2</v>
      </c>
      <c r="D137" s="447">
        <f>C137-B137</f>
        <v>-0.4367143676330042</v>
      </c>
    </row>
    <row r="138" spans="1:4" x14ac:dyDescent="0.15">
      <c r="A138" s="177"/>
      <c r="B138" s="251"/>
      <c r="C138" s="251"/>
      <c r="D138" s="447"/>
    </row>
    <row r="139" spans="1:4" x14ac:dyDescent="0.15">
      <c r="A139" s="176" t="s">
        <v>60</v>
      </c>
      <c r="B139" s="251"/>
      <c r="C139" s="251"/>
      <c r="D139" s="447"/>
    </row>
    <row r="140" spans="1:4" x14ac:dyDescent="0.15">
      <c r="A140" s="177" t="s">
        <v>9</v>
      </c>
      <c r="B140" s="251">
        <v>2.6700000000000002E-2</v>
      </c>
      <c r="C140" s="251">
        <f>Forecast01!N144</f>
        <v>1.2023562490023638E-2</v>
      </c>
      <c r="D140" s="447">
        <f>C140-B140</f>
        <v>-1.4676437509976364E-2</v>
      </c>
    </row>
    <row r="141" spans="1:4" x14ac:dyDescent="0.15">
      <c r="A141" s="177" t="s">
        <v>10</v>
      </c>
      <c r="B141" s="251">
        <v>1.37E-2</v>
      </c>
      <c r="C141" s="251">
        <f>Forecast01!N145</f>
        <v>7.7618402128005002E-3</v>
      </c>
      <c r="D141" s="447">
        <f>C141-B141</f>
        <v>-5.9381597871995002E-3</v>
      </c>
    </row>
    <row r="142" spans="1:4" x14ac:dyDescent="0.15">
      <c r="A142" s="177" t="s">
        <v>11</v>
      </c>
      <c r="B142" s="251">
        <v>0</v>
      </c>
      <c r="C142" s="251">
        <f>Forecast01!N146</f>
        <v>0</v>
      </c>
      <c r="D142" s="447">
        <f>C142-B142</f>
        <v>0</v>
      </c>
    </row>
    <row r="143" spans="1:4" x14ac:dyDescent="0.15">
      <c r="A143" s="177" t="s">
        <v>15</v>
      </c>
      <c r="B143" s="251">
        <v>4.48E-2</v>
      </c>
      <c r="C143" s="251">
        <f>Forecast01!N147</f>
        <v>0.13735905321032521</v>
      </c>
      <c r="D143" s="447">
        <f>C143-B143</f>
        <v>9.2559053210325204E-2</v>
      </c>
    </row>
    <row r="144" spans="1:4" x14ac:dyDescent="0.15">
      <c r="A144" s="177"/>
      <c r="B144" s="251"/>
      <c r="C144" s="251"/>
      <c r="D144" s="447"/>
    </row>
    <row r="145" spans="1:4" x14ac:dyDescent="0.15">
      <c r="A145" s="176" t="s">
        <v>61</v>
      </c>
      <c r="B145" s="251"/>
      <c r="C145" s="251"/>
      <c r="D145" s="447"/>
    </row>
    <row r="146" spans="1:4" x14ac:dyDescent="0.15">
      <c r="A146" s="177" t="s">
        <v>9</v>
      </c>
      <c r="B146" s="251">
        <v>2.63E-2</v>
      </c>
      <c r="C146" s="251">
        <f>Forecast01!N150</f>
        <v>3.466628237482295E-2</v>
      </c>
      <c r="D146" s="447">
        <f>C146-B146</f>
        <v>8.3662823748229496E-3</v>
      </c>
    </row>
    <row r="147" spans="1:4" x14ac:dyDescent="0.15">
      <c r="A147" s="177" t="s">
        <v>36</v>
      </c>
      <c r="B147" s="251">
        <v>9.5999999999999992E-3</v>
      </c>
      <c r="C147" s="251">
        <f>Forecast01!N151</f>
        <v>9.7702913837296561E-3</v>
      </c>
      <c r="D147" s="447">
        <f>C147-B147</f>
        <v>1.7029138372965692E-4</v>
      </c>
    </row>
    <row r="148" spans="1:4" x14ac:dyDescent="0.15">
      <c r="A148" s="177" t="s">
        <v>45</v>
      </c>
      <c r="B148" s="251">
        <v>0</v>
      </c>
      <c r="C148" s="251">
        <f>Forecast01!N152</f>
        <v>0</v>
      </c>
      <c r="D148" s="447">
        <f>C148-B148</f>
        <v>0</v>
      </c>
    </row>
    <row r="149" spans="1:4" x14ac:dyDescent="0.15">
      <c r="A149" s="177" t="s">
        <v>37</v>
      </c>
      <c r="B149" s="251">
        <v>4.2299999999999997E-2</v>
      </c>
      <c r="C149" s="251">
        <f>Forecast01!N153</f>
        <v>6.3476898096852016E-2</v>
      </c>
      <c r="D149" s="447">
        <f>C149-B149</f>
        <v>2.1176898096852019E-2</v>
      </c>
    </row>
    <row r="150" spans="1:4" x14ac:dyDescent="0.15">
      <c r="A150" s="177"/>
      <c r="B150" s="251"/>
      <c r="C150" s="251"/>
      <c r="D150" s="447"/>
    </row>
    <row r="151" spans="1:4" x14ac:dyDescent="0.15">
      <c r="A151" s="176" t="s">
        <v>62</v>
      </c>
      <c r="B151" s="251"/>
      <c r="C151" s="251"/>
      <c r="D151" s="447"/>
    </row>
    <row r="152" spans="1:4" x14ac:dyDescent="0.15">
      <c r="A152" s="177" t="s">
        <v>9</v>
      </c>
      <c r="B152" s="251">
        <v>0.20930000000000001</v>
      </c>
      <c r="C152" s="251">
        <f>Forecast01!N156</f>
        <v>0.20545342465753427</v>
      </c>
      <c r="D152" s="447">
        <f>C152-B152</f>
        <v>-3.8465753424657412E-3</v>
      </c>
    </row>
    <row r="153" spans="1:4" x14ac:dyDescent="0.15">
      <c r="A153" s="177" t="s">
        <v>36</v>
      </c>
      <c r="B153" s="251">
        <v>1.14E-2</v>
      </c>
      <c r="C153" s="251">
        <f>Forecast01!N157</f>
        <v>1.2254192143699539E-2</v>
      </c>
      <c r="D153" s="447">
        <f>C153-B153</f>
        <v>8.5419214369953853E-4</v>
      </c>
    </row>
    <row r="154" spans="1:4" x14ac:dyDescent="0.15">
      <c r="A154" s="177" t="s">
        <v>45</v>
      </c>
      <c r="B154" s="251">
        <v>0</v>
      </c>
      <c r="C154" s="251">
        <f>Forecast01!N158</f>
        <v>0</v>
      </c>
      <c r="D154" s="447">
        <f>C154-B154</f>
        <v>0</v>
      </c>
    </row>
    <row r="155" spans="1:4" x14ac:dyDescent="0.15">
      <c r="A155" s="177" t="s">
        <v>37</v>
      </c>
      <c r="B155" s="251">
        <v>0.12590000000000001</v>
      </c>
      <c r="C155" s="251">
        <f>Forecast01!N159</f>
        <v>0.22031915096522312</v>
      </c>
      <c r="D155" s="447">
        <f>C155-B155</f>
        <v>9.4419150965223103E-2</v>
      </c>
    </row>
    <row r="156" spans="1:4" x14ac:dyDescent="0.15">
      <c r="A156" s="177"/>
      <c r="B156" s="251"/>
      <c r="C156" s="251"/>
      <c r="D156" s="447"/>
    </row>
    <row r="157" spans="1:4" x14ac:dyDescent="0.15">
      <c r="A157" s="176" t="s">
        <v>29</v>
      </c>
      <c r="B157" s="251"/>
      <c r="C157" s="251"/>
      <c r="D157" s="447"/>
    </row>
    <row r="158" spans="1:4" x14ac:dyDescent="0.15">
      <c r="A158" s="177" t="s">
        <v>9</v>
      </c>
      <c r="B158" s="251">
        <v>0.1487</v>
      </c>
      <c r="C158" s="251">
        <f>Forecast01!N162</f>
        <v>0.14589196141360652</v>
      </c>
      <c r="D158" s="447">
        <f>C158-B158</f>
        <v>-2.8080385863934743E-3</v>
      </c>
    </row>
    <row r="159" spans="1:4" x14ac:dyDescent="0.15">
      <c r="A159" s="177" t="s">
        <v>10</v>
      </c>
      <c r="B159" s="251">
        <v>1.4999999999999999E-2</v>
      </c>
      <c r="C159" s="251">
        <f>Forecast01!N163</f>
        <v>1.141007236337903E-2</v>
      </c>
      <c r="D159" s="447">
        <f>C159-B159</f>
        <v>-3.5899276366209692E-3</v>
      </c>
    </row>
    <row r="160" spans="1:4" x14ac:dyDescent="0.15">
      <c r="A160" s="177" t="s">
        <v>11</v>
      </c>
      <c r="B160" s="251">
        <v>0</v>
      </c>
      <c r="C160" s="251">
        <f>Forecast01!N164</f>
        <v>0</v>
      </c>
      <c r="D160" s="447">
        <f>C160-B160</f>
        <v>0</v>
      </c>
    </row>
    <row r="161" spans="1:4" x14ac:dyDescent="0.15">
      <c r="A161" s="177" t="s">
        <v>15</v>
      </c>
      <c r="B161" s="251">
        <v>5.0500000000000003E-2</v>
      </c>
      <c r="C161" s="251">
        <f>Forecast01!N165</f>
        <v>0.11999140549576266</v>
      </c>
      <c r="D161" s="447">
        <f>C161-B161</f>
        <v>6.9491405495762659E-2</v>
      </c>
    </row>
    <row r="162" spans="1:4" x14ac:dyDescent="0.15">
      <c r="A162" s="177"/>
      <c r="B162" s="251"/>
      <c r="C162" s="251"/>
      <c r="D162" s="447"/>
    </row>
    <row r="163" spans="1:4" x14ac:dyDescent="0.15">
      <c r="A163" s="176" t="s">
        <v>34</v>
      </c>
      <c r="B163" s="251"/>
      <c r="C163" s="251"/>
      <c r="D163" s="447"/>
    </row>
    <row r="164" spans="1:4" x14ac:dyDescent="0.15">
      <c r="A164" s="177" t="s">
        <v>9</v>
      </c>
      <c r="B164" s="251">
        <v>3.8399999999999997E-2</v>
      </c>
      <c r="C164" s="251">
        <f>Forecast01!N168</f>
        <v>4.5606499287749978E-2</v>
      </c>
      <c r="D164" s="447">
        <f>C164-B164</f>
        <v>7.2064992877499817E-3</v>
      </c>
    </row>
    <row r="165" spans="1:4" x14ac:dyDescent="0.15">
      <c r="A165" s="177" t="s">
        <v>10</v>
      </c>
      <c r="B165" s="251">
        <v>1.1999999999999999E-3</v>
      </c>
      <c r="C165" s="251">
        <f>Forecast01!N169</f>
        <v>1.6552084180619577E-3</v>
      </c>
      <c r="D165" s="447">
        <f>C165-B165</f>
        <v>4.552084180619578E-4</v>
      </c>
    </row>
    <row r="166" spans="1:4" x14ac:dyDescent="0.15">
      <c r="A166" s="177" t="s">
        <v>11</v>
      </c>
      <c r="B166" s="251">
        <v>1.1000000000000001E-3</v>
      </c>
      <c r="C166" s="251">
        <f>Forecast01!N170</f>
        <v>1.1065129351362118E-3</v>
      </c>
      <c r="D166" s="447">
        <f>C166-B166</f>
        <v>6.5129351362117061E-6</v>
      </c>
    </row>
    <row r="167" spans="1:4" x14ac:dyDescent="0.15">
      <c r="A167" s="177" t="s">
        <v>15</v>
      </c>
      <c r="B167" s="251">
        <v>3.7999999999999999E-2</v>
      </c>
      <c r="C167" s="251">
        <f>Forecast01!N171</f>
        <v>4.2473473208364594E-2</v>
      </c>
      <c r="D167" s="447">
        <f>C167-B167</f>
        <v>4.4734732083645951E-3</v>
      </c>
    </row>
    <row r="168" spans="1:4" x14ac:dyDescent="0.15">
      <c r="A168" s="177"/>
      <c r="B168" s="251"/>
      <c r="C168" s="251"/>
      <c r="D168" s="447"/>
    </row>
    <row r="169" spans="1:4" x14ac:dyDescent="0.15">
      <c r="A169" s="176" t="s">
        <v>39</v>
      </c>
      <c r="B169" s="251"/>
      <c r="C169" s="251"/>
      <c r="D169" s="447"/>
    </row>
    <row r="170" spans="1:4" x14ac:dyDescent="0.15">
      <c r="A170" s="177" t="s">
        <v>9</v>
      </c>
      <c r="B170" s="251">
        <v>4.7899999999999998E-2</v>
      </c>
      <c r="C170" s="251">
        <f>Forecast01!N174</f>
        <v>4.3082447642590831E-2</v>
      </c>
      <c r="D170" s="447">
        <f>C170-B170</f>
        <v>-4.8175523574091675E-3</v>
      </c>
    </row>
    <row r="171" spans="1:4" x14ac:dyDescent="0.15">
      <c r="A171" s="177" t="s">
        <v>10</v>
      </c>
      <c r="B171" s="251">
        <v>2.7000000000000001E-3</v>
      </c>
      <c r="C171" s="251">
        <f>Forecast01!N175</f>
        <v>2.9079177338199908E-3</v>
      </c>
      <c r="D171" s="447">
        <f>C171-B171</f>
        <v>2.0791773381999062E-4</v>
      </c>
    </row>
    <row r="172" spans="1:4" x14ac:dyDescent="0.15">
      <c r="A172" s="177" t="s">
        <v>11</v>
      </c>
      <c r="B172" s="251">
        <v>0</v>
      </c>
      <c r="C172" s="251">
        <f>Forecast01!N176</f>
        <v>0</v>
      </c>
      <c r="D172" s="447">
        <f>C172-B172</f>
        <v>0</v>
      </c>
    </row>
    <row r="173" spans="1:4" x14ac:dyDescent="0.15">
      <c r="A173" s="177" t="s">
        <v>15</v>
      </c>
      <c r="B173" s="251">
        <v>2.7E-2</v>
      </c>
      <c r="C173" s="251">
        <f>Forecast01!N177</f>
        <v>3.9585762776855035E-2</v>
      </c>
      <c r="D173" s="447">
        <f>C173-B173</f>
        <v>1.2585762776855035E-2</v>
      </c>
    </row>
    <row r="174" spans="1:4" x14ac:dyDescent="0.15">
      <c r="A174" s="177"/>
      <c r="B174" s="251"/>
      <c r="C174" s="251"/>
      <c r="D174" s="447"/>
    </row>
    <row r="175" spans="1:4" x14ac:dyDescent="0.15">
      <c r="A175" s="176" t="s">
        <v>63</v>
      </c>
      <c r="B175" s="251"/>
      <c r="C175" s="251"/>
      <c r="D175" s="447"/>
    </row>
    <row r="176" spans="1:4" x14ac:dyDescent="0.15">
      <c r="A176" s="177" t="s">
        <v>9</v>
      </c>
      <c r="B176" s="251">
        <v>3.7600000000000001E-2</v>
      </c>
      <c r="C176" s="251">
        <f>Forecast01!N180</f>
        <v>3.1257685009936947E-2</v>
      </c>
      <c r="D176" s="447">
        <f>C176-B176</f>
        <v>-6.342314990063054E-3</v>
      </c>
    </row>
    <row r="177" spans="1:5" x14ac:dyDescent="0.15">
      <c r="A177" s="177" t="s">
        <v>36</v>
      </c>
      <c r="B177" s="251">
        <v>3.8E-3</v>
      </c>
      <c r="C177" s="251">
        <f>Forecast01!N181</f>
        <v>2.7773715493949829E-3</v>
      </c>
      <c r="D177" s="447">
        <f>C177-B177</f>
        <v>-1.0226284506050171E-3</v>
      </c>
    </row>
    <row r="178" spans="1:5" x14ac:dyDescent="0.15">
      <c r="A178" s="177" t="s">
        <v>45</v>
      </c>
      <c r="B178" s="251">
        <v>1E-4</v>
      </c>
      <c r="C178" s="251">
        <f>Forecast01!N182</f>
        <v>0</v>
      </c>
      <c r="D178" s="447">
        <f>C178-B178</f>
        <v>-1E-4</v>
      </c>
    </row>
    <row r="179" spans="1:5" x14ac:dyDescent="0.15">
      <c r="A179" s="177" t="s">
        <v>37</v>
      </c>
      <c r="D179" s="447"/>
    </row>
    <row r="180" spans="1:5" x14ac:dyDescent="0.15">
      <c r="A180" s="14"/>
    </row>
    <row r="181" spans="1:5" ht="15.75" x14ac:dyDescent="0.15">
      <c r="A181" s="174" t="s">
        <v>64</v>
      </c>
    </row>
    <row r="182" spans="1:5" ht="15.75" x14ac:dyDescent="0.15">
      <c r="A182" s="175" t="s">
        <v>7</v>
      </c>
    </row>
    <row r="183" spans="1:5" x14ac:dyDescent="0.15">
      <c r="A183" s="176" t="s">
        <v>65</v>
      </c>
    </row>
    <row r="184" spans="1:5" x14ac:dyDescent="0.15">
      <c r="A184" s="177" t="s">
        <v>9</v>
      </c>
      <c r="B184" s="440">
        <v>25140.7</v>
      </c>
      <c r="C184" s="440">
        <f>Forecast01!N188</f>
        <v>24418.736940000003</v>
      </c>
      <c r="D184" s="444">
        <f t="shared" ref="D184:D189" si="6">C184-B184</f>
        <v>-721.96305999999822</v>
      </c>
    </row>
    <row r="185" spans="1:5" x14ac:dyDescent="0.15">
      <c r="A185" s="177" t="s">
        <v>66</v>
      </c>
      <c r="B185" s="440">
        <v>4161.6000000000004</v>
      </c>
      <c r="C185" s="440">
        <f>Forecast01!N189</f>
        <v>4399.2264999999998</v>
      </c>
      <c r="D185" s="444">
        <f t="shared" si="6"/>
        <v>237.6264999999994</v>
      </c>
      <c r="E185" s="239" t="s">
        <v>371</v>
      </c>
    </row>
    <row r="186" spans="1:5" x14ac:dyDescent="0.15">
      <c r="A186" s="177" t="s">
        <v>36</v>
      </c>
      <c r="B186" s="440">
        <v>2895.2</v>
      </c>
      <c r="C186" s="440">
        <f>Forecast01!N190</f>
        <v>3725.6401461</v>
      </c>
      <c r="D186" s="444">
        <f t="shared" si="6"/>
        <v>830.44014610000022</v>
      </c>
    </row>
    <row r="187" spans="1:5" x14ac:dyDescent="0.15">
      <c r="A187" s="234" t="s">
        <v>45</v>
      </c>
      <c r="B187" s="440">
        <v>269.2</v>
      </c>
      <c r="C187" s="440">
        <f>Forecast01!N191</f>
        <v>393.20000000000005</v>
      </c>
      <c r="D187" s="444">
        <f t="shared" si="6"/>
        <v>124.00000000000006</v>
      </c>
    </row>
    <row r="188" spans="1:5" x14ac:dyDescent="0.15">
      <c r="A188" s="178" t="s">
        <v>37</v>
      </c>
      <c r="B188" s="442">
        <v>0.5</v>
      </c>
      <c r="C188" s="442">
        <f>Forecast01!N192</f>
        <v>5331.1</v>
      </c>
      <c r="D188" s="445">
        <f t="shared" si="6"/>
        <v>5330.6</v>
      </c>
    </row>
    <row r="189" spans="1:5" x14ac:dyDescent="0.15">
      <c r="A189" s="176" t="s">
        <v>13</v>
      </c>
      <c r="B189" s="440">
        <v>32467.3</v>
      </c>
      <c r="C189" s="440">
        <f>Forecast01!N193</f>
        <v>38267.903586100001</v>
      </c>
      <c r="D189" s="444">
        <f t="shared" si="6"/>
        <v>5800.6035861000018</v>
      </c>
    </row>
    <row r="190" spans="1:5" x14ac:dyDescent="0.15">
      <c r="A190" s="177"/>
    </row>
    <row r="191" spans="1:5" x14ac:dyDescent="0.15">
      <c r="A191" s="176" t="s">
        <v>58</v>
      </c>
    </row>
    <row r="192" spans="1:5" x14ac:dyDescent="0.15">
      <c r="A192" s="177" t="s">
        <v>9</v>
      </c>
      <c r="B192" s="440">
        <v>48993.5</v>
      </c>
      <c r="C192" s="440">
        <f>Forecast01!N196</f>
        <v>49395.785344399999</v>
      </c>
      <c r="D192" s="444">
        <f t="shared" ref="D192:D198" si="7">C192-B192</f>
        <v>402.2853443999993</v>
      </c>
    </row>
    <row r="193" spans="1:5" x14ac:dyDescent="0.15">
      <c r="A193" s="177" t="s">
        <v>66</v>
      </c>
      <c r="B193" s="440">
        <v>7681.4</v>
      </c>
      <c r="C193" s="440">
        <f>Forecast01!N197</f>
        <v>7007.1876000000002</v>
      </c>
      <c r="D193" s="444">
        <f t="shared" si="7"/>
        <v>-674.21239999999943</v>
      </c>
      <c r="E193" s="239" t="s">
        <v>371</v>
      </c>
    </row>
    <row r="194" spans="1:5" x14ac:dyDescent="0.15">
      <c r="A194" s="177" t="s">
        <v>36</v>
      </c>
      <c r="B194" s="440">
        <v>3343.7</v>
      </c>
      <c r="C194" s="440">
        <f>Forecast01!N198</f>
        <v>3844.3429010000004</v>
      </c>
      <c r="D194" s="444">
        <f t="shared" si="7"/>
        <v>500.64290100000062</v>
      </c>
    </row>
    <row r="195" spans="1:5" x14ac:dyDescent="0.15">
      <c r="A195" s="177" t="s">
        <v>45</v>
      </c>
      <c r="B195" s="440">
        <v>29.6</v>
      </c>
      <c r="C195" s="440">
        <f>Forecast01!N199</f>
        <v>58.400000000000006</v>
      </c>
      <c r="D195" s="444">
        <f t="shared" si="7"/>
        <v>28.800000000000004</v>
      </c>
    </row>
    <row r="196" spans="1:5" x14ac:dyDescent="0.15">
      <c r="A196" s="177" t="s">
        <v>205</v>
      </c>
      <c r="C196" s="440">
        <f>Forecast01!N200</f>
        <v>46.5</v>
      </c>
      <c r="D196" s="444">
        <f t="shared" si="7"/>
        <v>46.5</v>
      </c>
    </row>
    <row r="197" spans="1:5" x14ac:dyDescent="0.15">
      <c r="A197" s="177" t="s">
        <v>37</v>
      </c>
      <c r="B197" s="442">
        <v>5.7</v>
      </c>
      <c r="C197" s="442">
        <f>Forecast01!N201</f>
        <v>83.009999999999991</v>
      </c>
      <c r="D197" s="445">
        <f t="shared" si="7"/>
        <v>77.309999999999988</v>
      </c>
    </row>
    <row r="198" spans="1:5" x14ac:dyDescent="0.15">
      <c r="A198" s="176" t="s">
        <v>16</v>
      </c>
      <c r="B198" s="440">
        <v>60053.9</v>
      </c>
      <c r="C198" s="440">
        <f>Forecast01!N202</f>
        <v>60435.225845400004</v>
      </c>
      <c r="D198" s="444">
        <f t="shared" si="7"/>
        <v>381.32584540000244</v>
      </c>
    </row>
    <row r="199" spans="1:5" x14ac:dyDescent="0.15">
      <c r="A199" s="177"/>
    </row>
    <row r="200" spans="1:5" x14ac:dyDescent="0.15">
      <c r="A200" s="176" t="s">
        <v>17</v>
      </c>
    </row>
    <row r="201" spans="1:5" x14ac:dyDescent="0.15">
      <c r="A201" s="177" t="s">
        <v>9</v>
      </c>
      <c r="B201" s="440">
        <v>3202.4</v>
      </c>
      <c r="C201" s="440">
        <f>Forecast01!N205</f>
        <v>3438.1288000000004</v>
      </c>
      <c r="D201" s="444">
        <f>C201-B201</f>
        <v>235.72880000000032</v>
      </c>
    </row>
    <row r="202" spans="1:5" x14ac:dyDescent="0.15">
      <c r="A202" s="177" t="s">
        <v>36</v>
      </c>
      <c r="B202" s="440">
        <v>365.5</v>
      </c>
      <c r="C202" s="440">
        <f>Forecast01!N206</f>
        <v>370.1712</v>
      </c>
      <c r="D202" s="444">
        <f>C202-B202</f>
        <v>4.6711999999999989</v>
      </c>
    </row>
    <row r="203" spans="1:5" x14ac:dyDescent="0.15">
      <c r="A203" s="234"/>
      <c r="B203" s="440">
        <v>0</v>
      </c>
      <c r="C203" s="440">
        <f>Forecast01!N207</f>
        <v>0</v>
      </c>
      <c r="D203" s="444">
        <f>C203-B203</f>
        <v>0</v>
      </c>
    </row>
    <row r="204" spans="1:5" x14ac:dyDescent="0.15">
      <c r="A204" s="177" t="s">
        <v>37</v>
      </c>
      <c r="B204" s="442">
        <v>0</v>
      </c>
      <c r="C204" s="442">
        <f>Forecast01!N208</f>
        <v>0</v>
      </c>
      <c r="D204" s="445">
        <f>C204-B204</f>
        <v>0</v>
      </c>
    </row>
    <row r="205" spans="1:5" x14ac:dyDescent="0.15">
      <c r="A205" s="176" t="s">
        <v>18</v>
      </c>
      <c r="B205" s="440">
        <v>3567.9</v>
      </c>
      <c r="C205" s="440">
        <f>Forecast01!N209</f>
        <v>3808.3</v>
      </c>
      <c r="D205" s="444">
        <f>C205-B205</f>
        <v>240.40000000000009</v>
      </c>
    </row>
    <row r="206" spans="1:5" x14ac:dyDescent="0.15">
      <c r="A206" s="177"/>
    </row>
    <row r="207" spans="1:5" x14ac:dyDescent="0.15">
      <c r="A207" s="176" t="s">
        <v>67</v>
      </c>
    </row>
    <row r="208" spans="1:5" x14ac:dyDescent="0.15">
      <c r="A208" s="177" t="s">
        <v>9</v>
      </c>
      <c r="B208" s="440">
        <v>7340.4</v>
      </c>
      <c r="C208" s="440">
        <f>Forecast01!N212</f>
        <v>14891.356075200001</v>
      </c>
      <c r="D208" s="444">
        <f t="shared" ref="D208:D216" si="8">C208-B208</f>
        <v>7550.9560752000016</v>
      </c>
    </row>
    <row r="209" spans="1:4" x14ac:dyDescent="0.15">
      <c r="A209" s="177" t="s">
        <v>36</v>
      </c>
      <c r="B209" s="440">
        <v>833.6</v>
      </c>
      <c r="C209" s="440">
        <f>Forecast01!N213</f>
        <v>1265.5217747999998</v>
      </c>
      <c r="D209" s="444">
        <f t="shared" si="8"/>
        <v>431.92177479999975</v>
      </c>
    </row>
    <row r="210" spans="1:4" x14ac:dyDescent="0.15">
      <c r="A210" s="177" t="s">
        <v>45</v>
      </c>
      <c r="B210" s="440">
        <v>0</v>
      </c>
      <c r="C210" s="440">
        <f>Forecast01!N214</f>
        <v>0</v>
      </c>
      <c r="D210" s="444">
        <f t="shared" si="8"/>
        <v>0</v>
      </c>
    </row>
    <row r="211" spans="1:4" x14ac:dyDescent="0.15">
      <c r="A211" s="177" t="s">
        <v>201</v>
      </c>
      <c r="B211" s="440">
        <v>0</v>
      </c>
      <c r="C211" s="440">
        <f>Forecast01!N215</f>
        <v>1</v>
      </c>
      <c r="D211" s="444">
        <f t="shared" si="8"/>
        <v>1</v>
      </c>
    </row>
    <row r="212" spans="1:4" x14ac:dyDescent="0.15">
      <c r="A212" s="178" t="s">
        <v>37</v>
      </c>
      <c r="B212" s="440">
        <v>21.7</v>
      </c>
      <c r="C212" s="440">
        <f>Forecast01!N216</f>
        <v>5</v>
      </c>
      <c r="D212" s="444">
        <f t="shared" si="8"/>
        <v>-16.7</v>
      </c>
    </row>
    <row r="213" spans="1:4" x14ac:dyDescent="0.15">
      <c r="A213" s="176" t="s">
        <v>20</v>
      </c>
      <c r="B213" s="442">
        <v>8195.7000000000007</v>
      </c>
      <c r="C213" s="442">
        <f>Forecast01!N217</f>
        <v>16162.877850000001</v>
      </c>
      <c r="D213" s="445">
        <f t="shared" si="8"/>
        <v>7967.17785</v>
      </c>
    </row>
    <row r="214" spans="1:4" x14ac:dyDescent="0.15">
      <c r="A214" s="179" t="s">
        <v>68</v>
      </c>
      <c r="B214" s="443">
        <v>96520</v>
      </c>
      <c r="C214" s="443">
        <f>Forecast01!N218</f>
        <v>103550.4212596</v>
      </c>
      <c r="D214" s="446">
        <f t="shared" si="8"/>
        <v>7030.4212595999998</v>
      </c>
    </row>
    <row r="215" spans="1:4" x14ac:dyDescent="0.15">
      <c r="A215" s="179" t="s">
        <v>69</v>
      </c>
      <c r="B215" s="443">
        <v>7805.9</v>
      </c>
      <c r="C215" s="443">
        <f>Forecast01!N219</f>
        <v>15123.886021899991</v>
      </c>
      <c r="D215" s="446">
        <f t="shared" si="8"/>
        <v>7317.9860218999911</v>
      </c>
    </row>
    <row r="216" spans="1:4" x14ac:dyDescent="0.15">
      <c r="A216" s="187" t="s">
        <v>70</v>
      </c>
      <c r="B216" s="443">
        <v>104325.9</v>
      </c>
      <c r="C216" s="443">
        <f>Forecast01!N220</f>
        <v>118674.30728149999</v>
      </c>
      <c r="D216" s="445">
        <f t="shared" si="8"/>
        <v>14348.407281499996</v>
      </c>
    </row>
    <row r="217" spans="1:4" x14ac:dyDescent="0.15">
      <c r="A217" s="180"/>
    </row>
    <row r="218" spans="1:4" ht="15.75" x14ac:dyDescent="0.15">
      <c r="A218" s="175" t="s">
        <v>23</v>
      </c>
    </row>
    <row r="219" spans="1:4" x14ac:dyDescent="0.15">
      <c r="A219" s="176" t="s">
        <v>195</v>
      </c>
    </row>
    <row r="220" spans="1:4" x14ac:dyDescent="0.15">
      <c r="A220" s="177" t="s">
        <v>9</v>
      </c>
      <c r="B220" s="440">
        <v>119.6</v>
      </c>
      <c r="C220" s="440">
        <f>Forecast01!N224</f>
        <v>260.5</v>
      </c>
      <c r="D220" s="444">
        <f>C220-B220</f>
        <v>140.9</v>
      </c>
    </row>
    <row r="221" spans="1:4" x14ac:dyDescent="0.15">
      <c r="A221" s="177" t="s">
        <v>36</v>
      </c>
      <c r="B221" s="440">
        <v>31.4</v>
      </c>
      <c r="C221" s="440">
        <f>Forecast01!N225</f>
        <v>19.7</v>
      </c>
      <c r="D221" s="444">
        <f>C221-B221</f>
        <v>-11.7</v>
      </c>
    </row>
    <row r="222" spans="1:4" x14ac:dyDescent="0.15">
      <c r="A222" s="177" t="s">
        <v>45</v>
      </c>
      <c r="B222" s="440">
        <v>0</v>
      </c>
      <c r="C222" s="440">
        <f>Forecast01!N226</f>
        <v>7.9</v>
      </c>
      <c r="D222" s="444">
        <f>C222-B222</f>
        <v>7.9</v>
      </c>
    </row>
    <row r="223" spans="1:4" x14ac:dyDescent="0.15">
      <c r="A223" s="178" t="s">
        <v>37</v>
      </c>
      <c r="B223" s="442">
        <v>17.8</v>
      </c>
      <c r="C223" s="442">
        <f>Forecast01!N227</f>
        <v>73.699999999999989</v>
      </c>
      <c r="D223" s="445">
        <f>C223-B223</f>
        <v>55.899999999999991</v>
      </c>
    </row>
    <row r="224" spans="1:4" x14ac:dyDescent="0.15">
      <c r="A224" s="176" t="s">
        <v>24</v>
      </c>
      <c r="B224" s="440">
        <v>168.7</v>
      </c>
      <c r="C224" s="440">
        <f>Forecast01!N228</f>
        <v>361.79999999999995</v>
      </c>
      <c r="D224" s="444">
        <f>C224-B224</f>
        <v>193.09999999999997</v>
      </c>
    </row>
    <row r="225" spans="1:4" x14ac:dyDescent="0.15">
      <c r="A225" s="177"/>
    </row>
    <row r="226" spans="1:4" x14ac:dyDescent="0.15">
      <c r="A226" s="176" t="s">
        <v>25</v>
      </c>
    </row>
    <row r="227" spans="1:4" x14ac:dyDescent="0.15">
      <c r="A227" s="177" t="s">
        <v>9</v>
      </c>
      <c r="B227" s="440">
        <v>4373.8</v>
      </c>
      <c r="C227" s="440">
        <f>Forecast01!N231</f>
        <v>7499.5264420433996</v>
      </c>
      <c r="D227" s="444">
        <f t="shared" ref="D227:D232" si="9">C227-B227</f>
        <v>3125.7264420433994</v>
      </c>
    </row>
    <row r="228" spans="1:4" x14ac:dyDescent="0.15">
      <c r="A228" s="177" t="s">
        <v>36</v>
      </c>
      <c r="B228" s="440">
        <v>828.7</v>
      </c>
      <c r="C228" s="440">
        <f>Forecast01!N232</f>
        <v>990.7191279566</v>
      </c>
      <c r="D228" s="444">
        <f t="shared" si="9"/>
        <v>162.01912795659996</v>
      </c>
    </row>
    <row r="229" spans="1:4" x14ac:dyDescent="0.15">
      <c r="A229" s="177" t="s">
        <v>45</v>
      </c>
      <c r="B229" s="440">
        <v>0</v>
      </c>
      <c r="C229" s="440">
        <f>Forecast01!N233</f>
        <v>0</v>
      </c>
      <c r="D229" s="444">
        <f t="shared" si="9"/>
        <v>0</v>
      </c>
    </row>
    <row r="230" spans="1:4" x14ac:dyDescent="0.15">
      <c r="A230" s="177" t="s">
        <v>202</v>
      </c>
      <c r="B230" s="440">
        <v>0</v>
      </c>
      <c r="C230" s="440">
        <f>Forecast01!N234</f>
        <v>40.899999999999991</v>
      </c>
      <c r="D230" s="444">
        <f t="shared" si="9"/>
        <v>40.899999999999991</v>
      </c>
    </row>
    <row r="231" spans="1:4" x14ac:dyDescent="0.15">
      <c r="A231" s="177" t="s">
        <v>37</v>
      </c>
      <c r="B231" s="442">
        <v>468.1</v>
      </c>
      <c r="C231" s="442">
        <f>Forecast01!N235</f>
        <v>561.58344999999997</v>
      </c>
      <c r="D231" s="445">
        <f t="shared" si="9"/>
        <v>93.483449999999948</v>
      </c>
    </row>
    <row r="232" spans="1:4" x14ac:dyDescent="0.15">
      <c r="A232" s="176" t="s">
        <v>26</v>
      </c>
      <c r="B232" s="440">
        <v>5670.6</v>
      </c>
      <c r="C232" s="440">
        <f>Forecast01!N236</f>
        <v>9092.7290199999989</v>
      </c>
      <c r="D232" s="444">
        <f t="shared" si="9"/>
        <v>3422.1290199999985</v>
      </c>
    </row>
    <row r="233" spans="1:4" x14ac:dyDescent="0.15">
      <c r="A233" s="176"/>
    </row>
    <row r="234" spans="1:4" x14ac:dyDescent="0.15">
      <c r="A234" s="176" t="s">
        <v>27</v>
      </c>
    </row>
    <row r="235" spans="1:4" x14ac:dyDescent="0.15">
      <c r="A235" s="177" t="s">
        <v>9</v>
      </c>
      <c r="B235" s="440">
        <v>3064.5</v>
      </c>
      <c r="C235" s="440">
        <f>Forecast01!N239</f>
        <v>2999.6200000000003</v>
      </c>
      <c r="D235" s="444">
        <f>C235-B235</f>
        <v>-64.879999999999654</v>
      </c>
    </row>
    <row r="236" spans="1:4" x14ac:dyDescent="0.15">
      <c r="A236" s="177" t="s">
        <v>36</v>
      </c>
      <c r="B236" s="440">
        <v>114.5</v>
      </c>
      <c r="C236" s="440">
        <f>Forecast01!N240</f>
        <v>108.06236800000001</v>
      </c>
      <c r="D236" s="444">
        <f>C236-B236</f>
        <v>-6.4376319999999936</v>
      </c>
    </row>
    <row r="237" spans="1:4" x14ac:dyDescent="0.15">
      <c r="A237" s="177" t="s">
        <v>45</v>
      </c>
      <c r="B237" s="440">
        <v>0</v>
      </c>
      <c r="C237" s="440">
        <f>Forecast01!N241</f>
        <v>0</v>
      </c>
      <c r="D237" s="444">
        <f>C237-B237</f>
        <v>0</v>
      </c>
    </row>
    <row r="238" spans="1:4" x14ac:dyDescent="0.15">
      <c r="A238" s="177" t="s">
        <v>37</v>
      </c>
      <c r="B238" s="442">
        <v>6.3</v>
      </c>
      <c r="C238" s="442">
        <f>Forecast01!N242</f>
        <v>110.7</v>
      </c>
      <c r="D238" s="445">
        <f>C238-B238</f>
        <v>104.4</v>
      </c>
    </row>
    <row r="239" spans="1:4" x14ac:dyDescent="0.15">
      <c r="A239" s="176" t="s">
        <v>28</v>
      </c>
      <c r="B239" s="440">
        <v>3185.3</v>
      </c>
      <c r="C239" s="440">
        <f>Forecast01!N243</f>
        <v>3218.382368</v>
      </c>
      <c r="D239" s="444">
        <f>C239-B239</f>
        <v>33.08236799999986</v>
      </c>
    </row>
    <row r="240" spans="1:4" x14ac:dyDescent="0.15">
      <c r="A240" s="177"/>
    </row>
    <row r="241" spans="1:4" x14ac:dyDescent="0.15">
      <c r="A241" s="176" t="s">
        <v>29</v>
      </c>
    </row>
    <row r="242" spans="1:4" x14ac:dyDescent="0.15">
      <c r="A242" s="177" t="s">
        <v>9</v>
      </c>
      <c r="B242" s="440">
        <v>6456.4</v>
      </c>
      <c r="C242" s="440">
        <f>Forecast01!N246</f>
        <v>5280.6811200000002</v>
      </c>
      <c r="D242" s="444">
        <f t="shared" ref="D242:D249" si="10">C242-B242</f>
        <v>-1175.7188799999994</v>
      </c>
    </row>
    <row r="243" spans="1:4" x14ac:dyDescent="0.15">
      <c r="A243" s="177" t="s">
        <v>36</v>
      </c>
      <c r="B243" s="440">
        <v>587.20000000000005</v>
      </c>
      <c r="C243" s="440">
        <f>Forecast01!N247</f>
        <v>403.51168000000001</v>
      </c>
      <c r="D243" s="444">
        <f t="shared" si="10"/>
        <v>-183.68832000000003</v>
      </c>
    </row>
    <row r="244" spans="1:4" x14ac:dyDescent="0.15">
      <c r="A244" s="177" t="s">
        <v>45</v>
      </c>
      <c r="B244" s="440">
        <v>0.4</v>
      </c>
      <c r="C244" s="440">
        <f>Forecast01!N248</f>
        <v>0</v>
      </c>
      <c r="D244" s="444">
        <f t="shared" si="10"/>
        <v>-0.4</v>
      </c>
    </row>
    <row r="245" spans="1:4" x14ac:dyDescent="0.15">
      <c r="A245" s="178" t="s">
        <v>37</v>
      </c>
      <c r="B245" s="440">
        <v>55.8</v>
      </c>
      <c r="C245" s="440">
        <f>Forecast01!N249</f>
        <v>219.47338000000002</v>
      </c>
      <c r="D245" s="444">
        <f t="shared" si="10"/>
        <v>163.67338000000001</v>
      </c>
    </row>
    <row r="246" spans="1:4" x14ac:dyDescent="0.15">
      <c r="A246" s="176" t="s">
        <v>30</v>
      </c>
      <c r="B246" s="442">
        <v>7099.7</v>
      </c>
      <c r="C246" s="442">
        <f>Forecast01!N250</f>
        <v>5903.6661800000002</v>
      </c>
      <c r="D246" s="445">
        <f t="shared" si="10"/>
        <v>-1196.0338199999997</v>
      </c>
    </row>
    <row r="247" spans="1:4" x14ac:dyDescent="0.15">
      <c r="A247" s="179" t="s">
        <v>71</v>
      </c>
      <c r="B247" s="443">
        <v>14014.3</v>
      </c>
      <c r="C247" s="443">
        <f>Forecast01!N251</f>
        <v>16040.3275620434</v>
      </c>
      <c r="D247" s="446">
        <f t="shared" si="10"/>
        <v>2026.0275620434004</v>
      </c>
    </row>
    <row r="248" spans="1:4" x14ac:dyDescent="0.15">
      <c r="A248" s="179" t="s">
        <v>72</v>
      </c>
      <c r="B248" s="443">
        <v>2191.8000000000002</v>
      </c>
      <c r="C248" s="443">
        <f>Forecast01!N252</f>
        <v>2536.2500059565991</v>
      </c>
      <c r="D248" s="446">
        <f t="shared" si="10"/>
        <v>344.45000595659894</v>
      </c>
    </row>
    <row r="249" spans="1:4" x14ac:dyDescent="0.15">
      <c r="A249" s="187" t="s">
        <v>73</v>
      </c>
      <c r="B249" s="443">
        <v>16206</v>
      </c>
      <c r="C249" s="443">
        <f>Forecast01!N253</f>
        <v>18576.577568000001</v>
      </c>
      <c r="D249" s="446">
        <f t="shared" si="10"/>
        <v>2370.5775680000006</v>
      </c>
    </row>
    <row r="250" spans="1:4" x14ac:dyDescent="0.15">
      <c r="A250" s="180"/>
    </row>
    <row r="251" spans="1:4" ht="15.75" x14ac:dyDescent="0.15">
      <c r="A251" s="175" t="s">
        <v>33</v>
      </c>
    </row>
    <row r="252" spans="1:4" x14ac:dyDescent="0.15">
      <c r="A252" s="176" t="s">
        <v>34</v>
      </c>
    </row>
    <row r="253" spans="1:4" x14ac:dyDescent="0.15">
      <c r="A253" s="177" t="s">
        <v>9</v>
      </c>
      <c r="B253" s="440">
        <v>4788</v>
      </c>
      <c r="C253" s="440">
        <f>Forecast01!N257</f>
        <v>4632.6853943999995</v>
      </c>
      <c r="D253" s="444">
        <f t="shared" ref="D253:D267" si="11">C253-B253</f>
        <v>-155.3146056000005</v>
      </c>
    </row>
    <row r="254" spans="1:4" x14ac:dyDescent="0.15">
      <c r="A254" s="177" t="s">
        <v>36</v>
      </c>
      <c r="B254" s="440">
        <v>106.8</v>
      </c>
      <c r="C254" s="440">
        <f>Forecast01!N258</f>
        <v>135.00460559999999</v>
      </c>
      <c r="D254" s="444">
        <f t="shared" si="11"/>
        <v>28.204605599999994</v>
      </c>
    </row>
    <row r="255" spans="1:4" x14ac:dyDescent="0.15">
      <c r="A255" s="177" t="s">
        <v>45</v>
      </c>
      <c r="B255" s="440">
        <v>1</v>
      </c>
      <c r="C255" s="440">
        <f>Forecast01!N259</f>
        <v>1</v>
      </c>
      <c r="D255" s="444">
        <f t="shared" si="11"/>
        <v>0</v>
      </c>
    </row>
    <row r="256" spans="1:4" x14ac:dyDescent="0.15">
      <c r="A256" s="177" t="s">
        <v>37</v>
      </c>
      <c r="B256" s="442">
        <v>197.9</v>
      </c>
      <c r="C256" s="442">
        <f>Forecast01!N260</f>
        <v>519.471</v>
      </c>
      <c r="D256" s="445">
        <f t="shared" si="11"/>
        <v>321.57100000000003</v>
      </c>
    </row>
    <row r="257" spans="1:4" x14ac:dyDescent="0.15">
      <c r="A257" s="176" t="s">
        <v>38</v>
      </c>
      <c r="B257" s="440">
        <v>5093.7</v>
      </c>
      <c r="C257" s="440">
        <f>Forecast01!N261</f>
        <v>5288.1610000000001</v>
      </c>
      <c r="D257" s="444">
        <f t="shared" si="11"/>
        <v>194.46100000000024</v>
      </c>
    </row>
    <row r="258" spans="1:4" x14ac:dyDescent="0.15">
      <c r="A258" s="177"/>
      <c r="D258" s="444">
        <f t="shared" si="11"/>
        <v>0</v>
      </c>
    </row>
    <row r="259" spans="1:4" x14ac:dyDescent="0.15">
      <c r="A259" s="176" t="s">
        <v>39</v>
      </c>
      <c r="D259" s="444">
        <f t="shared" si="11"/>
        <v>0</v>
      </c>
    </row>
    <row r="260" spans="1:4" x14ac:dyDescent="0.15">
      <c r="A260" s="177" t="s">
        <v>9</v>
      </c>
      <c r="B260" s="440">
        <v>3279.4</v>
      </c>
      <c r="C260" s="440">
        <f>Forecast01!N264</f>
        <v>4544.917598</v>
      </c>
      <c r="D260" s="444">
        <f t="shared" si="11"/>
        <v>1265.5175979999999</v>
      </c>
    </row>
    <row r="261" spans="1:4" x14ac:dyDescent="0.15">
      <c r="A261" s="177" t="s">
        <v>36</v>
      </c>
      <c r="B261" s="440">
        <v>164.4</v>
      </c>
      <c r="C261" s="440">
        <f>Forecast01!N265</f>
        <v>258.37040200000001</v>
      </c>
      <c r="D261" s="444">
        <f t="shared" si="11"/>
        <v>93.970402000000007</v>
      </c>
    </row>
    <row r="262" spans="1:4" x14ac:dyDescent="0.15">
      <c r="A262" s="177" t="s">
        <v>45</v>
      </c>
      <c r="B262" s="440">
        <v>0</v>
      </c>
      <c r="C262" s="440">
        <f>Forecast01!N266</f>
        <v>0</v>
      </c>
      <c r="D262" s="444">
        <f t="shared" si="11"/>
        <v>0</v>
      </c>
    </row>
    <row r="263" spans="1:4" x14ac:dyDescent="0.15">
      <c r="A263" s="178" t="s">
        <v>37</v>
      </c>
      <c r="B263" s="440">
        <v>618.79999999999995</v>
      </c>
      <c r="C263" s="440">
        <f>Forecast01!N267</f>
        <v>1136.6416099999999</v>
      </c>
      <c r="D263" s="444">
        <f t="shared" si="11"/>
        <v>517.84160999999995</v>
      </c>
    </row>
    <row r="264" spans="1:4" x14ac:dyDescent="0.15">
      <c r="A264" s="176" t="s">
        <v>74</v>
      </c>
      <c r="B264" s="442">
        <v>4062.7</v>
      </c>
      <c r="C264" s="442">
        <f>Forecast01!N268</f>
        <v>5939.9296100000001</v>
      </c>
      <c r="D264" s="445">
        <f t="shared" si="11"/>
        <v>1877.2296100000003</v>
      </c>
    </row>
    <row r="265" spans="1:4" x14ac:dyDescent="0.15">
      <c r="A265" s="179" t="s">
        <v>75</v>
      </c>
      <c r="B265" s="443">
        <v>8067.5</v>
      </c>
      <c r="C265" s="443">
        <f>Forecast01!N269</f>
        <v>9177.6029923999995</v>
      </c>
      <c r="D265" s="446">
        <f t="shared" si="11"/>
        <v>1110.1029923999995</v>
      </c>
    </row>
    <row r="266" spans="1:4" x14ac:dyDescent="0.15">
      <c r="A266" s="179" t="s">
        <v>76</v>
      </c>
      <c r="B266" s="443">
        <v>1089</v>
      </c>
      <c r="C266" s="443">
        <f>Forecast01!N270</f>
        <v>2050.4876175999998</v>
      </c>
      <c r="D266" s="446">
        <f t="shared" si="11"/>
        <v>961.48761759999979</v>
      </c>
    </row>
    <row r="267" spans="1:4" x14ac:dyDescent="0.15">
      <c r="A267" s="187" t="s">
        <v>77</v>
      </c>
      <c r="B267" s="443">
        <v>9156.4</v>
      </c>
      <c r="C267" s="443">
        <f>Forecast01!N271</f>
        <v>11228.090609999999</v>
      </c>
      <c r="D267" s="446">
        <f t="shared" si="11"/>
        <v>2071.6906099999997</v>
      </c>
    </row>
    <row r="268" spans="1:4" x14ac:dyDescent="0.15">
      <c r="A268" s="180"/>
    </row>
    <row r="269" spans="1:4" ht="15.75" x14ac:dyDescent="0.15">
      <c r="A269" s="175" t="s">
        <v>43</v>
      </c>
    </row>
    <row r="270" spans="1:4" x14ac:dyDescent="0.15">
      <c r="A270" s="176" t="s">
        <v>63</v>
      </c>
    </row>
    <row r="271" spans="1:4" x14ac:dyDescent="0.15">
      <c r="A271" s="177" t="s">
        <v>9</v>
      </c>
      <c r="B271" s="440">
        <v>17634.3</v>
      </c>
      <c r="C271" s="440">
        <f>Forecast01!N275</f>
        <v>17885.255000000001</v>
      </c>
      <c r="D271" s="444">
        <f t="shared" ref="D271:D277" si="12">C271-B271</f>
        <v>250.95500000000175</v>
      </c>
    </row>
    <row r="272" spans="1:4" x14ac:dyDescent="0.15">
      <c r="A272" s="177" t="s">
        <v>36</v>
      </c>
      <c r="B272" s="440">
        <v>315.39999999999998</v>
      </c>
      <c r="C272" s="440">
        <f>Forecast01!N276</f>
        <v>165.72251900000003</v>
      </c>
      <c r="D272" s="444">
        <f t="shared" si="12"/>
        <v>-149.67748099999994</v>
      </c>
    </row>
    <row r="273" spans="1:4" x14ac:dyDescent="0.15">
      <c r="A273" s="192" t="s">
        <v>198</v>
      </c>
      <c r="B273" s="440">
        <v>11.6</v>
      </c>
      <c r="C273" s="440">
        <f>Forecast01!N277</f>
        <v>17.399999999999999</v>
      </c>
      <c r="D273" s="444">
        <f t="shared" si="12"/>
        <v>5.7999999999999989</v>
      </c>
    </row>
    <row r="274" spans="1:4" x14ac:dyDescent="0.15">
      <c r="A274" s="178" t="s">
        <v>37</v>
      </c>
      <c r="B274" s="442">
        <v>1</v>
      </c>
      <c r="C274" s="442">
        <f>Forecast01!N278</f>
        <v>22.700000000000003</v>
      </c>
      <c r="D274" s="445">
        <f t="shared" si="12"/>
        <v>21.700000000000003</v>
      </c>
    </row>
    <row r="275" spans="1:4" x14ac:dyDescent="0.15">
      <c r="A275" s="179" t="s">
        <v>78</v>
      </c>
      <c r="B275" s="440">
        <v>17634.3</v>
      </c>
      <c r="C275" s="440">
        <f>Forecast01!N279</f>
        <v>17885.255000000001</v>
      </c>
      <c r="D275" s="444">
        <f t="shared" si="12"/>
        <v>250.95500000000175</v>
      </c>
    </row>
    <row r="276" spans="1:4" x14ac:dyDescent="0.15">
      <c r="A276" s="179" t="s">
        <v>79</v>
      </c>
      <c r="B276" s="442">
        <v>328</v>
      </c>
      <c r="C276" s="442">
        <f>Forecast01!N280</f>
        <v>205.82251900000006</v>
      </c>
      <c r="D276" s="445">
        <f t="shared" si="12"/>
        <v>-122.17748099999994</v>
      </c>
    </row>
    <row r="277" spans="1:4" x14ac:dyDescent="0.15">
      <c r="A277" s="187" t="s">
        <v>80</v>
      </c>
      <c r="B277" s="440">
        <v>17962.3</v>
      </c>
      <c r="C277" s="440">
        <f>Forecast01!N281</f>
        <v>18091.077519000002</v>
      </c>
      <c r="D277" s="444">
        <f t="shared" si="12"/>
        <v>128.77751900000294</v>
      </c>
    </row>
    <row r="278" spans="1:4" x14ac:dyDescent="0.15">
      <c r="A278" s="180"/>
    </row>
    <row r="279" spans="1:4" x14ac:dyDescent="0.15">
      <c r="A279" s="14"/>
    </row>
    <row r="280" spans="1:4" ht="15.75" x14ac:dyDescent="0.15">
      <c r="A280" s="183" t="s">
        <v>49</v>
      </c>
    </row>
    <row r="281" spans="1:4" x14ac:dyDescent="0.15">
      <c r="A281" s="184" t="s">
        <v>9</v>
      </c>
      <c r="B281" s="440">
        <v>136236</v>
      </c>
      <c r="C281" s="440">
        <f>Forecast01!N285</f>
        <v>146653.60681404339</v>
      </c>
      <c r="D281" s="444">
        <f t="shared" ref="D281:D289" si="13">C281-B281</f>
        <v>10417.606814043393</v>
      </c>
    </row>
    <row r="282" spans="1:4" x14ac:dyDescent="0.15">
      <c r="A282" s="184" t="s">
        <v>36</v>
      </c>
      <c r="B282" s="440">
        <v>9586.4</v>
      </c>
      <c r="C282" s="440">
        <f>Forecast01!N286</f>
        <v>11286.7667244566</v>
      </c>
      <c r="D282" s="444">
        <f t="shared" si="13"/>
        <v>1700.3667244566004</v>
      </c>
    </row>
    <row r="283" spans="1:4" x14ac:dyDescent="0.15">
      <c r="A283" s="184" t="s">
        <v>45</v>
      </c>
      <c r="B283" s="440">
        <v>311.7</v>
      </c>
      <c r="C283" s="440">
        <f>Forecast01!N287</f>
        <v>477.9</v>
      </c>
      <c r="D283" s="444">
        <f t="shared" si="13"/>
        <v>166.2</v>
      </c>
    </row>
    <row r="284" spans="1:4" x14ac:dyDescent="0.15">
      <c r="A284" s="184" t="s">
        <v>203</v>
      </c>
      <c r="B284" s="440">
        <v>81.7</v>
      </c>
      <c r="C284" s="440">
        <f>Forecast01!N288</f>
        <v>40.899999999999991</v>
      </c>
      <c r="D284" s="444">
        <f t="shared" si="13"/>
        <v>-40.800000000000011</v>
      </c>
    </row>
    <row r="285" spans="1:4" x14ac:dyDescent="0.15">
      <c r="A285" s="184" t="s">
        <v>204</v>
      </c>
      <c r="B285" s="440">
        <v>41.2</v>
      </c>
      <c r="C285" s="440">
        <f>Forecast01!N289</f>
        <v>47.5</v>
      </c>
      <c r="D285" s="444">
        <f t="shared" si="13"/>
        <v>6.2999999999999972</v>
      </c>
    </row>
    <row r="286" spans="1:4" x14ac:dyDescent="0.15">
      <c r="A286" s="188" t="s">
        <v>37</v>
      </c>
      <c r="B286" s="440">
        <v>1393.7</v>
      </c>
      <c r="C286" s="440">
        <f>Forecast01!N290</f>
        <v>8063.3794400000006</v>
      </c>
      <c r="D286" s="444">
        <f t="shared" si="13"/>
        <v>6669.6794400000008</v>
      </c>
    </row>
    <row r="287" spans="1:4" x14ac:dyDescent="0.15">
      <c r="A287" s="179" t="s">
        <v>51</v>
      </c>
      <c r="B287" s="442">
        <v>136236</v>
      </c>
      <c r="C287" s="442">
        <f>Forecast01!N291</f>
        <v>146653.60681404339</v>
      </c>
      <c r="D287" s="445">
        <f t="shared" si="13"/>
        <v>10417.606814043393</v>
      </c>
    </row>
    <row r="288" spans="1:4" x14ac:dyDescent="0.15">
      <c r="A288" s="179" t="s">
        <v>50</v>
      </c>
      <c r="B288" s="443">
        <v>11414.6</v>
      </c>
      <c r="C288" s="443">
        <f>Forecast01!N292</f>
        <v>19916.4461644566</v>
      </c>
      <c r="D288" s="446">
        <f t="shared" si="13"/>
        <v>8501.8461644565996</v>
      </c>
    </row>
    <row r="289" spans="1:4" x14ac:dyDescent="0.15">
      <c r="A289" s="189" t="s">
        <v>81</v>
      </c>
      <c r="B289" s="443">
        <v>147650.6</v>
      </c>
      <c r="C289" s="443">
        <f>Forecast01!N293</f>
        <v>166570.0529785</v>
      </c>
      <c r="D289" s="446">
        <f t="shared" si="13"/>
        <v>18919.45297849999</v>
      </c>
    </row>
  </sheetData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CD632"/>
  <sheetViews>
    <sheetView zoomScale="80" workbookViewId="0">
      <pane xSplit="6" ySplit="7" topLeftCell="G337" activePane="bottomRight" state="frozen"/>
      <selection pane="topRight" activeCell="G1" sqref="G1"/>
      <selection pane="bottomLeft" activeCell="A8" sqref="A8"/>
      <selection pane="bottomRight" activeCell="K361" sqref="K361"/>
    </sheetView>
  </sheetViews>
  <sheetFormatPr defaultColWidth="19" defaultRowHeight="12.75" customHeight="1" x14ac:dyDescent="0.15"/>
  <cols>
    <col min="1" max="1" width="14.3984375" style="239" customWidth="1"/>
    <col min="2" max="2" width="25.3984375" style="239" customWidth="1"/>
    <col min="3" max="3" width="19" style="239" customWidth="1"/>
    <col min="4" max="4" width="16.796875" style="239" customWidth="1"/>
    <col min="5" max="5" width="13.3984375" style="243" customWidth="1"/>
    <col min="6" max="6" width="24.59765625" style="239" customWidth="1"/>
    <col min="7" max="7" width="18.19921875" style="239" customWidth="1"/>
    <col min="8" max="8" width="18.59765625" style="243" customWidth="1"/>
    <col min="9" max="9" width="16.59765625" style="242" customWidth="1"/>
    <col min="10" max="10" width="15.796875" style="239" customWidth="1"/>
    <col min="11" max="11" width="15.796875" style="251" customWidth="1"/>
    <col min="12" max="12" width="18.3984375" style="239" customWidth="1"/>
    <col min="13" max="13" width="15.796875" style="241" customWidth="1"/>
    <col min="14" max="25" width="21" style="242" customWidth="1"/>
    <col min="26" max="26" width="24.19921875" style="239" customWidth="1"/>
    <col min="27" max="16384" width="19" style="239"/>
  </cols>
  <sheetData>
    <row r="1" spans="1:32" ht="12.75" customHeight="1" x14ac:dyDescent="0.15">
      <c r="N1" s="242">
        <v>31</v>
      </c>
      <c r="O1" s="242">
        <v>28</v>
      </c>
      <c r="P1" s="242">
        <v>31</v>
      </c>
      <c r="Q1" s="242">
        <v>30</v>
      </c>
      <c r="R1" s="242">
        <v>31</v>
      </c>
      <c r="S1" s="242">
        <v>30</v>
      </c>
      <c r="T1" s="242">
        <v>31</v>
      </c>
      <c r="U1" s="242">
        <v>31</v>
      </c>
      <c r="V1" s="242">
        <v>30</v>
      </c>
      <c r="W1" s="242">
        <v>31</v>
      </c>
      <c r="X1" s="242">
        <v>30</v>
      </c>
      <c r="Y1" s="242">
        <v>31</v>
      </c>
    </row>
    <row r="3" spans="1:32" ht="12.75" customHeight="1" x14ac:dyDescent="0.15">
      <c r="AB3" s="239" t="s">
        <v>103</v>
      </c>
      <c r="AC3" s="239" t="s">
        <v>403</v>
      </c>
      <c r="AD3" s="239" t="s">
        <v>403</v>
      </c>
      <c r="AE3" s="239" t="s">
        <v>176</v>
      </c>
      <c r="AF3" s="239" t="s">
        <v>398</v>
      </c>
    </row>
    <row r="4" spans="1:32" ht="12.75" customHeight="1" x14ac:dyDescent="0.15">
      <c r="N4" s="435" t="s">
        <v>164</v>
      </c>
      <c r="O4" s="435" t="s">
        <v>165</v>
      </c>
      <c r="P4" s="435" t="s">
        <v>210</v>
      </c>
      <c r="Q4" s="435" t="s">
        <v>211</v>
      </c>
      <c r="R4" s="435" t="s">
        <v>168</v>
      </c>
      <c r="S4" s="435" t="s">
        <v>212</v>
      </c>
      <c r="T4" s="435" t="s">
        <v>213</v>
      </c>
      <c r="U4" s="435" t="s">
        <v>171</v>
      </c>
      <c r="V4" s="435" t="s">
        <v>214</v>
      </c>
      <c r="W4" s="435" t="s">
        <v>173</v>
      </c>
      <c r="X4" s="435" t="s">
        <v>174</v>
      </c>
      <c r="Y4" s="435" t="s">
        <v>175</v>
      </c>
      <c r="Z4" s="434" t="s">
        <v>176</v>
      </c>
      <c r="AB4" s="239" t="s">
        <v>388</v>
      </c>
      <c r="AC4" s="239" t="s">
        <v>176</v>
      </c>
      <c r="AD4" s="239" t="s">
        <v>389</v>
      </c>
      <c r="AE4" s="239" t="s">
        <v>223</v>
      </c>
      <c r="AF4" s="239" t="s">
        <v>399</v>
      </c>
    </row>
    <row r="6" spans="1:32" ht="12.75" customHeight="1" x14ac:dyDescent="0.15">
      <c r="A6" s="434"/>
      <c r="B6" s="434"/>
      <c r="C6" s="434" t="s">
        <v>367</v>
      </c>
      <c r="D6" s="434"/>
      <c r="E6" s="434"/>
      <c r="F6" s="434"/>
      <c r="G6" s="434"/>
      <c r="H6" s="434"/>
      <c r="I6" s="435"/>
      <c r="J6" s="434"/>
      <c r="K6" s="436" t="s">
        <v>220</v>
      </c>
      <c r="L6" s="434" t="s">
        <v>223</v>
      </c>
      <c r="M6" s="434" t="s">
        <v>224</v>
      </c>
    </row>
    <row r="7" spans="1:32" ht="12.75" customHeight="1" x14ac:dyDescent="0.15">
      <c r="A7" s="437" t="s">
        <v>215</v>
      </c>
      <c r="B7" s="437" t="s">
        <v>216</v>
      </c>
      <c r="C7" s="437" t="s">
        <v>229</v>
      </c>
      <c r="D7" s="437" t="s">
        <v>217</v>
      </c>
      <c r="E7" s="437" t="s">
        <v>206</v>
      </c>
      <c r="F7" s="437" t="s">
        <v>207</v>
      </c>
      <c r="G7" s="437" t="s">
        <v>208</v>
      </c>
      <c r="H7" s="437" t="s">
        <v>209</v>
      </c>
      <c r="I7" s="438" t="s">
        <v>222</v>
      </c>
      <c r="J7" s="437"/>
      <c r="K7" s="439" t="s">
        <v>157</v>
      </c>
      <c r="L7" s="437" t="s">
        <v>157</v>
      </c>
      <c r="M7" s="437" t="s">
        <v>225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</row>
    <row r="9" spans="1:32" ht="12.75" customHeight="1" x14ac:dyDescent="0.15">
      <c r="A9" s="239" t="s">
        <v>218</v>
      </c>
      <c r="B9" s="239" t="s">
        <v>219</v>
      </c>
      <c r="C9" s="239" t="s">
        <v>228</v>
      </c>
      <c r="D9" s="239" t="s">
        <v>220</v>
      </c>
      <c r="E9" s="528">
        <v>26751</v>
      </c>
      <c r="F9" s="450" t="s">
        <v>221</v>
      </c>
      <c r="G9" s="529">
        <v>36557</v>
      </c>
      <c r="H9" s="459">
        <v>36922</v>
      </c>
      <c r="I9" s="452">
        <v>20000</v>
      </c>
      <c r="M9" s="241" t="s">
        <v>226</v>
      </c>
      <c r="N9" s="242">
        <f>$I$9*N$1</f>
        <v>620000</v>
      </c>
    </row>
    <row r="10" spans="1:32" ht="12.75" customHeight="1" x14ac:dyDescent="0.15">
      <c r="A10" s="239" t="s">
        <v>218</v>
      </c>
      <c r="B10" s="239" t="s">
        <v>219</v>
      </c>
      <c r="C10" s="239" t="s">
        <v>228</v>
      </c>
      <c r="D10" s="239" t="s">
        <v>220</v>
      </c>
      <c r="E10" s="244">
        <v>27293</v>
      </c>
      <c r="F10" s="239" t="s">
        <v>239</v>
      </c>
      <c r="G10" s="240">
        <v>36831</v>
      </c>
      <c r="H10" s="525">
        <v>37195</v>
      </c>
      <c r="I10" s="242">
        <v>49000</v>
      </c>
      <c r="M10" s="241" t="s">
        <v>226</v>
      </c>
      <c r="N10" s="242">
        <f>$I$10*N$1</f>
        <v>1519000</v>
      </c>
      <c r="O10" s="242">
        <f t="shared" ref="O10:W10" si="0">$I$10*O$1</f>
        <v>1372000</v>
      </c>
      <c r="P10" s="242">
        <f t="shared" si="0"/>
        <v>1519000</v>
      </c>
      <c r="Q10" s="242">
        <f t="shared" si="0"/>
        <v>1470000</v>
      </c>
      <c r="R10" s="242">
        <f t="shared" si="0"/>
        <v>1519000</v>
      </c>
      <c r="S10" s="242">
        <f t="shared" si="0"/>
        <v>1470000</v>
      </c>
      <c r="T10" s="242">
        <f t="shared" si="0"/>
        <v>1519000</v>
      </c>
      <c r="U10" s="242">
        <f t="shared" si="0"/>
        <v>1519000</v>
      </c>
      <c r="V10" s="242">
        <f t="shared" si="0"/>
        <v>1470000</v>
      </c>
      <c r="W10" s="242">
        <f t="shared" si="0"/>
        <v>1519000</v>
      </c>
    </row>
    <row r="11" spans="1:32" ht="12.75" customHeight="1" x14ac:dyDescent="0.15">
      <c r="A11" s="239" t="s">
        <v>218</v>
      </c>
      <c r="B11" s="239" t="s">
        <v>219</v>
      </c>
      <c r="C11" s="239" t="s">
        <v>228</v>
      </c>
      <c r="D11" s="239" t="s">
        <v>220</v>
      </c>
      <c r="E11" s="244">
        <v>27252</v>
      </c>
      <c r="F11" s="239" t="s">
        <v>363</v>
      </c>
      <c r="G11" s="527" t="s">
        <v>431</v>
      </c>
      <c r="H11" s="253">
        <v>40482</v>
      </c>
      <c r="I11" s="242">
        <v>14000</v>
      </c>
      <c r="M11" s="241" t="s">
        <v>226</v>
      </c>
      <c r="N11" s="242">
        <f>$I$11*N$1</f>
        <v>434000</v>
      </c>
      <c r="O11" s="242">
        <f>$I$11*O$1</f>
        <v>392000</v>
      </c>
      <c r="P11" s="242">
        <f>$I$11*P$1</f>
        <v>434000</v>
      </c>
      <c r="X11" s="242">
        <f>$I$11*X$1</f>
        <v>420000</v>
      </c>
      <c r="Y11" s="242">
        <f>$I$11*Y$1</f>
        <v>434000</v>
      </c>
    </row>
    <row r="12" spans="1:32" ht="12.75" customHeight="1" x14ac:dyDescent="0.1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26490</v>
      </c>
      <c r="F12" s="239" t="s">
        <v>230</v>
      </c>
      <c r="G12" s="240">
        <v>36100</v>
      </c>
      <c r="H12" s="525">
        <v>37925</v>
      </c>
      <c r="I12" s="242">
        <v>70000</v>
      </c>
      <c r="M12" s="241" t="s">
        <v>226</v>
      </c>
      <c r="N12" s="242">
        <f>$I$12*N$1</f>
        <v>2170000</v>
      </c>
      <c r="O12" s="242">
        <f t="shared" ref="O12:Y12" si="1">$I$12*O$1</f>
        <v>1960000</v>
      </c>
      <c r="P12" s="242">
        <f t="shared" si="1"/>
        <v>2170000</v>
      </c>
      <c r="Q12" s="242">
        <f t="shared" si="1"/>
        <v>2100000</v>
      </c>
      <c r="R12" s="242">
        <f t="shared" si="1"/>
        <v>2170000</v>
      </c>
      <c r="S12" s="242">
        <f t="shared" si="1"/>
        <v>2100000</v>
      </c>
      <c r="T12" s="242">
        <f t="shared" si="1"/>
        <v>2170000</v>
      </c>
      <c r="U12" s="242">
        <f t="shared" si="1"/>
        <v>2170000</v>
      </c>
      <c r="V12" s="242">
        <f t="shared" si="1"/>
        <v>2100000</v>
      </c>
      <c r="W12" s="242">
        <f t="shared" si="1"/>
        <v>2170000</v>
      </c>
      <c r="X12" s="242">
        <f t="shared" si="1"/>
        <v>2100000</v>
      </c>
      <c r="Y12" s="242">
        <f t="shared" si="1"/>
        <v>2170000</v>
      </c>
    </row>
    <row r="13" spans="1:32" ht="12.75" customHeight="1" x14ac:dyDescent="0.15">
      <c r="A13" s="239" t="s">
        <v>218</v>
      </c>
      <c r="B13" s="239" t="s">
        <v>219</v>
      </c>
      <c r="C13" s="239" t="s">
        <v>228</v>
      </c>
      <c r="D13" s="239" t="s">
        <v>220</v>
      </c>
      <c r="E13" s="243">
        <v>8255</v>
      </c>
      <c r="F13" s="239" t="s">
        <v>231</v>
      </c>
      <c r="H13" s="253">
        <v>38656</v>
      </c>
      <c r="I13" s="242">
        <v>306000</v>
      </c>
      <c r="M13" s="241" t="s">
        <v>232</v>
      </c>
      <c r="N13" s="242">
        <f t="shared" ref="N13:Y13" si="2">$I$13*N$1</f>
        <v>9486000</v>
      </c>
      <c r="O13" s="242">
        <f t="shared" si="2"/>
        <v>8568000</v>
      </c>
      <c r="P13" s="242">
        <f t="shared" si="2"/>
        <v>9486000</v>
      </c>
      <c r="Q13" s="242">
        <f t="shared" si="2"/>
        <v>9180000</v>
      </c>
      <c r="R13" s="242">
        <f t="shared" si="2"/>
        <v>9486000</v>
      </c>
      <c r="S13" s="242">
        <f t="shared" si="2"/>
        <v>9180000</v>
      </c>
      <c r="T13" s="242">
        <f t="shared" si="2"/>
        <v>9486000</v>
      </c>
      <c r="U13" s="242">
        <f t="shared" si="2"/>
        <v>9486000</v>
      </c>
      <c r="V13" s="242">
        <f t="shared" si="2"/>
        <v>9180000</v>
      </c>
      <c r="W13" s="242">
        <f t="shared" si="2"/>
        <v>9486000</v>
      </c>
      <c r="X13" s="242">
        <f t="shared" si="2"/>
        <v>9180000</v>
      </c>
      <c r="Y13" s="242">
        <f t="shared" si="2"/>
        <v>9486000</v>
      </c>
    </row>
    <row r="14" spans="1:32" ht="12.75" customHeight="1" x14ac:dyDescent="0.15">
      <c r="A14" s="239" t="s">
        <v>218</v>
      </c>
      <c r="B14" s="239" t="s">
        <v>219</v>
      </c>
      <c r="C14" s="239" t="s">
        <v>228</v>
      </c>
      <c r="D14" s="239" t="s">
        <v>220</v>
      </c>
      <c r="E14" s="243">
        <v>25841</v>
      </c>
      <c r="F14" s="239" t="s">
        <v>233</v>
      </c>
      <c r="G14" s="240">
        <v>36557</v>
      </c>
      <c r="H14" s="253">
        <v>37560</v>
      </c>
      <c r="I14" s="242">
        <v>40000</v>
      </c>
      <c r="M14" s="241" t="s">
        <v>226</v>
      </c>
      <c r="N14" s="242">
        <f t="shared" ref="N14:Y14" si="3">$I$14*N$1</f>
        <v>1240000</v>
      </c>
      <c r="O14" s="242">
        <f t="shared" si="3"/>
        <v>1120000</v>
      </c>
      <c r="P14" s="242">
        <f t="shared" si="3"/>
        <v>1240000</v>
      </c>
      <c r="Q14" s="242">
        <f t="shared" si="3"/>
        <v>1200000</v>
      </c>
      <c r="R14" s="242">
        <f t="shared" si="3"/>
        <v>1240000</v>
      </c>
      <c r="S14" s="242">
        <f t="shared" si="3"/>
        <v>1200000</v>
      </c>
      <c r="T14" s="242">
        <f t="shared" si="3"/>
        <v>1240000</v>
      </c>
      <c r="U14" s="242">
        <f t="shared" si="3"/>
        <v>1240000</v>
      </c>
      <c r="V14" s="242">
        <f t="shared" si="3"/>
        <v>1200000</v>
      </c>
      <c r="W14" s="242">
        <f t="shared" si="3"/>
        <v>1240000</v>
      </c>
      <c r="X14" s="242">
        <f t="shared" si="3"/>
        <v>1200000</v>
      </c>
      <c r="Y14" s="242">
        <f t="shared" si="3"/>
        <v>1240000</v>
      </c>
    </row>
    <row r="15" spans="1:32" ht="12.75" customHeight="1" x14ac:dyDescent="0.15">
      <c r="A15" s="450" t="s">
        <v>218</v>
      </c>
      <c r="B15" s="450" t="s">
        <v>219</v>
      </c>
      <c r="C15" s="450" t="s">
        <v>228</v>
      </c>
      <c r="D15" s="450" t="s">
        <v>220</v>
      </c>
      <c r="E15" s="522">
        <v>27340</v>
      </c>
      <c r="F15" s="523" t="s">
        <v>429</v>
      </c>
      <c r="G15" s="526" t="s">
        <v>430</v>
      </c>
      <c r="H15" s="525">
        <v>37287</v>
      </c>
      <c r="I15" s="524">
        <v>20000</v>
      </c>
      <c r="M15" s="454" t="s">
        <v>226</v>
      </c>
      <c r="O15" s="452">
        <f t="shared" ref="O15:Y15" si="4">$I$15*O$1</f>
        <v>560000</v>
      </c>
      <c r="P15" s="452">
        <f t="shared" si="4"/>
        <v>620000</v>
      </c>
      <c r="Q15" s="452">
        <f t="shared" si="4"/>
        <v>600000</v>
      </c>
      <c r="R15" s="452">
        <f t="shared" si="4"/>
        <v>620000</v>
      </c>
      <c r="S15" s="452">
        <f t="shared" si="4"/>
        <v>600000</v>
      </c>
      <c r="T15" s="452">
        <f t="shared" si="4"/>
        <v>620000</v>
      </c>
      <c r="U15" s="452">
        <f t="shared" si="4"/>
        <v>620000</v>
      </c>
      <c r="V15" s="452">
        <f t="shared" si="4"/>
        <v>600000</v>
      </c>
      <c r="W15" s="452">
        <f t="shared" si="4"/>
        <v>620000</v>
      </c>
      <c r="X15" s="452">
        <f t="shared" si="4"/>
        <v>600000</v>
      </c>
      <c r="Y15" s="452">
        <f t="shared" si="4"/>
        <v>620000</v>
      </c>
    </row>
    <row r="16" spans="1:32" ht="12.75" customHeight="1" x14ac:dyDescent="0.15">
      <c r="A16" s="239" t="s">
        <v>218</v>
      </c>
      <c r="B16" s="239" t="s">
        <v>219</v>
      </c>
      <c r="C16" s="239" t="s">
        <v>228</v>
      </c>
      <c r="D16" s="239" t="s">
        <v>220</v>
      </c>
      <c r="E16" s="243">
        <v>26511</v>
      </c>
      <c r="F16" s="239" t="s">
        <v>233</v>
      </c>
      <c r="G16" s="240">
        <v>36465</v>
      </c>
      <c r="H16" s="253">
        <v>37560</v>
      </c>
      <c r="I16" s="242">
        <v>21000</v>
      </c>
      <c r="M16" s="241" t="s">
        <v>226</v>
      </c>
      <c r="N16" s="242">
        <f t="shared" ref="N16:Y16" si="5">$I$16*N$1</f>
        <v>651000</v>
      </c>
      <c r="O16" s="242">
        <f t="shared" si="5"/>
        <v>588000</v>
      </c>
      <c r="P16" s="242">
        <f t="shared" si="5"/>
        <v>651000</v>
      </c>
      <c r="Q16" s="242">
        <f t="shared" si="5"/>
        <v>630000</v>
      </c>
      <c r="R16" s="242">
        <f t="shared" si="5"/>
        <v>651000</v>
      </c>
      <c r="S16" s="242">
        <f t="shared" si="5"/>
        <v>630000</v>
      </c>
      <c r="T16" s="242">
        <f t="shared" si="5"/>
        <v>651000</v>
      </c>
      <c r="U16" s="242">
        <f t="shared" si="5"/>
        <v>651000</v>
      </c>
      <c r="V16" s="242">
        <f t="shared" si="5"/>
        <v>630000</v>
      </c>
      <c r="W16" s="242">
        <f t="shared" si="5"/>
        <v>651000</v>
      </c>
      <c r="X16" s="242">
        <f t="shared" si="5"/>
        <v>630000</v>
      </c>
      <c r="Y16" s="242">
        <f t="shared" si="5"/>
        <v>651000</v>
      </c>
    </row>
    <row r="17" spans="1:25" ht="12.75" customHeight="1" x14ac:dyDescent="0.15">
      <c r="A17" s="239" t="s">
        <v>218</v>
      </c>
      <c r="B17" s="239" t="s">
        <v>219</v>
      </c>
      <c r="C17" s="239" t="s">
        <v>228</v>
      </c>
      <c r="D17" s="239" t="s">
        <v>220</v>
      </c>
      <c r="E17" s="243">
        <v>26683</v>
      </c>
      <c r="F17" s="239" t="s">
        <v>235</v>
      </c>
      <c r="G17" s="240">
        <v>36220</v>
      </c>
      <c r="H17" s="525">
        <v>37346</v>
      </c>
      <c r="I17" s="242">
        <v>8000</v>
      </c>
      <c r="M17" s="241" t="s">
        <v>226</v>
      </c>
      <c r="N17" s="242">
        <f>$I$17*N$1</f>
        <v>248000</v>
      </c>
      <c r="O17" s="242">
        <f>$I$17*O$1</f>
        <v>224000</v>
      </c>
      <c r="P17" s="242">
        <f>$I$17*P$1</f>
        <v>248000</v>
      </c>
    </row>
    <row r="18" spans="1:25" ht="12.75" customHeight="1" x14ac:dyDescent="0.15">
      <c r="A18" s="239" t="s">
        <v>218</v>
      </c>
      <c r="B18" s="239" t="s">
        <v>219</v>
      </c>
      <c r="C18" s="239" t="s">
        <v>228</v>
      </c>
      <c r="D18" s="239" t="s">
        <v>220</v>
      </c>
      <c r="E18" s="243">
        <v>26758</v>
      </c>
      <c r="F18" s="239" t="s">
        <v>236</v>
      </c>
      <c r="G18" s="240">
        <v>36647</v>
      </c>
      <c r="H18" s="253">
        <v>38472</v>
      </c>
      <c r="I18" s="242">
        <v>40000</v>
      </c>
      <c r="M18" s="241" t="s">
        <v>226</v>
      </c>
      <c r="N18" s="242">
        <f t="shared" ref="N18:Y18" si="6">$I$18*N$1</f>
        <v>1240000</v>
      </c>
      <c r="O18" s="242">
        <f t="shared" si="6"/>
        <v>1120000</v>
      </c>
      <c r="P18" s="242">
        <f t="shared" si="6"/>
        <v>1240000</v>
      </c>
      <c r="Q18" s="242">
        <f t="shared" si="6"/>
        <v>1200000</v>
      </c>
      <c r="R18" s="242">
        <f t="shared" si="6"/>
        <v>1240000</v>
      </c>
      <c r="S18" s="242">
        <f t="shared" si="6"/>
        <v>1200000</v>
      </c>
      <c r="T18" s="242">
        <f t="shared" si="6"/>
        <v>1240000</v>
      </c>
      <c r="U18" s="242">
        <f t="shared" si="6"/>
        <v>1240000</v>
      </c>
      <c r="V18" s="242">
        <f t="shared" si="6"/>
        <v>1200000</v>
      </c>
      <c r="W18" s="242">
        <f t="shared" si="6"/>
        <v>1240000</v>
      </c>
      <c r="X18" s="242">
        <f t="shared" si="6"/>
        <v>1200000</v>
      </c>
      <c r="Y18" s="242">
        <f t="shared" si="6"/>
        <v>1240000</v>
      </c>
    </row>
    <row r="19" spans="1:25" ht="12.75" customHeight="1" x14ac:dyDescent="0.15">
      <c r="A19" s="450" t="s">
        <v>218</v>
      </c>
      <c r="B19" s="450" t="s">
        <v>219</v>
      </c>
      <c r="C19" s="450" t="s">
        <v>228</v>
      </c>
      <c r="D19" s="450" t="s">
        <v>220</v>
      </c>
      <c r="E19" s="522">
        <v>26683</v>
      </c>
      <c r="F19" s="523" t="s">
        <v>235</v>
      </c>
      <c r="G19" s="523" t="s">
        <v>434</v>
      </c>
      <c r="H19" s="525">
        <v>37346</v>
      </c>
      <c r="I19" s="524">
        <v>8000</v>
      </c>
      <c r="M19" s="454" t="s">
        <v>226</v>
      </c>
      <c r="Q19" s="452">
        <f t="shared" ref="Q19:Y19" si="7">$I$19*Q$1</f>
        <v>240000</v>
      </c>
      <c r="R19" s="452">
        <f t="shared" si="7"/>
        <v>248000</v>
      </c>
      <c r="S19" s="452">
        <f t="shared" si="7"/>
        <v>240000</v>
      </c>
      <c r="T19" s="452">
        <f t="shared" si="7"/>
        <v>248000</v>
      </c>
      <c r="U19" s="452">
        <f t="shared" si="7"/>
        <v>248000</v>
      </c>
      <c r="V19" s="452">
        <f t="shared" si="7"/>
        <v>240000</v>
      </c>
      <c r="W19" s="452">
        <f t="shared" si="7"/>
        <v>248000</v>
      </c>
      <c r="X19" s="452">
        <f t="shared" si="7"/>
        <v>240000</v>
      </c>
      <c r="Y19" s="452">
        <f t="shared" si="7"/>
        <v>248000</v>
      </c>
    </row>
    <row r="20" spans="1:25" s="471" customFormat="1" ht="12.75" customHeight="1" x14ac:dyDescent="0.15">
      <c r="A20" s="471" t="s">
        <v>218</v>
      </c>
      <c r="B20" s="471" t="s">
        <v>219</v>
      </c>
      <c r="C20" s="471" t="s">
        <v>228</v>
      </c>
      <c r="D20" s="471" t="s">
        <v>220</v>
      </c>
      <c r="E20" s="476">
        <v>27334</v>
      </c>
      <c r="F20" s="471" t="s">
        <v>235</v>
      </c>
      <c r="H20" s="476"/>
      <c r="I20" s="473">
        <v>14000</v>
      </c>
      <c r="K20" s="474"/>
      <c r="M20" s="475" t="s">
        <v>226</v>
      </c>
      <c r="N20" s="473"/>
      <c r="O20" s="473"/>
      <c r="P20" s="473"/>
      <c r="Q20" s="473">
        <f t="shared" ref="Q20:W20" si="8">$I$20*Q$1</f>
        <v>420000</v>
      </c>
      <c r="R20" s="473">
        <f t="shared" si="8"/>
        <v>434000</v>
      </c>
      <c r="S20" s="473">
        <f t="shared" si="8"/>
        <v>420000</v>
      </c>
      <c r="T20" s="473">
        <f t="shared" si="8"/>
        <v>434000</v>
      </c>
      <c r="U20" s="473">
        <f t="shared" si="8"/>
        <v>434000</v>
      </c>
      <c r="V20" s="473">
        <f t="shared" si="8"/>
        <v>420000</v>
      </c>
      <c r="W20" s="473">
        <f t="shared" si="8"/>
        <v>434000</v>
      </c>
      <c r="X20" s="473"/>
      <c r="Y20" s="473"/>
    </row>
    <row r="21" spans="1:25" ht="12.75" customHeight="1" x14ac:dyDescent="0.15">
      <c r="A21" s="239" t="s">
        <v>218</v>
      </c>
      <c r="B21" s="239" t="s">
        <v>219</v>
      </c>
      <c r="C21" s="239" t="s">
        <v>228</v>
      </c>
      <c r="D21" s="239" t="s">
        <v>220</v>
      </c>
      <c r="E21" s="243">
        <v>26819</v>
      </c>
      <c r="F21" s="239" t="s">
        <v>240</v>
      </c>
      <c r="G21" s="240">
        <v>36647</v>
      </c>
      <c r="H21" s="253">
        <v>38472</v>
      </c>
      <c r="I21" s="242">
        <v>10000</v>
      </c>
      <c r="M21" s="241" t="s">
        <v>226</v>
      </c>
      <c r="N21" s="242">
        <f t="shared" ref="N21:Y21" si="9">$I$21*N$1</f>
        <v>310000</v>
      </c>
      <c r="O21" s="242">
        <f t="shared" si="9"/>
        <v>280000</v>
      </c>
      <c r="P21" s="242">
        <f t="shared" si="9"/>
        <v>310000</v>
      </c>
      <c r="Q21" s="242">
        <f t="shared" si="9"/>
        <v>300000</v>
      </c>
      <c r="R21" s="242">
        <f t="shared" si="9"/>
        <v>310000</v>
      </c>
      <c r="S21" s="242">
        <f t="shared" si="9"/>
        <v>300000</v>
      </c>
      <c r="T21" s="242">
        <f t="shared" si="9"/>
        <v>310000</v>
      </c>
      <c r="U21" s="242">
        <f t="shared" si="9"/>
        <v>310000</v>
      </c>
      <c r="V21" s="242">
        <f t="shared" si="9"/>
        <v>300000</v>
      </c>
      <c r="W21" s="242">
        <f t="shared" si="9"/>
        <v>310000</v>
      </c>
      <c r="X21" s="242">
        <f t="shared" si="9"/>
        <v>300000</v>
      </c>
      <c r="Y21" s="242">
        <f t="shared" si="9"/>
        <v>310000</v>
      </c>
    </row>
    <row r="22" spans="1:25" ht="12.75" customHeight="1" x14ac:dyDescent="0.15">
      <c r="A22" s="523" t="s">
        <v>218</v>
      </c>
      <c r="B22" s="523" t="s">
        <v>219</v>
      </c>
      <c r="C22" s="523" t="s">
        <v>228</v>
      </c>
      <c r="D22" s="523" t="s">
        <v>220</v>
      </c>
      <c r="E22" s="522">
        <v>27352</v>
      </c>
      <c r="F22" s="523" t="s">
        <v>239</v>
      </c>
      <c r="G22" s="533">
        <v>37196</v>
      </c>
      <c r="H22" s="525">
        <v>37560</v>
      </c>
      <c r="I22" s="524">
        <v>21500</v>
      </c>
      <c r="M22" s="241" t="s">
        <v>226</v>
      </c>
      <c r="X22" s="524">
        <f>$I$22*X$1</f>
        <v>645000</v>
      </c>
      <c r="Y22" s="524">
        <f>$I$22*Y$1</f>
        <v>666500</v>
      </c>
    </row>
    <row r="23" spans="1:25" ht="12.75" customHeight="1" x14ac:dyDescent="0.15">
      <c r="A23" s="523" t="s">
        <v>218</v>
      </c>
      <c r="B23" s="523" t="s">
        <v>219</v>
      </c>
      <c r="C23" s="523" t="s">
        <v>228</v>
      </c>
      <c r="D23" s="523" t="s">
        <v>220</v>
      </c>
      <c r="E23" s="522">
        <v>27427</v>
      </c>
      <c r="F23" s="523" t="s">
        <v>437</v>
      </c>
      <c r="G23" s="533">
        <v>36951</v>
      </c>
      <c r="H23" s="525">
        <v>36981</v>
      </c>
      <c r="I23" s="537">
        <v>10000</v>
      </c>
      <c r="M23" s="538" t="s">
        <v>232</v>
      </c>
      <c r="N23" s="246"/>
      <c r="O23" s="246"/>
      <c r="P23" s="537">
        <f>$I$23*P$1</f>
        <v>310000</v>
      </c>
      <c r="Q23" s="246"/>
      <c r="R23" s="246"/>
      <c r="S23" s="246"/>
      <c r="T23" s="246"/>
      <c r="U23" s="246"/>
      <c r="V23" s="246"/>
      <c r="W23" s="246"/>
      <c r="X23" s="524"/>
      <c r="Y23" s="246"/>
    </row>
    <row r="24" spans="1:25" ht="12.75" customHeight="1" x14ac:dyDescent="0.15">
      <c r="A24" s="584" t="s">
        <v>218</v>
      </c>
      <c r="B24" s="584" t="s">
        <v>219</v>
      </c>
      <c r="C24" s="584" t="s">
        <v>228</v>
      </c>
      <c r="D24" s="584" t="s">
        <v>220</v>
      </c>
      <c r="E24" s="522"/>
      <c r="F24" s="584" t="s">
        <v>483</v>
      </c>
      <c r="G24" s="586">
        <v>37196</v>
      </c>
      <c r="H24" s="587">
        <v>37256</v>
      </c>
      <c r="I24" s="588">
        <v>20000</v>
      </c>
      <c r="M24" s="538" t="s">
        <v>232</v>
      </c>
      <c r="N24" s="246"/>
      <c r="O24" s="246"/>
      <c r="P24" s="537"/>
      <c r="Q24" s="246"/>
      <c r="R24" s="246"/>
      <c r="S24" s="246"/>
      <c r="T24" s="246"/>
      <c r="U24" s="246"/>
      <c r="V24" s="246"/>
      <c r="W24" s="246"/>
      <c r="X24" s="594">
        <f>$I$24*X$1</f>
        <v>600000</v>
      </c>
      <c r="Y24" s="594">
        <f>$I$24*Y$1</f>
        <v>620000</v>
      </c>
    </row>
    <row r="25" spans="1:25" ht="12.75" customHeight="1" x14ac:dyDescent="0.15">
      <c r="A25" s="523" t="s">
        <v>218</v>
      </c>
      <c r="B25" s="523" t="s">
        <v>219</v>
      </c>
      <c r="C25" s="523" t="s">
        <v>228</v>
      </c>
      <c r="D25" s="523" t="s">
        <v>220</v>
      </c>
      <c r="E25" s="522">
        <v>27581</v>
      </c>
      <c r="F25" s="471" t="s">
        <v>482</v>
      </c>
      <c r="G25" s="541">
        <v>37196</v>
      </c>
      <c r="H25" s="542">
        <v>37225</v>
      </c>
      <c r="I25" s="477">
        <v>27500</v>
      </c>
      <c r="M25" s="538"/>
      <c r="N25" s="246"/>
      <c r="O25" s="246"/>
      <c r="P25" s="537"/>
      <c r="Q25" s="246"/>
      <c r="R25" s="246"/>
      <c r="S25" s="246"/>
      <c r="T25" s="246"/>
      <c r="U25" s="246"/>
      <c r="V25" s="246"/>
      <c r="W25" s="246"/>
      <c r="X25" s="524">
        <f>$I$25*X$1</f>
        <v>825000</v>
      </c>
      <c r="Y25" s="477"/>
    </row>
    <row r="26" spans="1:25" ht="12.75" customHeight="1" x14ac:dyDescent="0.15">
      <c r="A26" s="523" t="s">
        <v>218</v>
      </c>
      <c r="B26" s="523" t="s">
        <v>219</v>
      </c>
      <c r="C26" s="523" t="s">
        <v>228</v>
      </c>
      <c r="D26" s="523" t="s">
        <v>220</v>
      </c>
      <c r="E26" s="522">
        <v>27581</v>
      </c>
      <c r="F26" s="471" t="s">
        <v>482</v>
      </c>
      <c r="G26" s="541">
        <v>37226</v>
      </c>
      <c r="H26" s="542">
        <v>37256</v>
      </c>
      <c r="I26" s="543">
        <v>14000</v>
      </c>
      <c r="M26" s="538"/>
      <c r="N26" s="245"/>
      <c r="O26" s="245"/>
      <c r="P26" s="539"/>
      <c r="Q26" s="245"/>
      <c r="R26" s="245"/>
      <c r="S26" s="245"/>
      <c r="T26" s="245"/>
      <c r="U26" s="245"/>
      <c r="V26" s="245"/>
      <c r="W26" s="245"/>
      <c r="X26" s="245"/>
      <c r="Y26" s="539">
        <f>$I$26*Y$1</f>
        <v>434000</v>
      </c>
    </row>
    <row r="27" spans="1:25" ht="12.75" customHeight="1" x14ac:dyDescent="0.15">
      <c r="A27" s="523"/>
      <c r="B27" s="523"/>
      <c r="C27" s="523"/>
      <c r="D27" s="523"/>
      <c r="E27" s="522"/>
      <c r="F27" s="523"/>
      <c r="G27" s="533"/>
      <c r="H27" s="525"/>
      <c r="I27" s="524"/>
      <c r="M27" s="538"/>
      <c r="P27" s="524"/>
    </row>
    <row r="28" spans="1:25" ht="12.75" customHeight="1" x14ac:dyDescent="0.15">
      <c r="I28" s="242">
        <f>SUM(I9:I27)</f>
        <v>713000</v>
      </c>
      <c r="N28" s="246">
        <f>SUM(N9:N26)</f>
        <v>17918000</v>
      </c>
      <c r="O28" s="246">
        <f>SUM(O9:O26)</f>
        <v>16184000</v>
      </c>
      <c r="P28" s="246">
        <f>SUM(P9:P26)</f>
        <v>18228000</v>
      </c>
      <c r="Q28" s="246">
        <f t="shared" ref="Q28:Y28" si="10">SUM(Q9:Q26)</f>
        <v>17340000</v>
      </c>
      <c r="R28" s="246">
        <f t="shared" si="10"/>
        <v>17918000</v>
      </c>
      <c r="S28" s="246">
        <f t="shared" si="10"/>
        <v>17340000</v>
      </c>
      <c r="T28" s="246">
        <f t="shared" si="10"/>
        <v>17918000</v>
      </c>
      <c r="U28" s="246">
        <f t="shared" si="10"/>
        <v>17918000</v>
      </c>
      <c r="V28" s="246">
        <f t="shared" si="10"/>
        <v>17340000</v>
      </c>
      <c r="W28" s="246">
        <f t="shared" si="10"/>
        <v>17918000</v>
      </c>
      <c r="X28" s="246">
        <f t="shared" si="10"/>
        <v>17940000</v>
      </c>
      <c r="Y28" s="246">
        <f t="shared" si="10"/>
        <v>18119500</v>
      </c>
    </row>
    <row r="29" spans="1:25" ht="12.75" customHeight="1" x14ac:dyDescent="0.15"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</row>
    <row r="30" spans="1:25" ht="12.75" customHeight="1" x14ac:dyDescent="0.15">
      <c r="A30" s="424" t="s">
        <v>364</v>
      </c>
      <c r="B30" s="425"/>
      <c r="C30" s="425"/>
      <c r="D30" s="425"/>
      <c r="E30" s="426"/>
      <c r="F30" s="425"/>
      <c r="G30" s="425"/>
      <c r="H30" s="426"/>
      <c r="I30" s="427"/>
      <c r="J30" s="425"/>
      <c r="K30" s="428"/>
      <c r="L30" s="425"/>
      <c r="M30" s="429"/>
      <c r="N30" s="430">
        <v>0.62</v>
      </c>
      <c r="O30" s="431">
        <v>0.59</v>
      </c>
      <c r="P30" s="430">
        <v>0.52</v>
      </c>
      <c r="Q30" s="430">
        <v>0.69</v>
      </c>
      <c r="R30" s="430">
        <v>0.53</v>
      </c>
      <c r="S30" s="430">
        <v>0.45</v>
      </c>
      <c r="T30" s="430">
        <v>0.45</v>
      </c>
      <c r="U30" s="430">
        <v>0.45</v>
      </c>
      <c r="V30" s="430">
        <v>0.49299999999999999</v>
      </c>
      <c r="W30" s="430">
        <v>0.52300000000000002</v>
      </c>
      <c r="X30" s="430">
        <v>0.61</v>
      </c>
      <c r="Y30" s="432">
        <v>0.5</v>
      </c>
    </row>
    <row r="31" spans="1:25" ht="12.75" customHeight="1" x14ac:dyDescent="0.15">
      <c r="A31" s="239" t="s">
        <v>218</v>
      </c>
      <c r="B31" s="239" t="s">
        <v>219</v>
      </c>
      <c r="C31" s="239" t="s">
        <v>228</v>
      </c>
      <c r="D31" s="239" t="s">
        <v>223</v>
      </c>
      <c r="E31" s="528">
        <v>26751</v>
      </c>
      <c r="F31" s="450" t="s">
        <v>221</v>
      </c>
      <c r="G31" s="529">
        <v>36557</v>
      </c>
      <c r="H31" s="459">
        <v>36922</v>
      </c>
      <c r="I31" s="452">
        <v>20000</v>
      </c>
      <c r="M31" s="241" t="s">
        <v>226</v>
      </c>
      <c r="N31" s="242">
        <f t="shared" ref="N31:Y31" si="11">N9*N$30</f>
        <v>384400</v>
      </c>
      <c r="O31" s="242">
        <f t="shared" si="11"/>
        <v>0</v>
      </c>
      <c r="P31" s="242">
        <f t="shared" si="11"/>
        <v>0</v>
      </c>
      <c r="Q31" s="242">
        <f t="shared" si="11"/>
        <v>0</v>
      </c>
      <c r="R31" s="242">
        <f t="shared" si="11"/>
        <v>0</v>
      </c>
      <c r="S31" s="242">
        <f t="shared" si="11"/>
        <v>0</v>
      </c>
      <c r="T31" s="242">
        <f t="shared" si="11"/>
        <v>0</v>
      </c>
      <c r="U31" s="242">
        <f t="shared" si="11"/>
        <v>0</v>
      </c>
      <c r="V31" s="242">
        <f t="shared" si="11"/>
        <v>0</v>
      </c>
      <c r="W31" s="242">
        <f t="shared" si="11"/>
        <v>0</v>
      </c>
      <c r="X31" s="242">
        <f t="shared" si="11"/>
        <v>0</v>
      </c>
      <c r="Y31" s="242">
        <f t="shared" si="11"/>
        <v>0</v>
      </c>
    </row>
    <row r="32" spans="1:25" s="558" customFormat="1" ht="12.75" customHeight="1" x14ac:dyDescent="0.15">
      <c r="B32" s="558" t="s">
        <v>468</v>
      </c>
      <c r="C32" s="558" t="s">
        <v>228</v>
      </c>
      <c r="D32" s="558" t="s">
        <v>223</v>
      </c>
      <c r="E32" s="559"/>
      <c r="G32" s="560"/>
      <c r="H32" s="561"/>
      <c r="I32" s="562"/>
      <c r="K32" s="563"/>
      <c r="M32" s="564"/>
      <c r="N32" s="562"/>
      <c r="O32" s="562"/>
      <c r="P32" s="562"/>
      <c r="Q32" s="562">
        <v>-2790000</v>
      </c>
      <c r="R32" s="562">
        <f>-1630000-430000</f>
        <v>-2060000</v>
      </c>
      <c r="S32" s="562"/>
      <c r="T32" s="562"/>
      <c r="U32" s="562"/>
      <c r="V32" s="562">
        <f>-8000*V1</f>
        <v>-240000</v>
      </c>
      <c r="W32" s="562"/>
      <c r="X32" s="562"/>
      <c r="Y32" s="562"/>
    </row>
    <row r="33" spans="1:25" ht="12.75" customHeight="1" x14ac:dyDescent="0.15">
      <c r="B33" s="239" t="s">
        <v>219</v>
      </c>
      <c r="C33" s="239" t="s">
        <v>228</v>
      </c>
      <c r="D33" s="239" t="s">
        <v>223</v>
      </c>
      <c r="E33" s="244">
        <v>27293</v>
      </c>
      <c r="F33" s="239" t="s">
        <v>239</v>
      </c>
      <c r="G33" s="240">
        <v>36831</v>
      </c>
      <c r="H33" s="525">
        <v>37195</v>
      </c>
      <c r="I33" s="242">
        <v>49000</v>
      </c>
      <c r="N33" s="242">
        <f t="shared" ref="N33:Y33" si="12">N10*N$30</f>
        <v>941780</v>
      </c>
      <c r="O33" s="242">
        <f t="shared" si="12"/>
        <v>809480</v>
      </c>
      <c r="P33" s="242">
        <f t="shared" si="12"/>
        <v>789880</v>
      </c>
      <c r="Q33" s="242">
        <f t="shared" si="12"/>
        <v>1014299.9999999999</v>
      </c>
      <c r="R33" s="242">
        <f t="shared" si="12"/>
        <v>805070</v>
      </c>
      <c r="S33" s="242">
        <f t="shared" si="12"/>
        <v>661500</v>
      </c>
      <c r="T33" s="242">
        <f t="shared" si="12"/>
        <v>683550</v>
      </c>
      <c r="U33" s="242">
        <f t="shared" si="12"/>
        <v>683550</v>
      </c>
      <c r="V33" s="242">
        <f t="shared" si="12"/>
        <v>724710</v>
      </c>
      <c r="W33" s="242">
        <f t="shared" si="12"/>
        <v>794437</v>
      </c>
      <c r="X33" s="242">
        <f t="shared" si="12"/>
        <v>0</v>
      </c>
      <c r="Y33" s="242">
        <f t="shared" si="12"/>
        <v>0</v>
      </c>
    </row>
    <row r="34" spans="1:25" ht="12.75" customHeight="1" x14ac:dyDescent="0.15">
      <c r="A34" s="239" t="s">
        <v>218</v>
      </c>
      <c r="B34" s="239" t="s">
        <v>219</v>
      </c>
      <c r="C34" s="239" t="s">
        <v>228</v>
      </c>
      <c r="D34" s="239" t="s">
        <v>223</v>
      </c>
      <c r="E34" s="244">
        <v>27252</v>
      </c>
      <c r="F34" s="239" t="s">
        <v>363</v>
      </c>
      <c r="G34" s="527" t="s">
        <v>431</v>
      </c>
      <c r="H34" s="253">
        <v>40482</v>
      </c>
      <c r="I34" s="242">
        <v>14000</v>
      </c>
      <c r="M34" s="241" t="s">
        <v>226</v>
      </c>
      <c r="N34" s="242">
        <f t="shared" ref="N34:P35" si="13">N11*N$30</f>
        <v>269080</v>
      </c>
      <c r="O34" s="242">
        <f t="shared" si="13"/>
        <v>231280</v>
      </c>
      <c r="P34" s="242">
        <f t="shared" si="13"/>
        <v>225680</v>
      </c>
      <c r="X34" s="242">
        <f>X11*X$30</f>
        <v>256200</v>
      </c>
      <c r="Y34" s="242">
        <f>Y11*Y$30</f>
        <v>217000</v>
      </c>
    </row>
    <row r="35" spans="1:25" ht="12.75" customHeight="1" x14ac:dyDescent="0.15">
      <c r="A35" s="239" t="s">
        <v>218</v>
      </c>
      <c r="B35" s="239" t="s">
        <v>219</v>
      </c>
      <c r="C35" s="239" t="s">
        <v>228</v>
      </c>
      <c r="D35" s="239" t="s">
        <v>223</v>
      </c>
      <c r="E35" s="244">
        <v>26490</v>
      </c>
      <c r="F35" s="239" t="s">
        <v>230</v>
      </c>
      <c r="G35" s="240">
        <v>36100</v>
      </c>
      <c r="H35" s="525">
        <v>37925</v>
      </c>
      <c r="I35" s="242">
        <v>70000</v>
      </c>
      <c r="M35" s="241" t="s">
        <v>226</v>
      </c>
      <c r="N35" s="242">
        <f t="shared" si="13"/>
        <v>1345400</v>
      </c>
      <c r="O35" s="242">
        <f t="shared" si="13"/>
        <v>1156400</v>
      </c>
      <c r="P35" s="242">
        <f t="shared" si="13"/>
        <v>1128400</v>
      </c>
      <c r="Q35" s="242">
        <f t="shared" ref="Q35:W35" si="14">Q12*Q$30</f>
        <v>1449000</v>
      </c>
      <c r="R35" s="242">
        <f t="shared" si="14"/>
        <v>1150100</v>
      </c>
      <c r="S35" s="242">
        <f t="shared" si="14"/>
        <v>945000</v>
      </c>
      <c r="T35" s="242">
        <f t="shared" si="14"/>
        <v>976500</v>
      </c>
      <c r="U35" s="242">
        <f t="shared" si="14"/>
        <v>976500</v>
      </c>
      <c r="V35" s="242">
        <f t="shared" si="14"/>
        <v>1035300</v>
      </c>
      <c r="W35" s="242">
        <f t="shared" si="14"/>
        <v>1134910</v>
      </c>
      <c r="X35" s="242">
        <f>X12*X$30</f>
        <v>1281000</v>
      </c>
      <c r="Y35" s="242">
        <f>Y12*Y$30</f>
        <v>1085000</v>
      </c>
    </row>
    <row r="36" spans="1:25" ht="12.75" customHeight="1" x14ac:dyDescent="0.15">
      <c r="A36" s="239" t="s">
        <v>218</v>
      </c>
      <c r="B36" s="239" t="s">
        <v>219</v>
      </c>
      <c r="C36" s="239" t="s">
        <v>228</v>
      </c>
      <c r="D36" s="239" t="s">
        <v>223</v>
      </c>
      <c r="E36" s="243">
        <v>8255</v>
      </c>
      <c r="F36" s="239" t="s">
        <v>231</v>
      </c>
      <c r="H36" s="253">
        <v>38656</v>
      </c>
      <c r="I36" s="242">
        <v>306000</v>
      </c>
      <c r="M36" s="241" t="s">
        <v>232</v>
      </c>
      <c r="N36" s="242">
        <f t="shared" ref="N36:Y36" si="15">(N13*N$30)+(33000*N$1)</f>
        <v>6904320</v>
      </c>
      <c r="O36" s="242">
        <f t="shared" si="15"/>
        <v>5979120</v>
      </c>
      <c r="P36" s="242">
        <f t="shared" si="15"/>
        <v>5955720</v>
      </c>
      <c r="Q36" s="242">
        <f t="shared" si="15"/>
        <v>7324199.9999999991</v>
      </c>
      <c r="R36" s="242">
        <f t="shared" si="15"/>
        <v>6050580</v>
      </c>
      <c r="S36" s="242">
        <f t="shared" si="15"/>
        <v>5121000</v>
      </c>
      <c r="T36" s="242">
        <f t="shared" si="15"/>
        <v>5291700</v>
      </c>
      <c r="U36" s="242">
        <f t="shared" si="15"/>
        <v>5291700</v>
      </c>
      <c r="V36" s="242">
        <f t="shared" si="15"/>
        <v>5515740</v>
      </c>
      <c r="W36" s="242">
        <f t="shared" si="15"/>
        <v>5984178</v>
      </c>
      <c r="X36" s="242">
        <f t="shared" si="15"/>
        <v>6589800</v>
      </c>
      <c r="Y36" s="242">
        <f t="shared" si="15"/>
        <v>5766000</v>
      </c>
    </row>
    <row r="37" spans="1:25" ht="12.75" customHeight="1" x14ac:dyDescent="0.15">
      <c r="A37" s="239" t="s">
        <v>218</v>
      </c>
      <c r="B37" s="239" t="s">
        <v>219</v>
      </c>
      <c r="C37" s="239" t="s">
        <v>228</v>
      </c>
      <c r="D37" s="239" t="s">
        <v>223</v>
      </c>
      <c r="E37" s="243">
        <v>25841</v>
      </c>
      <c r="F37" s="239" t="s">
        <v>233</v>
      </c>
      <c r="G37" s="240">
        <v>36557</v>
      </c>
      <c r="H37" s="253">
        <v>37560</v>
      </c>
      <c r="I37" s="242">
        <v>40000</v>
      </c>
      <c r="M37" s="241" t="s">
        <v>226</v>
      </c>
      <c r="N37" s="242">
        <f t="shared" ref="N37:Y37" si="16">N14*N$30</f>
        <v>768800</v>
      </c>
      <c r="O37" s="242">
        <f t="shared" si="16"/>
        <v>660800</v>
      </c>
      <c r="P37" s="242">
        <f t="shared" si="16"/>
        <v>644800</v>
      </c>
      <c r="Q37" s="242">
        <f t="shared" si="16"/>
        <v>827999.99999999988</v>
      </c>
      <c r="R37" s="242">
        <f t="shared" si="16"/>
        <v>657200</v>
      </c>
      <c r="S37" s="242">
        <f t="shared" si="16"/>
        <v>540000</v>
      </c>
      <c r="T37" s="242">
        <f t="shared" si="16"/>
        <v>558000</v>
      </c>
      <c r="U37" s="242">
        <f t="shared" si="16"/>
        <v>558000</v>
      </c>
      <c r="V37" s="242">
        <f t="shared" si="16"/>
        <v>591600</v>
      </c>
      <c r="W37" s="242">
        <f t="shared" si="16"/>
        <v>648520</v>
      </c>
      <c r="X37" s="242">
        <f t="shared" si="16"/>
        <v>732000</v>
      </c>
      <c r="Y37" s="242">
        <f t="shared" si="16"/>
        <v>620000</v>
      </c>
    </row>
    <row r="38" spans="1:25" s="450" customFormat="1" ht="12.75" customHeight="1" x14ac:dyDescent="0.15">
      <c r="A38" s="450" t="s">
        <v>218</v>
      </c>
      <c r="B38" s="450" t="s">
        <v>219</v>
      </c>
      <c r="C38" s="450" t="s">
        <v>228</v>
      </c>
      <c r="D38" s="450" t="s">
        <v>223</v>
      </c>
      <c r="E38" s="522">
        <v>27340</v>
      </c>
      <c r="F38" s="523" t="s">
        <v>429</v>
      </c>
      <c r="G38" s="526" t="s">
        <v>430</v>
      </c>
      <c r="H38" s="525">
        <v>37287</v>
      </c>
      <c r="I38" s="524">
        <v>20000</v>
      </c>
      <c r="K38" s="453"/>
      <c r="M38" s="454"/>
      <c r="N38" s="452"/>
      <c r="O38" s="452">
        <f t="shared" ref="O38:Y38" si="17">O15*O$30</f>
        <v>330400</v>
      </c>
      <c r="P38" s="452">
        <f t="shared" si="17"/>
        <v>322400</v>
      </c>
      <c r="Q38" s="452">
        <f t="shared" si="17"/>
        <v>413999.99999999994</v>
      </c>
      <c r="R38" s="452">
        <f t="shared" si="17"/>
        <v>328600</v>
      </c>
      <c r="S38" s="452">
        <f t="shared" si="17"/>
        <v>270000</v>
      </c>
      <c r="T38" s="452">
        <f t="shared" si="17"/>
        <v>279000</v>
      </c>
      <c r="U38" s="452">
        <f t="shared" si="17"/>
        <v>279000</v>
      </c>
      <c r="V38" s="452">
        <f t="shared" si="17"/>
        <v>295800</v>
      </c>
      <c r="W38" s="452">
        <f t="shared" si="17"/>
        <v>324260</v>
      </c>
      <c r="X38" s="452">
        <f t="shared" si="17"/>
        <v>366000</v>
      </c>
      <c r="Y38" s="452">
        <f t="shared" si="17"/>
        <v>310000</v>
      </c>
    </row>
    <row r="39" spans="1:25" ht="12.75" customHeight="1" x14ac:dyDescent="0.15">
      <c r="A39" s="239" t="s">
        <v>218</v>
      </c>
      <c r="B39" s="239" t="s">
        <v>219</v>
      </c>
      <c r="C39" s="239" t="s">
        <v>228</v>
      </c>
      <c r="D39" s="239" t="s">
        <v>223</v>
      </c>
      <c r="E39" s="243">
        <v>26511</v>
      </c>
      <c r="F39" s="239" t="s">
        <v>233</v>
      </c>
      <c r="G39" s="240">
        <v>36465</v>
      </c>
      <c r="H39" s="253">
        <v>37560</v>
      </c>
      <c r="I39" s="242">
        <v>21000</v>
      </c>
      <c r="M39" s="241" t="s">
        <v>226</v>
      </c>
      <c r="N39" s="242">
        <f>(N16*N$30)</f>
        <v>403620</v>
      </c>
      <c r="O39" s="242">
        <f>(O16*O$30)</f>
        <v>346920</v>
      </c>
      <c r="P39" s="242">
        <f>(P16*P$30)</f>
        <v>338520</v>
      </c>
      <c r="Q39" s="242">
        <f>(Q16*Q$30)</f>
        <v>434699.99999999994</v>
      </c>
      <c r="R39" s="242">
        <f>(R16*R$30)+(7000*R$1)</f>
        <v>562030</v>
      </c>
      <c r="S39" s="242">
        <f>(S16*S$30)+(7000*S$1)</f>
        <v>493500</v>
      </c>
      <c r="T39" s="242">
        <f>(T16*T$30)</f>
        <v>292950</v>
      </c>
      <c r="U39" s="242">
        <f>(U16*U$30)+(7000*U$1)</f>
        <v>509950</v>
      </c>
      <c r="V39" s="242">
        <f>(V16*V$30)+(7000*V$1)</f>
        <v>520590</v>
      </c>
      <c r="W39" s="242">
        <f>(W16*W$30)+(7000*W$1)</f>
        <v>557473</v>
      </c>
      <c r="X39" s="242">
        <f>(X16*X$30)+(7000*X$1)</f>
        <v>594300</v>
      </c>
      <c r="Y39" s="242">
        <f>(Y16*Y$30)+(7000*Y$1)</f>
        <v>542500</v>
      </c>
    </row>
    <row r="40" spans="1:25" ht="12.75" customHeight="1" x14ac:dyDescent="0.15">
      <c r="A40" s="239" t="s">
        <v>218</v>
      </c>
      <c r="B40" s="239" t="s">
        <v>219</v>
      </c>
      <c r="C40" s="239" t="s">
        <v>228</v>
      </c>
      <c r="D40" s="239" t="s">
        <v>223</v>
      </c>
      <c r="E40" s="243">
        <v>26683</v>
      </c>
      <c r="F40" s="239" t="s">
        <v>235</v>
      </c>
      <c r="G40" s="240">
        <v>36220</v>
      </c>
      <c r="H40" s="525">
        <v>37346</v>
      </c>
      <c r="I40" s="242">
        <v>8000</v>
      </c>
      <c r="M40" s="241" t="s">
        <v>226</v>
      </c>
      <c r="N40" s="242">
        <f t="shared" ref="N40:Y40" si="18">N17*N$30</f>
        <v>153760</v>
      </c>
      <c r="O40" s="242">
        <f t="shared" si="18"/>
        <v>132160</v>
      </c>
      <c r="P40" s="242">
        <f t="shared" si="18"/>
        <v>128960</v>
      </c>
      <c r="Q40" s="242">
        <f t="shared" si="18"/>
        <v>0</v>
      </c>
      <c r="R40" s="242">
        <f t="shared" si="18"/>
        <v>0</v>
      </c>
      <c r="S40" s="242">
        <f t="shared" si="18"/>
        <v>0</v>
      </c>
      <c r="T40" s="242">
        <f t="shared" si="18"/>
        <v>0</v>
      </c>
      <c r="U40" s="242">
        <f t="shared" si="18"/>
        <v>0</v>
      </c>
      <c r="V40" s="242">
        <f t="shared" si="18"/>
        <v>0</v>
      </c>
      <c r="W40" s="242">
        <f t="shared" si="18"/>
        <v>0</v>
      </c>
      <c r="X40" s="242">
        <f t="shared" si="18"/>
        <v>0</v>
      </c>
      <c r="Y40" s="242">
        <f t="shared" si="18"/>
        <v>0</v>
      </c>
    </row>
    <row r="41" spans="1:25" ht="12.75" customHeight="1" x14ac:dyDescent="0.15">
      <c r="A41" s="239" t="s">
        <v>218</v>
      </c>
      <c r="B41" s="239" t="s">
        <v>219</v>
      </c>
      <c r="C41" s="239" t="s">
        <v>228</v>
      </c>
      <c r="D41" s="239" t="s">
        <v>223</v>
      </c>
      <c r="E41" s="243">
        <v>26758</v>
      </c>
      <c r="F41" s="239" t="s">
        <v>236</v>
      </c>
      <c r="G41" s="240">
        <v>36647</v>
      </c>
      <c r="H41" s="253">
        <v>38472</v>
      </c>
      <c r="I41" s="242">
        <v>40000</v>
      </c>
      <c r="M41" s="241" t="s">
        <v>226</v>
      </c>
      <c r="N41" s="242">
        <f>(N18*N$30)</f>
        <v>768800</v>
      </c>
      <c r="O41" s="242">
        <f>(O18*O$30)</f>
        <v>660800</v>
      </c>
      <c r="P41" s="242">
        <f>(P18*P$30)</f>
        <v>644800</v>
      </c>
      <c r="Q41" s="242">
        <f>(Q18*Q$30)</f>
        <v>827999.99999999988</v>
      </c>
      <c r="R41" s="242">
        <f>(R18*R$30)+(12000*R$1)</f>
        <v>1029200</v>
      </c>
      <c r="S41" s="242">
        <f>(S18*S$30)+(12000*S$1)</f>
        <v>900000</v>
      </c>
      <c r="T41" s="242">
        <f>(T18*T$30)+(200*T$1)</f>
        <v>564200</v>
      </c>
      <c r="U41" s="242">
        <f>(U18*U$30)+(12000*U$1)</f>
        <v>930000</v>
      </c>
      <c r="V41" s="242">
        <f>(V18*V$30)+(12000*V$1)</f>
        <v>951600</v>
      </c>
      <c r="W41" s="242">
        <f>(W18*W$30)+(12000*W$1)</f>
        <v>1020520</v>
      </c>
      <c r="X41" s="242">
        <f>(X18*X$30)+(12000*X$1)</f>
        <v>1092000</v>
      </c>
      <c r="Y41" s="242">
        <f>(Y18*Y$30)+(12000*Y$1)</f>
        <v>992000</v>
      </c>
    </row>
    <row r="42" spans="1:25" s="450" customFormat="1" ht="12.75" customHeight="1" x14ac:dyDescent="0.15">
      <c r="A42" s="450" t="s">
        <v>218</v>
      </c>
      <c r="B42" s="450" t="s">
        <v>219</v>
      </c>
      <c r="C42" s="450" t="s">
        <v>228</v>
      </c>
      <c r="D42" s="450" t="s">
        <v>223</v>
      </c>
      <c r="E42" s="522">
        <v>26683</v>
      </c>
      <c r="F42" s="523" t="s">
        <v>235</v>
      </c>
      <c r="G42" s="523" t="s">
        <v>434</v>
      </c>
      <c r="H42" s="525">
        <v>37346</v>
      </c>
      <c r="I42" s="524">
        <v>8000</v>
      </c>
      <c r="K42" s="453"/>
      <c r="M42" s="454"/>
      <c r="N42" s="452"/>
      <c r="O42" s="452"/>
      <c r="P42" s="452"/>
      <c r="Q42" s="452">
        <f t="shared" ref="Q42:Y42" si="19">Q19*Q$30</f>
        <v>165600</v>
      </c>
      <c r="R42" s="452">
        <f t="shared" si="19"/>
        <v>131440</v>
      </c>
      <c r="S42" s="452">
        <f t="shared" si="19"/>
        <v>108000</v>
      </c>
      <c r="T42" s="452">
        <f t="shared" si="19"/>
        <v>111600</v>
      </c>
      <c r="U42" s="452">
        <f t="shared" si="19"/>
        <v>111600</v>
      </c>
      <c r="V42" s="452">
        <f t="shared" si="19"/>
        <v>118320</v>
      </c>
      <c r="W42" s="452">
        <f t="shared" si="19"/>
        <v>129704</v>
      </c>
      <c r="X42" s="452">
        <f t="shared" si="19"/>
        <v>146400</v>
      </c>
      <c r="Y42" s="452">
        <f t="shared" si="19"/>
        <v>124000</v>
      </c>
    </row>
    <row r="43" spans="1:25" ht="12.75" customHeight="1" x14ac:dyDescent="0.15">
      <c r="A43" s="471" t="s">
        <v>218</v>
      </c>
      <c r="B43" s="471" t="s">
        <v>219</v>
      </c>
      <c r="C43" s="471" t="s">
        <v>228</v>
      </c>
      <c r="D43" s="471" t="s">
        <v>223</v>
      </c>
      <c r="E43" s="451"/>
      <c r="F43" s="471" t="s">
        <v>235</v>
      </c>
      <c r="G43" s="471"/>
      <c r="H43" s="476"/>
      <c r="I43" s="473">
        <v>14000</v>
      </c>
      <c r="Q43" s="473">
        <f t="shared" ref="Q43:W43" si="20">Q20*Q$30</f>
        <v>289800</v>
      </c>
      <c r="R43" s="473">
        <f t="shared" si="20"/>
        <v>230020</v>
      </c>
      <c r="S43" s="473">
        <f t="shared" si="20"/>
        <v>189000</v>
      </c>
      <c r="T43" s="473">
        <f t="shared" si="20"/>
        <v>195300</v>
      </c>
      <c r="U43" s="473">
        <f t="shared" si="20"/>
        <v>195300</v>
      </c>
      <c r="V43" s="473">
        <f t="shared" si="20"/>
        <v>207060</v>
      </c>
      <c r="W43" s="473">
        <f t="shared" si="20"/>
        <v>226982</v>
      </c>
      <c r="X43" s="452"/>
      <c r="Y43" s="452"/>
    </row>
    <row r="44" spans="1:25" ht="12.75" customHeight="1" x14ac:dyDescent="0.15">
      <c r="A44" s="239" t="s">
        <v>218</v>
      </c>
      <c r="B44" s="239" t="s">
        <v>219</v>
      </c>
      <c r="C44" s="239" t="s">
        <v>228</v>
      </c>
      <c r="D44" s="239" t="s">
        <v>223</v>
      </c>
      <c r="E44" s="243">
        <v>26819</v>
      </c>
      <c r="F44" s="239" t="s">
        <v>240</v>
      </c>
      <c r="G44" s="240">
        <v>36647</v>
      </c>
      <c r="H44" s="253">
        <v>38472</v>
      </c>
      <c r="I44" s="242">
        <v>10000</v>
      </c>
      <c r="M44" s="241" t="s">
        <v>226</v>
      </c>
      <c r="N44" s="242">
        <f>(N21*N$30)</f>
        <v>192200</v>
      </c>
      <c r="O44" s="242">
        <f>(O21*O$30)</f>
        <v>165200</v>
      </c>
      <c r="P44" s="242">
        <f>(P21*P$30)</f>
        <v>161200</v>
      </c>
      <c r="Q44" s="242">
        <f>(Q21*Q$30)</f>
        <v>206999.99999999997</v>
      </c>
      <c r="R44" s="242">
        <f>(R21*R$30)+(3000*R$1)</f>
        <v>257300</v>
      </c>
      <c r="S44" s="242">
        <f>(S21*S$30)+(3000*S$1)</f>
        <v>225000</v>
      </c>
      <c r="T44" s="242">
        <f>(T21*T$30)</f>
        <v>139500</v>
      </c>
      <c r="U44" s="242">
        <f>(U21*U$30)+(3000*U$1)</f>
        <v>232500</v>
      </c>
      <c r="V44" s="242">
        <f>(V21*V$30)+(3000*V$1)</f>
        <v>237900</v>
      </c>
      <c r="W44" s="242">
        <f>(W21*W$30)+(3000*W$1)</f>
        <v>255130</v>
      </c>
      <c r="X44" s="242">
        <f>(X21*X$30)+(3000*X$1)</f>
        <v>273000</v>
      </c>
      <c r="Y44" s="242">
        <f>(Y21*Y$30)+(3000*Y$1)</f>
        <v>248000</v>
      </c>
    </row>
    <row r="45" spans="1:25" ht="12.75" customHeight="1" x14ac:dyDescent="0.15">
      <c r="A45" s="523" t="s">
        <v>218</v>
      </c>
      <c r="B45" s="523" t="s">
        <v>219</v>
      </c>
      <c r="C45" s="523" t="s">
        <v>228</v>
      </c>
      <c r="D45" s="523" t="s">
        <v>223</v>
      </c>
      <c r="E45" s="522">
        <v>27352</v>
      </c>
      <c r="F45" s="523" t="s">
        <v>239</v>
      </c>
      <c r="G45" s="533">
        <v>37196</v>
      </c>
      <c r="H45" s="525">
        <v>37560</v>
      </c>
      <c r="I45" s="524">
        <v>21500</v>
      </c>
      <c r="M45" s="241" t="s">
        <v>226</v>
      </c>
      <c r="X45" s="524">
        <f>(X22*X$30)</f>
        <v>393450</v>
      </c>
      <c r="Y45" s="524">
        <f>(Y22*Y$30)</f>
        <v>333250</v>
      </c>
    </row>
    <row r="46" spans="1:25" ht="12.75" customHeight="1" x14ac:dyDescent="0.15">
      <c r="A46" s="523" t="s">
        <v>218</v>
      </c>
      <c r="B46" s="523" t="s">
        <v>219</v>
      </c>
      <c r="C46" s="523" t="s">
        <v>228</v>
      </c>
      <c r="D46" s="523" t="s">
        <v>223</v>
      </c>
      <c r="E46" s="522">
        <v>27427</v>
      </c>
      <c r="F46" s="523" t="s">
        <v>437</v>
      </c>
      <c r="G46" s="533">
        <v>36951</v>
      </c>
      <c r="H46" s="525">
        <v>36981</v>
      </c>
      <c r="I46" s="537">
        <v>10000</v>
      </c>
      <c r="M46" s="538" t="s">
        <v>232</v>
      </c>
      <c r="N46" s="246"/>
      <c r="O46" s="246"/>
      <c r="P46" s="537">
        <f>(P23*P$30)</f>
        <v>161200</v>
      </c>
      <c r="Q46" s="246"/>
      <c r="R46" s="246"/>
      <c r="S46" s="246"/>
      <c r="T46" s="246"/>
      <c r="U46" s="246"/>
      <c r="V46" s="246"/>
      <c r="W46" s="246"/>
      <c r="X46" s="246"/>
      <c r="Y46" s="246"/>
    </row>
    <row r="47" spans="1:25" ht="12.75" customHeight="1" x14ac:dyDescent="0.15">
      <c r="A47" s="584" t="s">
        <v>218</v>
      </c>
      <c r="B47" s="584" t="s">
        <v>219</v>
      </c>
      <c r="C47" s="584" t="s">
        <v>228</v>
      </c>
      <c r="D47" s="584" t="s">
        <v>223</v>
      </c>
      <c r="E47" s="595" t="s">
        <v>484</v>
      </c>
      <c r="F47" s="584" t="s">
        <v>483</v>
      </c>
      <c r="G47" s="586">
        <v>37196</v>
      </c>
      <c r="H47" s="587">
        <v>37256</v>
      </c>
      <c r="I47" s="588">
        <v>20000</v>
      </c>
      <c r="M47" s="590" t="s">
        <v>232</v>
      </c>
      <c r="N47" s="246"/>
      <c r="O47" s="246"/>
      <c r="P47" s="537"/>
      <c r="Q47" s="246"/>
      <c r="R47" s="246"/>
      <c r="S47" s="246"/>
      <c r="T47" s="246"/>
      <c r="U47" s="246"/>
      <c r="V47" s="246"/>
      <c r="W47" s="246"/>
      <c r="X47" s="594">
        <v>600000</v>
      </c>
      <c r="Y47" s="594">
        <v>620000</v>
      </c>
    </row>
    <row r="48" spans="1:25" ht="12.75" customHeight="1" x14ac:dyDescent="0.15">
      <c r="A48" s="523" t="s">
        <v>218</v>
      </c>
      <c r="B48" s="523" t="s">
        <v>219</v>
      </c>
      <c r="C48" s="523" t="s">
        <v>228</v>
      </c>
      <c r="D48" s="523" t="s">
        <v>223</v>
      </c>
      <c r="E48" s="522">
        <v>27581</v>
      </c>
      <c r="F48" s="471" t="s">
        <v>482</v>
      </c>
      <c r="G48" s="541">
        <v>37196</v>
      </c>
      <c r="H48" s="542">
        <v>37225</v>
      </c>
      <c r="I48" s="477">
        <v>27500</v>
      </c>
      <c r="M48" s="538"/>
      <c r="N48" s="246"/>
      <c r="O48" s="246"/>
      <c r="P48" s="537"/>
      <c r="Q48" s="246"/>
      <c r="R48" s="246"/>
      <c r="S48" s="246"/>
      <c r="T48" s="246"/>
      <c r="U48" s="246"/>
      <c r="V48" s="246"/>
      <c r="W48" s="246"/>
      <c r="X48" s="524">
        <f>(X25*X$30)</f>
        <v>503250</v>
      </c>
      <c r="Y48" s="246"/>
    </row>
    <row r="49" spans="1:29" ht="12.75" customHeight="1" x14ac:dyDescent="0.15">
      <c r="A49" s="523" t="s">
        <v>218</v>
      </c>
      <c r="B49" s="523" t="s">
        <v>219</v>
      </c>
      <c r="C49" s="523" t="s">
        <v>228</v>
      </c>
      <c r="D49" s="523" t="s">
        <v>223</v>
      </c>
      <c r="E49" s="522">
        <v>27581</v>
      </c>
      <c r="F49" s="471" t="s">
        <v>482</v>
      </c>
      <c r="G49" s="541">
        <v>37226</v>
      </c>
      <c r="H49" s="542">
        <v>37256</v>
      </c>
      <c r="I49" s="543">
        <v>14000</v>
      </c>
      <c r="M49" s="538"/>
      <c r="N49" s="245"/>
      <c r="O49" s="245"/>
      <c r="P49" s="539"/>
      <c r="Q49" s="245"/>
      <c r="R49" s="245"/>
      <c r="S49" s="245"/>
      <c r="T49" s="245"/>
      <c r="U49" s="245"/>
      <c r="V49" s="245"/>
      <c r="W49" s="245"/>
      <c r="X49" s="245"/>
      <c r="Y49" s="539">
        <f>(Y26*Y$30)</f>
        <v>217000</v>
      </c>
    </row>
    <row r="50" spans="1:29" ht="12.75" customHeight="1" x14ac:dyDescent="0.15">
      <c r="I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98"/>
    </row>
    <row r="51" spans="1:29" ht="12.75" customHeight="1" x14ac:dyDescent="0.15">
      <c r="I51" s="242">
        <f>SUM(I31:I50)</f>
        <v>713000</v>
      </c>
      <c r="N51" s="242">
        <f>SUM(N31:N49)</f>
        <v>12132160</v>
      </c>
      <c r="O51" s="242">
        <f>SUM(O31:O49)</f>
        <v>10472560</v>
      </c>
      <c r="P51" s="242">
        <f t="shared" ref="P51:Y51" si="21">SUM(P31:P49)</f>
        <v>10501560</v>
      </c>
      <c r="Q51" s="242">
        <f t="shared" si="21"/>
        <v>10164599.999999998</v>
      </c>
      <c r="R51" s="242">
        <f t="shared" si="21"/>
        <v>9141540</v>
      </c>
      <c r="S51" s="242">
        <f t="shared" si="21"/>
        <v>9453000</v>
      </c>
      <c r="T51" s="242">
        <f t="shared" si="21"/>
        <v>9092300</v>
      </c>
      <c r="U51" s="242">
        <f t="shared" si="21"/>
        <v>9768100</v>
      </c>
      <c r="V51" s="242">
        <f t="shared" si="21"/>
        <v>9958620</v>
      </c>
      <c r="W51" s="242">
        <f t="shared" si="21"/>
        <v>11076114</v>
      </c>
      <c r="X51" s="242">
        <f t="shared" si="21"/>
        <v>12827400</v>
      </c>
      <c r="Y51" s="242">
        <f t="shared" si="21"/>
        <v>11074750</v>
      </c>
      <c r="Z51" s="375"/>
    </row>
    <row r="54" spans="1:29" ht="12.75" customHeight="1" x14ac:dyDescent="0.15">
      <c r="A54" s="239" t="s">
        <v>218</v>
      </c>
      <c r="B54" s="239" t="s">
        <v>219</v>
      </c>
      <c r="C54" s="239" t="s">
        <v>229</v>
      </c>
      <c r="D54" s="239" t="s">
        <v>220</v>
      </c>
      <c r="E54" s="528">
        <v>26751</v>
      </c>
      <c r="F54" s="450" t="s">
        <v>221</v>
      </c>
      <c r="G54" s="529">
        <v>36557</v>
      </c>
      <c r="H54" s="459">
        <v>36922</v>
      </c>
      <c r="K54" s="251">
        <v>0.10639999999999999</v>
      </c>
      <c r="L54" s="239">
        <v>2.46E-2</v>
      </c>
      <c r="M54" s="241" t="s">
        <v>226</v>
      </c>
      <c r="N54" s="242">
        <f t="shared" ref="N54:Y54" si="22">N9*($K54+$L54)-N76</f>
        <v>71763.759999999995</v>
      </c>
      <c r="O54" s="242">
        <f t="shared" si="22"/>
        <v>0</v>
      </c>
      <c r="P54" s="242">
        <f t="shared" si="22"/>
        <v>0</v>
      </c>
      <c r="Q54" s="242">
        <f t="shared" si="22"/>
        <v>0</v>
      </c>
      <c r="R54" s="242">
        <f t="shared" si="22"/>
        <v>0</v>
      </c>
      <c r="S54" s="242">
        <f t="shared" si="22"/>
        <v>0</v>
      </c>
      <c r="T54" s="242">
        <f t="shared" si="22"/>
        <v>0</v>
      </c>
      <c r="U54" s="242">
        <f t="shared" si="22"/>
        <v>0</v>
      </c>
      <c r="V54" s="242">
        <f t="shared" si="22"/>
        <v>0</v>
      </c>
      <c r="W54" s="242">
        <f t="shared" si="22"/>
        <v>0</v>
      </c>
      <c r="X54" s="242">
        <f t="shared" si="22"/>
        <v>0</v>
      </c>
      <c r="Y54" s="242">
        <f t="shared" si="22"/>
        <v>0</v>
      </c>
    </row>
    <row r="55" spans="1:29" ht="12.75" customHeight="1" x14ac:dyDescent="0.15">
      <c r="A55" s="239" t="s">
        <v>218</v>
      </c>
      <c r="B55" s="239" t="s">
        <v>219</v>
      </c>
      <c r="C55" s="239" t="s">
        <v>229</v>
      </c>
      <c r="D55" s="239" t="s">
        <v>220</v>
      </c>
      <c r="E55" s="244">
        <v>27293</v>
      </c>
      <c r="F55" s="239" t="s">
        <v>239</v>
      </c>
      <c r="G55" s="240">
        <v>36831</v>
      </c>
      <c r="H55" s="525">
        <v>37195</v>
      </c>
      <c r="K55" s="251">
        <v>0.25540000000000002</v>
      </c>
      <c r="L55" s="239">
        <v>2.46E-2</v>
      </c>
      <c r="M55" s="241" t="s">
        <v>226</v>
      </c>
      <c r="N55" s="242">
        <f t="shared" ref="N55:Y55" si="23">N10*($K55+$L55)-N78</f>
        <v>402152.21200000006</v>
      </c>
      <c r="O55" s="242">
        <f t="shared" si="23"/>
        <v>364246.79200000007</v>
      </c>
      <c r="P55" s="242">
        <f t="shared" si="23"/>
        <v>405888.95200000005</v>
      </c>
      <c r="Q55" s="242">
        <f t="shared" si="23"/>
        <v>386648.22000000009</v>
      </c>
      <c r="R55" s="242">
        <f t="shared" si="23"/>
        <v>405515.27800000005</v>
      </c>
      <c r="S55" s="242">
        <f t="shared" si="23"/>
        <v>395327.10000000003</v>
      </c>
      <c r="T55" s="242">
        <f t="shared" si="23"/>
        <v>408504.67000000004</v>
      </c>
      <c r="U55" s="242">
        <f t="shared" si="23"/>
        <v>408504.67000000004</v>
      </c>
      <c r="V55" s="242">
        <f t="shared" si="23"/>
        <v>393772.13400000008</v>
      </c>
      <c r="W55" s="242">
        <f t="shared" si="23"/>
        <v>405776.84980000008</v>
      </c>
      <c r="X55" s="242">
        <f t="shared" si="23"/>
        <v>0</v>
      </c>
      <c r="Y55" s="242">
        <f t="shared" si="23"/>
        <v>0</v>
      </c>
    </row>
    <row r="56" spans="1:29" ht="12.75" customHeight="1" x14ac:dyDescent="0.15">
      <c r="A56" s="239" t="s">
        <v>218</v>
      </c>
      <c r="B56" s="239" t="s">
        <v>219</v>
      </c>
      <c r="C56" s="239" t="s">
        <v>229</v>
      </c>
      <c r="D56" s="239" t="s">
        <v>220</v>
      </c>
      <c r="E56" s="244">
        <v>27252</v>
      </c>
      <c r="F56" s="239" t="s">
        <v>363</v>
      </c>
      <c r="G56" s="527" t="s">
        <v>431</v>
      </c>
      <c r="H56" s="253">
        <v>40482</v>
      </c>
      <c r="K56" s="251">
        <v>0.12540000000000001</v>
      </c>
      <c r="L56" s="239">
        <v>2.46E-2</v>
      </c>
      <c r="M56" s="241" t="s">
        <v>226</v>
      </c>
      <c r="N56" s="242">
        <f t="shared" ref="N56:P57" si="24">N11*($K56+$L56)-N79</f>
        <v>58480.632000000005</v>
      </c>
      <c r="O56" s="242">
        <f t="shared" si="24"/>
        <v>53110.51200000001</v>
      </c>
      <c r="P56" s="242">
        <f t="shared" si="24"/>
        <v>59548.272000000004</v>
      </c>
      <c r="X56" s="242">
        <f>X11*($K56+$L56)-X79</f>
        <v>56697.48000000001</v>
      </c>
      <c r="Y56" s="242">
        <f>Y11*($K56+$L56)-Y79</f>
        <v>59761.80000000001</v>
      </c>
    </row>
    <row r="57" spans="1:29" ht="12.75" customHeight="1" x14ac:dyDescent="0.15">
      <c r="A57" s="239" t="s">
        <v>218</v>
      </c>
      <c r="B57" s="239" t="s">
        <v>219</v>
      </c>
      <c r="C57" s="239" t="s">
        <v>229</v>
      </c>
      <c r="D57" s="239" t="s">
        <v>220</v>
      </c>
      <c r="E57" s="244">
        <v>26490</v>
      </c>
      <c r="F57" s="239" t="s">
        <v>230</v>
      </c>
      <c r="G57" s="240">
        <v>36100</v>
      </c>
      <c r="H57" s="525">
        <v>37925</v>
      </c>
      <c r="K57" s="251">
        <v>0.1154</v>
      </c>
      <c r="L57" s="239">
        <v>2.46E-2</v>
      </c>
      <c r="M57" s="241" t="s">
        <v>226</v>
      </c>
      <c r="N57" s="242">
        <f t="shared" si="24"/>
        <v>270703.15999999997</v>
      </c>
      <c r="O57" s="242">
        <f t="shared" si="24"/>
        <v>245952.56</v>
      </c>
      <c r="P57" s="242">
        <f t="shared" si="24"/>
        <v>276041.36</v>
      </c>
      <c r="Q57" s="242">
        <f t="shared" ref="Q57:W57" si="25">Q12*($K57+$L57)-Q80</f>
        <v>258354.6</v>
      </c>
      <c r="R57" s="242">
        <f t="shared" si="25"/>
        <v>275507.53999999998</v>
      </c>
      <c r="S57" s="242">
        <f t="shared" si="25"/>
        <v>270753</v>
      </c>
      <c r="T57" s="242">
        <f t="shared" si="25"/>
        <v>279778.09999999998</v>
      </c>
      <c r="U57" s="242">
        <f t="shared" si="25"/>
        <v>279778.09999999998</v>
      </c>
      <c r="V57" s="242">
        <f t="shared" si="25"/>
        <v>268531.62</v>
      </c>
      <c r="W57" s="242">
        <f t="shared" si="25"/>
        <v>275881.21399999998</v>
      </c>
    </row>
    <row r="58" spans="1:29" ht="12.75" customHeight="1" x14ac:dyDescent="0.15">
      <c r="A58" s="239" t="s">
        <v>218</v>
      </c>
      <c r="B58" s="239" t="s">
        <v>219</v>
      </c>
      <c r="C58" s="239" t="s">
        <v>229</v>
      </c>
      <c r="D58" s="239" t="s">
        <v>220</v>
      </c>
      <c r="E58" s="243">
        <v>8255</v>
      </c>
      <c r="F58" s="239" t="s">
        <v>231</v>
      </c>
      <c r="H58" s="253">
        <v>38656</v>
      </c>
      <c r="K58" s="251">
        <f>0.3232+0.0686+0.003+0.0051+0.0007</f>
        <v>0.40059999999999996</v>
      </c>
      <c r="L58" s="239">
        <v>3.4299999999999997E-2</v>
      </c>
      <c r="M58" s="241" t="s">
        <v>232</v>
      </c>
      <c r="N58" s="242">
        <f t="shared" ref="N58:W58" si="26">N13*$K$58</f>
        <v>3800091.5999999996</v>
      </c>
      <c r="O58" s="242">
        <f t="shared" si="26"/>
        <v>3432340.8</v>
      </c>
      <c r="P58" s="242">
        <f t="shared" si="26"/>
        <v>3800091.5999999996</v>
      </c>
      <c r="Q58" s="242">
        <f t="shared" si="26"/>
        <v>3677507.9999999995</v>
      </c>
      <c r="R58" s="242">
        <f t="shared" si="26"/>
        <v>3800091.5999999996</v>
      </c>
      <c r="S58" s="242">
        <f t="shared" si="26"/>
        <v>3677507.9999999995</v>
      </c>
      <c r="T58" s="242">
        <f t="shared" si="26"/>
        <v>3800091.5999999996</v>
      </c>
      <c r="U58" s="242">
        <f t="shared" si="26"/>
        <v>3800091.5999999996</v>
      </c>
      <c r="V58" s="242">
        <f t="shared" si="26"/>
        <v>3677507.9999999995</v>
      </c>
      <c r="W58" s="242">
        <f t="shared" si="26"/>
        <v>3800091.5999999996</v>
      </c>
      <c r="X58" s="242">
        <f>X13*($K$58-0.0686+0.0065)</f>
        <v>3107429.9999999995</v>
      </c>
      <c r="Y58" s="242">
        <f>Y13*($K$58-0.0686+0.0065)</f>
        <v>3211010.9999999995</v>
      </c>
    </row>
    <row r="59" spans="1:29" ht="12.75" customHeight="1" x14ac:dyDescent="0.15">
      <c r="A59" s="239" t="s">
        <v>218</v>
      </c>
      <c r="B59" s="239" t="s">
        <v>219</v>
      </c>
      <c r="C59" s="239" t="s">
        <v>229</v>
      </c>
      <c r="D59" s="239" t="s">
        <v>220</v>
      </c>
      <c r="E59" s="243">
        <v>25841</v>
      </c>
      <c r="F59" s="239" t="s">
        <v>233</v>
      </c>
      <c r="G59" s="240">
        <v>36557</v>
      </c>
      <c r="H59" s="253">
        <v>37560</v>
      </c>
      <c r="K59" s="251">
        <v>8.2900000000000001E-2</v>
      </c>
      <c r="L59" s="239">
        <v>2.46E-2</v>
      </c>
      <c r="M59" s="241" t="s">
        <v>226</v>
      </c>
      <c r="N59" s="242">
        <f t="shared" ref="N59:Y59" si="27">N14*($K59+$L59)-N82</f>
        <v>114387.52</v>
      </c>
      <c r="O59" s="242">
        <f t="shared" si="27"/>
        <v>104144.32000000001</v>
      </c>
      <c r="P59" s="242">
        <f t="shared" si="27"/>
        <v>117437.92</v>
      </c>
      <c r="Q59" s="242">
        <f t="shared" si="27"/>
        <v>108631.20000000001</v>
      </c>
      <c r="R59" s="242">
        <f t="shared" si="27"/>
        <v>117132.88</v>
      </c>
      <c r="S59" s="242">
        <f t="shared" si="27"/>
        <v>115716</v>
      </c>
      <c r="T59" s="242">
        <f t="shared" si="27"/>
        <v>119573.2</v>
      </c>
      <c r="U59" s="242">
        <f t="shared" si="27"/>
        <v>119573.2</v>
      </c>
      <c r="V59" s="242">
        <f t="shared" si="27"/>
        <v>114446.64</v>
      </c>
      <c r="W59" s="242">
        <f t="shared" si="27"/>
        <v>117346.408</v>
      </c>
      <c r="X59" s="242">
        <f t="shared" si="27"/>
        <v>110992.8</v>
      </c>
      <c r="Y59" s="242">
        <f t="shared" si="27"/>
        <v>118048</v>
      </c>
    </row>
    <row r="60" spans="1:29" ht="12.75" customHeight="1" x14ac:dyDescent="0.15">
      <c r="A60" s="450" t="s">
        <v>218</v>
      </c>
      <c r="B60" s="450" t="s">
        <v>219</v>
      </c>
      <c r="C60" s="450" t="s">
        <v>229</v>
      </c>
      <c r="D60" s="450" t="s">
        <v>220</v>
      </c>
      <c r="E60" s="522">
        <v>27340</v>
      </c>
      <c r="F60" s="523" t="s">
        <v>429</v>
      </c>
      <c r="G60" s="526" t="s">
        <v>430</v>
      </c>
      <c r="H60" s="525">
        <v>37287</v>
      </c>
      <c r="K60" s="532">
        <v>0.3453</v>
      </c>
      <c r="L60" s="523">
        <v>3.1600000000000003E-2</v>
      </c>
      <c r="M60" s="454" t="s">
        <v>226</v>
      </c>
      <c r="O60" s="452">
        <f t="shared" ref="O60:Y60" si="28">O15*($K60+$L60)-O83</f>
        <v>200623.35999999999</v>
      </c>
      <c r="P60" s="452">
        <f t="shared" si="28"/>
        <v>223490.16</v>
      </c>
      <c r="Q60" s="452">
        <f t="shared" si="28"/>
        <v>213057.6</v>
      </c>
      <c r="R60" s="452">
        <f t="shared" si="28"/>
        <v>223294.24</v>
      </c>
      <c r="S60" s="452">
        <f t="shared" si="28"/>
        <v>217608</v>
      </c>
      <c r="T60" s="452">
        <f t="shared" si="28"/>
        <v>224861.6</v>
      </c>
      <c r="U60" s="452">
        <f t="shared" si="28"/>
        <v>224861.6</v>
      </c>
      <c r="V60" s="452">
        <f t="shared" si="28"/>
        <v>216792.72</v>
      </c>
      <c r="W60" s="452">
        <f t="shared" si="28"/>
        <v>223431.38399999999</v>
      </c>
      <c r="X60" s="452">
        <f t="shared" si="28"/>
        <v>214574.4</v>
      </c>
      <c r="Y60" s="452">
        <f t="shared" si="28"/>
        <v>223882</v>
      </c>
      <c r="AC60" s="375">
        <f>SUM(N60:Y60)</f>
        <v>2406477.0640000002</v>
      </c>
    </row>
    <row r="61" spans="1:29" ht="12.75" customHeight="1" x14ac:dyDescent="0.15">
      <c r="A61" s="239" t="s">
        <v>218</v>
      </c>
      <c r="B61" s="239" t="s">
        <v>219</v>
      </c>
      <c r="C61" s="239" t="s">
        <v>229</v>
      </c>
      <c r="D61" s="239" t="s">
        <v>220</v>
      </c>
      <c r="E61" s="243">
        <v>26511</v>
      </c>
      <c r="F61" s="239" t="s">
        <v>233</v>
      </c>
      <c r="G61" s="240">
        <v>36465</v>
      </c>
      <c r="H61" s="253">
        <v>37560</v>
      </c>
      <c r="K61" s="251">
        <v>8.2900000000000001E-2</v>
      </c>
      <c r="L61" s="239">
        <v>2.46E-2</v>
      </c>
      <c r="M61" s="241" t="s">
        <v>226</v>
      </c>
      <c r="N61" s="242">
        <f>N16*($K61+$L61)-N84</f>
        <v>60053.448000000004</v>
      </c>
      <c r="O61" s="242">
        <f t="shared" ref="O61:Y61" si="29">O16*($K61+$L61)-O84</f>
        <v>54675.767999999996</v>
      </c>
      <c r="P61" s="242">
        <f t="shared" si="29"/>
        <v>61654.907999999996</v>
      </c>
      <c r="Q61" s="242">
        <f t="shared" si="29"/>
        <v>57031.380000000005</v>
      </c>
      <c r="R61" s="242">
        <f t="shared" si="29"/>
        <v>56156.561999999998</v>
      </c>
      <c r="S61" s="242">
        <f t="shared" si="29"/>
        <v>55584.9</v>
      </c>
      <c r="T61" s="242">
        <f t="shared" si="29"/>
        <v>62775.93</v>
      </c>
      <c r="U61" s="242">
        <f t="shared" si="29"/>
        <v>57437.729999999996</v>
      </c>
      <c r="V61" s="242">
        <f t="shared" si="29"/>
        <v>54918.485999999997</v>
      </c>
      <c r="W61" s="242">
        <f t="shared" si="29"/>
        <v>56268.664199999999</v>
      </c>
      <c r="X61" s="242">
        <f t="shared" si="29"/>
        <v>53105.22</v>
      </c>
      <c r="Y61" s="242">
        <f t="shared" si="29"/>
        <v>56637</v>
      </c>
    </row>
    <row r="62" spans="1:29" ht="12.75" customHeight="1" x14ac:dyDescent="0.15">
      <c r="A62" s="239" t="s">
        <v>218</v>
      </c>
      <c r="B62" s="239" t="s">
        <v>219</v>
      </c>
      <c r="C62" s="239" t="s">
        <v>229</v>
      </c>
      <c r="D62" s="239" t="s">
        <v>220</v>
      </c>
      <c r="E62" s="243">
        <v>26683</v>
      </c>
      <c r="F62" s="239" t="s">
        <v>235</v>
      </c>
      <c r="G62" s="240">
        <v>36220</v>
      </c>
      <c r="H62" s="525">
        <v>37346</v>
      </c>
      <c r="K62" s="251">
        <v>0.12740000000000001</v>
      </c>
      <c r="L62" s="239">
        <v>2.46E-2</v>
      </c>
      <c r="M62" s="241" t="s">
        <v>226</v>
      </c>
      <c r="N62" s="242">
        <f>N17*($K62+$L62)-N85</f>
        <v>33913.504000000008</v>
      </c>
      <c r="O62" s="242">
        <f t="shared" ref="O62:Y62" si="30">O17*($K62+$L62)-O85</f>
        <v>30796.864000000009</v>
      </c>
      <c r="P62" s="242">
        <f t="shared" si="30"/>
        <v>34523.58400000001</v>
      </c>
      <c r="Q62" s="242">
        <f t="shared" si="30"/>
        <v>0</v>
      </c>
      <c r="R62" s="242">
        <f t="shared" si="30"/>
        <v>0</v>
      </c>
      <c r="S62" s="242">
        <f t="shared" si="30"/>
        <v>0</v>
      </c>
      <c r="T62" s="242">
        <f t="shared" si="30"/>
        <v>0</v>
      </c>
      <c r="U62" s="242">
        <f t="shared" si="30"/>
        <v>0</v>
      </c>
      <c r="V62" s="242">
        <f t="shared" si="30"/>
        <v>0</v>
      </c>
      <c r="W62" s="242">
        <f t="shared" si="30"/>
        <v>0</v>
      </c>
      <c r="X62" s="242">
        <f t="shared" si="30"/>
        <v>0</v>
      </c>
      <c r="Y62" s="242">
        <f t="shared" si="30"/>
        <v>0</v>
      </c>
    </row>
    <row r="63" spans="1:29" ht="12.75" customHeight="1" x14ac:dyDescent="0.15">
      <c r="A63" s="239" t="s">
        <v>218</v>
      </c>
      <c r="B63" s="239" t="s">
        <v>219</v>
      </c>
      <c r="C63" s="239" t="s">
        <v>229</v>
      </c>
      <c r="D63" s="239" t="s">
        <v>220</v>
      </c>
      <c r="E63" s="243">
        <v>26758</v>
      </c>
      <c r="F63" s="239" t="s">
        <v>236</v>
      </c>
      <c r="G63" s="240">
        <v>36647</v>
      </c>
      <c r="H63" s="253">
        <v>38472</v>
      </c>
      <c r="K63" s="251">
        <v>8.6599999999999996E-2</v>
      </c>
      <c r="L63" s="239">
        <v>2.46E-2</v>
      </c>
      <c r="M63" s="241" t="s">
        <v>226</v>
      </c>
      <c r="N63" s="242">
        <f>N18*($K63+$L63)-N86</f>
        <v>118975.52</v>
      </c>
      <c r="O63" s="242">
        <f t="shared" ref="O63:Y63" si="31">O18*($K63+$L63)-O86</f>
        <v>108288.31999999998</v>
      </c>
      <c r="P63" s="242">
        <f t="shared" si="31"/>
        <v>122025.92</v>
      </c>
      <c r="Q63" s="242">
        <f t="shared" si="31"/>
        <v>113071.20000000001</v>
      </c>
      <c r="R63" s="242">
        <f t="shared" si="31"/>
        <v>112569.68</v>
      </c>
      <c r="S63" s="242">
        <f t="shared" si="31"/>
        <v>111300</v>
      </c>
      <c r="T63" s="242">
        <f t="shared" si="31"/>
        <v>124008.68</v>
      </c>
      <c r="U63" s="242">
        <f t="shared" si="31"/>
        <v>115010</v>
      </c>
      <c r="V63" s="242">
        <f t="shared" si="31"/>
        <v>110030.64</v>
      </c>
      <c r="W63" s="242">
        <f t="shared" si="31"/>
        <v>112783.208</v>
      </c>
      <c r="X63" s="242">
        <f t="shared" si="31"/>
        <v>106576.8</v>
      </c>
      <c r="Y63" s="242">
        <f t="shared" si="31"/>
        <v>113484.8</v>
      </c>
    </row>
    <row r="64" spans="1:29" ht="12.75" customHeight="1" x14ac:dyDescent="0.15">
      <c r="A64" s="450" t="s">
        <v>218</v>
      </c>
      <c r="B64" s="450" t="s">
        <v>219</v>
      </c>
      <c r="C64" s="450" t="s">
        <v>229</v>
      </c>
      <c r="D64" s="450" t="s">
        <v>220</v>
      </c>
      <c r="E64" s="522">
        <v>26490</v>
      </c>
      <c r="F64" s="523" t="s">
        <v>230</v>
      </c>
      <c r="G64" s="523" t="s">
        <v>434</v>
      </c>
      <c r="H64" s="525">
        <v>37925</v>
      </c>
      <c r="K64" s="453">
        <v>0.12540000000000001</v>
      </c>
      <c r="L64" s="450">
        <v>2.46E-2</v>
      </c>
      <c r="M64" s="454" t="s">
        <v>226</v>
      </c>
      <c r="X64" s="242">
        <f>X12*($K64+$L64)-X87</f>
        <v>283487.40000000008</v>
      </c>
      <c r="Y64" s="242">
        <f>Y12*($K64+$L64)-Y87</f>
        <v>298809.00000000006</v>
      </c>
      <c r="AC64" s="375">
        <f>SUM(N64:Y64)</f>
        <v>582296.40000000014</v>
      </c>
    </row>
    <row r="65" spans="1:32" ht="12.75" customHeight="1" x14ac:dyDescent="0.15">
      <c r="A65" s="450" t="s">
        <v>218</v>
      </c>
      <c r="B65" s="450" t="s">
        <v>219</v>
      </c>
      <c r="C65" s="450" t="s">
        <v>229</v>
      </c>
      <c r="D65" s="450" t="s">
        <v>220</v>
      </c>
      <c r="E65" s="522">
        <v>26683</v>
      </c>
      <c r="F65" s="523" t="s">
        <v>235</v>
      </c>
      <c r="G65" s="523" t="s">
        <v>434</v>
      </c>
      <c r="H65" s="525">
        <v>37346</v>
      </c>
      <c r="I65" s="524"/>
      <c r="K65" s="453">
        <v>0.12540000000000001</v>
      </c>
      <c r="L65" s="450">
        <v>2.46E-2</v>
      </c>
      <c r="M65" s="454" t="s">
        <v>226</v>
      </c>
      <c r="Q65" s="452">
        <f t="shared" ref="Q65:Y65" si="32">Q19*($K65+$L65)-Q88</f>
        <v>31926.240000000005</v>
      </c>
      <c r="R65" s="452">
        <f t="shared" si="32"/>
        <v>33966.576000000008</v>
      </c>
      <c r="S65" s="452">
        <f t="shared" si="32"/>
        <v>33343.200000000004</v>
      </c>
      <c r="T65" s="452">
        <f t="shared" si="32"/>
        <v>34454.640000000007</v>
      </c>
      <c r="U65" s="452">
        <f t="shared" si="32"/>
        <v>34454.640000000007</v>
      </c>
      <c r="V65" s="452">
        <f t="shared" si="32"/>
        <v>33089.328000000009</v>
      </c>
      <c r="W65" s="452">
        <f t="shared" si="32"/>
        <v>34009.281600000009</v>
      </c>
      <c r="X65" s="452">
        <f t="shared" si="32"/>
        <v>32398.560000000009</v>
      </c>
      <c r="Y65" s="452">
        <f t="shared" si="32"/>
        <v>34149.600000000006</v>
      </c>
      <c r="AC65" s="375">
        <f>SUM(N65:Y65)</f>
        <v>301792.06560000009</v>
      </c>
    </row>
    <row r="66" spans="1:32" ht="12.75" customHeight="1" x14ac:dyDescent="0.15">
      <c r="A66" s="471" t="s">
        <v>218</v>
      </c>
      <c r="B66" s="471" t="s">
        <v>219</v>
      </c>
      <c r="C66" s="471" t="s">
        <v>229</v>
      </c>
      <c r="D66" s="471" t="s">
        <v>220</v>
      </c>
      <c r="E66" s="451"/>
      <c r="F66" s="471" t="s">
        <v>235</v>
      </c>
      <c r="G66" s="450"/>
      <c r="K66" s="474">
        <v>0.2054</v>
      </c>
      <c r="L66" s="471">
        <v>2.46E-2</v>
      </c>
      <c r="M66" s="475" t="s">
        <v>226</v>
      </c>
      <c r="Q66" s="473">
        <f t="shared" ref="Q66:W67" si="33">Q20*($K66+$L66)-Q89</f>
        <v>89470.92</v>
      </c>
      <c r="R66" s="473">
        <f t="shared" si="33"/>
        <v>94161.508000000002</v>
      </c>
      <c r="S66" s="473">
        <f t="shared" si="33"/>
        <v>91950.6</v>
      </c>
      <c r="T66" s="473">
        <f t="shared" si="33"/>
        <v>95015.62</v>
      </c>
      <c r="U66" s="473">
        <f t="shared" si="33"/>
        <v>95015.62</v>
      </c>
      <c r="V66" s="473">
        <f t="shared" si="33"/>
        <v>91506.323999999993</v>
      </c>
      <c r="W66" s="473">
        <f t="shared" si="33"/>
        <v>94236.242800000007</v>
      </c>
      <c r="X66" s="452"/>
      <c r="Y66" s="452"/>
    </row>
    <row r="67" spans="1:32" ht="12.75" customHeight="1" x14ac:dyDescent="0.15">
      <c r="A67" s="239" t="s">
        <v>218</v>
      </c>
      <c r="B67" s="239" t="s">
        <v>219</v>
      </c>
      <c r="C67" s="239" t="s">
        <v>229</v>
      </c>
      <c r="D67" s="239" t="s">
        <v>220</v>
      </c>
      <c r="E67" s="243">
        <v>26819</v>
      </c>
      <c r="F67" s="239" t="s">
        <v>240</v>
      </c>
      <c r="G67" s="240">
        <v>36647</v>
      </c>
      <c r="H67" s="253">
        <v>38472</v>
      </c>
      <c r="K67" s="251">
        <v>9.5399999999999999E-2</v>
      </c>
      <c r="L67" s="239">
        <v>2.46E-2</v>
      </c>
      <c r="M67" s="241" t="s">
        <v>226</v>
      </c>
      <c r="N67" s="242">
        <f>N21*($K67+$L67)-N90</f>
        <v>32471.88</v>
      </c>
      <c r="O67" s="242">
        <f>O21*($K67+$L67)-O90</f>
        <v>29536.080000000002</v>
      </c>
      <c r="P67" s="242">
        <f>P21*($K67+$L67)-P90</f>
        <v>33234.480000000003</v>
      </c>
      <c r="Q67" s="242">
        <f t="shared" si="33"/>
        <v>30907.800000000003</v>
      </c>
      <c r="R67" s="242">
        <f t="shared" si="33"/>
        <v>30870.42</v>
      </c>
      <c r="S67" s="242">
        <f t="shared" si="33"/>
        <v>30465</v>
      </c>
      <c r="T67" s="242">
        <f t="shared" si="33"/>
        <v>33768.300000000003</v>
      </c>
      <c r="U67" s="242">
        <f t="shared" si="33"/>
        <v>31480.5</v>
      </c>
      <c r="V67" s="242">
        <f t="shared" si="33"/>
        <v>30147.66</v>
      </c>
      <c r="W67" s="242">
        <f t="shared" si="33"/>
        <v>30923.802</v>
      </c>
      <c r="X67" s="242">
        <f>X21*($K67+$L67)-X90</f>
        <v>29284.2</v>
      </c>
      <c r="Y67" s="242">
        <f>Y21*($K67+$L67)-Y90</f>
        <v>31099.200000000001</v>
      </c>
    </row>
    <row r="68" spans="1:32" ht="12.75" customHeight="1" x14ac:dyDescent="0.15">
      <c r="A68" s="523" t="s">
        <v>218</v>
      </c>
      <c r="B68" s="523" t="s">
        <v>219</v>
      </c>
      <c r="C68" s="523" t="s">
        <v>229</v>
      </c>
      <c r="D68" s="523" t="s">
        <v>220</v>
      </c>
      <c r="E68" s="522">
        <v>27352</v>
      </c>
      <c r="F68" s="523" t="s">
        <v>239</v>
      </c>
      <c r="G68" s="533">
        <v>37196</v>
      </c>
      <c r="H68" s="525">
        <v>37560</v>
      </c>
      <c r="I68" s="524"/>
      <c r="K68" s="532">
        <v>0.27539999999999998</v>
      </c>
      <c r="L68" s="523">
        <v>2.46E-2</v>
      </c>
      <c r="M68" s="241" t="s">
        <v>226</v>
      </c>
      <c r="X68" s="524">
        <f>X22*($K68+$L68)-X91</f>
        <v>183821.13</v>
      </c>
      <c r="Y68" s="524">
        <f>Y22*($K68+$L68)-Y91</f>
        <v>191752.05</v>
      </c>
    </row>
    <row r="69" spans="1:32" ht="12.75" customHeight="1" x14ac:dyDescent="0.15">
      <c r="A69" s="523" t="s">
        <v>218</v>
      </c>
      <c r="B69" s="523" t="s">
        <v>219</v>
      </c>
      <c r="C69" s="523" t="s">
        <v>229</v>
      </c>
      <c r="D69" s="523" t="s">
        <v>220</v>
      </c>
      <c r="E69" s="522">
        <v>27427</v>
      </c>
      <c r="F69" s="523" t="s">
        <v>437</v>
      </c>
      <c r="G69" s="533">
        <v>36951</v>
      </c>
      <c r="H69" s="525">
        <v>36981</v>
      </c>
      <c r="K69" s="532">
        <v>0.3453</v>
      </c>
      <c r="L69" s="523">
        <v>3.1600000000000003E-2</v>
      </c>
      <c r="M69" s="538" t="s">
        <v>232</v>
      </c>
      <c r="N69" s="246"/>
      <c r="O69" s="246"/>
      <c r="P69" s="537">
        <f>P23*($K69+$L69)-P92</f>
        <v>111745.08</v>
      </c>
      <c r="Q69" s="246"/>
      <c r="R69" s="246"/>
      <c r="S69" s="246"/>
      <c r="T69" s="246"/>
      <c r="U69" s="246"/>
      <c r="V69" s="246"/>
      <c r="W69" s="246"/>
      <c r="X69" s="246"/>
      <c r="Y69" s="246"/>
    </row>
    <row r="70" spans="1:32" ht="12.75" customHeight="1" x14ac:dyDescent="0.15">
      <c r="A70" s="584" t="s">
        <v>218</v>
      </c>
      <c r="B70" s="584" t="s">
        <v>219</v>
      </c>
      <c r="C70" s="584" t="s">
        <v>229</v>
      </c>
      <c r="D70" s="584" t="s">
        <v>220</v>
      </c>
      <c r="E70" s="522"/>
      <c r="F70" s="584" t="s">
        <v>483</v>
      </c>
      <c r="G70" s="586">
        <v>37196</v>
      </c>
      <c r="H70" s="587">
        <v>37256</v>
      </c>
      <c r="K70" s="589">
        <v>0.17549999999999999</v>
      </c>
      <c r="L70" s="584">
        <v>2.4500000000000001E-2</v>
      </c>
      <c r="M70" s="590" t="s">
        <v>226</v>
      </c>
      <c r="N70" s="246"/>
      <c r="O70" s="246"/>
      <c r="P70" s="537"/>
      <c r="Q70" s="246"/>
      <c r="R70" s="246"/>
      <c r="S70" s="246"/>
      <c r="T70" s="246"/>
      <c r="U70" s="246"/>
      <c r="V70" s="246"/>
      <c r="W70" s="246"/>
      <c r="X70" s="594">
        <f>X24*($K70+$L70)-X93</f>
        <v>105299.99999999999</v>
      </c>
      <c r="Y70" s="594">
        <f>Y24*($K70+$L70)-Y93</f>
        <v>108809.99999999999</v>
      </c>
    </row>
    <row r="71" spans="1:32" ht="12.75" customHeight="1" x14ac:dyDescent="0.15">
      <c r="A71" s="523" t="s">
        <v>218</v>
      </c>
      <c r="B71" s="523" t="s">
        <v>219</v>
      </c>
      <c r="C71" s="523" t="s">
        <v>229</v>
      </c>
      <c r="D71" s="523" t="s">
        <v>220</v>
      </c>
      <c r="E71" s="522">
        <v>27581</v>
      </c>
      <c r="F71" s="471" t="s">
        <v>482</v>
      </c>
      <c r="G71" s="541">
        <v>37196</v>
      </c>
      <c r="H71" s="542">
        <v>37225</v>
      </c>
      <c r="K71" s="532">
        <v>4.5400000000000003E-2</v>
      </c>
      <c r="L71" s="523">
        <v>2.46E-2</v>
      </c>
      <c r="M71" s="538"/>
      <c r="N71" s="246"/>
      <c r="O71" s="246"/>
      <c r="P71" s="537"/>
      <c r="Q71" s="246"/>
      <c r="R71" s="246"/>
      <c r="S71" s="246"/>
      <c r="T71" s="246"/>
      <c r="U71" s="246"/>
      <c r="V71" s="246"/>
      <c r="W71" s="246"/>
      <c r="X71" s="524">
        <f>X25*($K71+$L71)-X94</f>
        <v>45370.05</v>
      </c>
      <c r="Y71" s="246"/>
    </row>
    <row r="72" spans="1:32" ht="12.75" customHeight="1" x14ac:dyDescent="0.15">
      <c r="A72" s="523" t="s">
        <v>218</v>
      </c>
      <c r="B72" s="523" t="s">
        <v>219</v>
      </c>
      <c r="C72" s="523" t="s">
        <v>229</v>
      </c>
      <c r="D72" s="523" t="s">
        <v>220</v>
      </c>
      <c r="E72" s="522">
        <v>27581</v>
      </c>
      <c r="F72" s="471" t="s">
        <v>482</v>
      </c>
      <c r="G72" s="541">
        <v>37226</v>
      </c>
      <c r="H72" s="542">
        <v>37256</v>
      </c>
      <c r="K72" s="532">
        <v>4.5400000000000003E-2</v>
      </c>
      <c r="L72" s="523">
        <v>2.46E-2</v>
      </c>
      <c r="M72" s="538"/>
      <c r="N72" s="245"/>
      <c r="O72" s="245"/>
      <c r="P72" s="539"/>
      <c r="Q72" s="245"/>
      <c r="R72" s="245"/>
      <c r="S72" s="245"/>
      <c r="T72" s="245"/>
      <c r="U72" s="245"/>
      <c r="V72" s="245"/>
      <c r="W72" s="245"/>
      <c r="X72" s="245"/>
      <c r="Y72" s="539">
        <f>Y26*($K72+$L72)-Y95</f>
        <v>25041.800000000003</v>
      </c>
    </row>
    <row r="73" spans="1:32" ht="12.75" customHeight="1" x14ac:dyDescent="0.15">
      <c r="I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</row>
    <row r="74" spans="1:32" ht="12.75" customHeight="1" x14ac:dyDescent="0.15">
      <c r="I74" s="242">
        <f>SUM(I54:I73)</f>
        <v>0</v>
      </c>
      <c r="N74" s="242">
        <f>SUM(N54:N72)</f>
        <v>4962993.2359999986</v>
      </c>
      <c r="O74" s="242">
        <f t="shared" ref="O74:Y74" si="34">SUM(O54:O72)</f>
        <v>4623715.3760000011</v>
      </c>
      <c r="P74" s="242">
        <f t="shared" si="34"/>
        <v>5245682.2359999996</v>
      </c>
      <c r="Q74" s="242">
        <f t="shared" si="34"/>
        <v>4966607.1599999992</v>
      </c>
      <c r="R74" s="242">
        <f t="shared" si="34"/>
        <v>5149266.284</v>
      </c>
      <c r="S74" s="242">
        <f t="shared" si="34"/>
        <v>4999555.8</v>
      </c>
      <c r="T74" s="242">
        <f t="shared" si="34"/>
        <v>5182832.339999998</v>
      </c>
      <c r="U74" s="242">
        <f t="shared" si="34"/>
        <v>5166207.6599999992</v>
      </c>
      <c r="V74" s="242">
        <f t="shared" si="34"/>
        <v>4990743.5519999983</v>
      </c>
      <c r="W74" s="242">
        <f t="shared" si="34"/>
        <v>5150748.6543999994</v>
      </c>
      <c r="X74" s="242">
        <f t="shared" si="34"/>
        <v>4329038.0399999991</v>
      </c>
      <c r="Y74" s="242">
        <f t="shared" si="34"/>
        <v>4472486.2499999991</v>
      </c>
      <c r="Z74" s="375">
        <f>SUM(N74:Y74)</f>
        <v>59239876.588399991</v>
      </c>
    </row>
    <row r="76" spans="1:32" ht="12.75" customHeight="1" x14ac:dyDescent="0.15">
      <c r="A76" s="239" t="s">
        <v>218</v>
      </c>
      <c r="B76" s="239" t="s">
        <v>219</v>
      </c>
      <c r="C76" s="239" t="s">
        <v>229</v>
      </c>
      <c r="D76" s="239" t="s">
        <v>223</v>
      </c>
      <c r="E76" s="528">
        <v>26751</v>
      </c>
      <c r="F76" s="450" t="s">
        <v>221</v>
      </c>
      <c r="G76" s="529">
        <v>36557</v>
      </c>
      <c r="H76" s="459">
        <v>36922</v>
      </c>
      <c r="K76" s="251">
        <v>0.10639999999999999</v>
      </c>
      <c r="L76" s="239">
        <v>2.46E-2</v>
      </c>
      <c r="M76" s="241" t="s">
        <v>226</v>
      </c>
      <c r="N76" s="242">
        <f t="shared" ref="N76:Y76" si="35">N31*$L76</f>
        <v>9456.24</v>
      </c>
      <c r="O76" s="242">
        <f t="shared" si="35"/>
        <v>0</v>
      </c>
      <c r="P76" s="242">
        <f t="shared" si="35"/>
        <v>0</v>
      </c>
      <c r="Q76" s="242">
        <f t="shared" si="35"/>
        <v>0</v>
      </c>
      <c r="R76" s="242">
        <f t="shared" si="35"/>
        <v>0</v>
      </c>
      <c r="S76" s="242">
        <f t="shared" si="35"/>
        <v>0</v>
      </c>
      <c r="T76" s="242">
        <f t="shared" si="35"/>
        <v>0</v>
      </c>
      <c r="U76" s="242">
        <f t="shared" si="35"/>
        <v>0</v>
      </c>
      <c r="V76" s="242">
        <f t="shared" si="35"/>
        <v>0</v>
      </c>
      <c r="W76" s="242">
        <f t="shared" si="35"/>
        <v>0</v>
      </c>
      <c r="X76" s="242">
        <f t="shared" si="35"/>
        <v>0</v>
      </c>
      <c r="Y76" s="242">
        <f t="shared" si="35"/>
        <v>0</v>
      </c>
      <c r="AF76" s="375">
        <f>SUM(N76:Y76)</f>
        <v>9456.24</v>
      </c>
    </row>
    <row r="77" spans="1:32" s="558" customFormat="1" ht="12.75" customHeight="1" x14ac:dyDescent="0.15">
      <c r="B77" s="558" t="s">
        <v>468</v>
      </c>
      <c r="C77" s="558" t="s">
        <v>229</v>
      </c>
      <c r="D77" s="558" t="s">
        <v>223</v>
      </c>
      <c r="E77" s="559"/>
      <c r="G77" s="560"/>
      <c r="H77" s="561"/>
      <c r="I77" s="562"/>
      <c r="K77" s="563"/>
      <c r="L77" s="558">
        <v>2.46E-2</v>
      </c>
      <c r="M77" s="564"/>
      <c r="N77" s="562"/>
      <c r="O77" s="562"/>
      <c r="P77" s="562"/>
      <c r="Q77" s="562">
        <f>Q32*$L77</f>
        <v>-68634</v>
      </c>
      <c r="R77" s="562">
        <f>R32*$L77</f>
        <v>-50676</v>
      </c>
      <c r="S77" s="562"/>
      <c r="T77" s="562"/>
      <c r="U77" s="562"/>
      <c r="V77" s="562">
        <f t="shared" ref="N77:Y78" si="36">V32*$L77</f>
        <v>-5904</v>
      </c>
      <c r="W77" s="562"/>
      <c r="X77" s="562"/>
      <c r="Y77" s="562"/>
      <c r="AF77" s="565"/>
    </row>
    <row r="78" spans="1:32" ht="12.75" customHeight="1" x14ac:dyDescent="0.15">
      <c r="A78" s="239" t="s">
        <v>218</v>
      </c>
      <c r="B78" s="239" t="s">
        <v>219</v>
      </c>
      <c r="C78" s="239" t="s">
        <v>229</v>
      </c>
      <c r="D78" s="239" t="s">
        <v>223</v>
      </c>
      <c r="E78" s="244">
        <v>27293</v>
      </c>
      <c r="F78" s="239" t="s">
        <v>239</v>
      </c>
      <c r="G78" s="240">
        <v>36831</v>
      </c>
      <c r="H78" s="525">
        <v>37195</v>
      </c>
      <c r="K78" s="251">
        <v>0.25540000000000002</v>
      </c>
      <c r="L78" s="239">
        <v>2.46E-2</v>
      </c>
      <c r="M78" s="241" t="s">
        <v>226</v>
      </c>
      <c r="N78" s="242">
        <f t="shared" si="36"/>
        <v>23167.788</v>
      </c>
      <c r="O78" s="242">
        <f t="shared" si="36"/>
        <v>19913.207999999999</v>
      </c>
      <c r="P78" s="242">
        <f t="shared" si="36"/>
        <v>19431.047999999999</v>
      </c>
      <c r="Q78" s="242">
        <f t="shared" si="36"/>
        <v>24951.78</v>
      </c>
      <c r="R78" s="242">
        <f t="shared" si="36"/>
        <v>19804.722000000002</v>
      </c>
      <c r="S78" s="242">
        <f t="shared" si="36"/>
        <v>16272.9</v>
      </c>
      <c r="T78" s="242">
        <f t="shared" si="36"/>
        <v>16815.330000000002</v>
      </c>
      <c r="U78" s="242">
        <f t="shared" si="36"/>
        <v>16815.330000000002</v>
      </c>
      <c r="V78" s="242">
        <f t="shared" si="36"/>
        <v>17827.866000000002</v>
      </c>
      <c r="W78" s="242">
        <f t="shared" si="36"/>
        <v>19543.1502</v>
      </c>
      <c r="X78" s="242">
        <f t="shared" si="36"/>
        <v>0</v>
      </c>
      <c r="Y78" s="242">
        <f t="shared" si="36"/>
        <v>0</v>
      </c>
      <c r="AF78" s="375">
        <f t="shared" ref="AF78:AF91" si="37">SUM(N78:Y78)</f>
        <v>194543.12220000004</v>
      </c>
    </row>
    <row r="79" spans="1:32" ht="12.75" customHeight="1" x14ac:dyDescent="0.15">
      <c r="A79" s="239" t="s">
        <v>218</v>
      </c>
      <c r="B79" s="239" t="s">
        <v>219</v>
      </c>
      <c r="C79" s="239" t="s">
        <v>229</v>
      </c>
      <c r="D79" s="239" t="s">
        <v>223</v>
      </c>
      <c r="E79" s="244">
        <v>27252</v>
      </c>
      <c r="F79" s="239" t="s">
        <v>363</v>
      </c>
      <c r="G79" s="423">
        <v>36831</v>
      </c>
      <c r="H79" s="253">
        <v>40482</v>
      </c>
      <c r="K79" s="251">
        <v>0.12540000000000001</v>
      </c>
      <c r="L79" s="239">
        <v>2.46E-2</v>
      </c>
      <c r="M79" s="241" t="s">
        <v>226</v>
      </c>
      <c r="N79" s="242">
        <f t="shared" ref="N79:P82" si="38">N34*$L79</f>
        <v>6619.3680000000004</v>
      </c>
      <c r="O79" s="242">
        <f t="shared" si="38"/>
        <v>5689.4880000000003</v>
      </c>
      <c r="P79" s="242">
        <f t="shared" si="38"/>
        <v>5551.7280000000001</v>
      </c>
      <c r="X79" s="242">
        <f>X34*$L79</f>
        <v>6302.52</v>
      </c>
      <c r="Y79" s="242">
        <f>Y34*$L79</f>
        <v>5338.2</v>
      </c>
      <c r="AF79" s="375">
        <f t="shared" si="37"/>
        <v>29501.304</v>
      </c>
    </row>
    <row r="80" spans="1:32" ht="12.75" customHeight="1" x14ac:dyDescent="0.15">
      <c r="A80" s="239" t="s">
        <v>218</v>
      </c>
      <c r="B80" s="239" t="s">
        <v>219</v>
      </c>
      <c r="C80" s="239" t="s">
        <v>229</v>
      </c>
      <c r="D80" s="239" t="s">
        <v>223</v>
      </c>
      <c r="E80" s="244">
        <v>26490</v>
      </c>
      <c r="F80" s="239" t="s">
        <v>230</v>
      </c>
      <c r="G80" s="240">
        <v>36100</v>
      </c>
      <c r="H80" s="525">
        <v>37925</v>
      </c>
      <c r="K80" s="251">
        <v>0.1154</v>
      </c>
      <c r="L80" s="239">
        <v>2.46E-2</v>
      </c>
      <c r="M80" s="241" t="s">
        <v>226</v>
      </c>
      <c r="N80" s="242">
        <f t="shared" si="38"/>
        <v>33096.840000000004</v>
      </c>
      <c r="O80" s="242">
        <f t="shared" si="38"/>
        <v>28447.439999999999</v>
      </c>
      <c r="P80" s="242">
        <f t="shared" si="38"/>
        <v>27758.639999999999</v>
      </c>
      <c r="Q80" s="242">
        <f t="shared" ref="Q80:W86" si="39">Q35*$L80</f>
        <v>35645.4</v>
      </c>
      <c r="R80" s="242">
        <f t="shared" si="39"/>
        <v>28292.46</v>
      </c>
      <c r="S80" s="242">
        <f t="shared" si="39"/>
        <v>23247</v>
      </c>
      <c r="T80" s="242">
        <f t="shared" si="39"/>
        <v>24021.9</v>
      </c>
      <c r="U80" s="242">
        <f t="shared" si="39"/>
        <v>24021.9</v>
      </c>
      <c r="V80" s="242">
        <f t="shared" si="39"/>
        <v>25468.38</v>
      </c>
      <c r="W80" s="242">
        <f t="shared" si="39"/>
        <v>27918.786</v>
      </c>
      <c r="X80" s="242">
        <v>0</v>
      </c>
      <c r="Y80" s="242">
        <v>0</v>
      </c>
      <c r="AF80" s="375">
        <f t="shared" si="37"/>
        <v>277918.74599999998</v>
      </c>
    </row>
    <row r="81" spans="1:32" ht="12.75" customHeight="1" x14ac:dyDescent="0.15">
      <c r="A81" s="239" t="s">
        <v>218</v>
      </c>
      <c r="B81" s="239" t="s">
        <v>219</v>
      </c>
      <c r="C81" s="239" t="s">
        <v>229</v>
      </c>
      <c r="D81" s="239" t="s">
        <v>223</v>
      </c>
      <c r="E81" s="243">
        <v>8255</v>
      </c>
      <c r="F81" s="239" t="s">
        <v>231</v>
      </c>
      <c r="H81" s="253">
        <v>38656</v>
      </c>
      <c r="K81" s="251">
        <f>0.3232+0.0686+0.003+0.0051+0.0007</f>
        <v>0.40059999999999996</v>
      </c>
      <c r="L81" s="239">
        <v>3.4299999999999997E-2</v>
      </c>
      <c r="M81" s="241" t="s">
        <v>232</v>
      </c>
      <c r="N81" s="242">
        <f t="shared" si="38"/>
        <v>236818.17599999998</v>
      </c>
      <c r="O81" s="242">
        <f t="shared" si="38"/>
        <v>205083.81599999999</v>
      </c>
      <c r="P81" s="242">
        <f t="shared" si="38"/>
        <v>204281.196</v>
      </c>
      <c r="Q81" s="242">
        <f t="shared" si="39"/>
        <v>251220.05999999994</v>
      </c>
      <c r="R81" s="242">
        <f t="shared" si="39"/>
        <v>207534.89399999997</v>
      </c>
      <c r="S81" s="242">
        <f t="shared" si="39"/>
        <v>175650.3</v>
      </c>
      <c r="T81" s="242">
        <f t="shared" si="39"/>
        <v>181505.31</v>
      </c>
      <c r="U81" s="242">
        <f t="shared" si="39"/>
        <v>181505.31</v>
      </c>
      <c r="V81" s="242">
        <f t="shared" si="39"/>
        <v>189189.88199999998</v>
      </c>
      <c r="W81" s="242">
        <f t="shared" si="39"/>
        <v>205257.30539999998</v>
      </c>
      <c r="X81" s="242">
        <f t="shared" ref="X81:Y86" si="40">X36*$L81</f>
        <v>226030.13999999998</v>
      </c>
      <c r="Y81" s="242">
        <f t="shared" si="40"/>
        <v>197773.8</v>
      </c>
      <c r="AF81" s="375"/>
    </row>
    <row r="82" spans="1:32" ht="12.75" customHeight="1" x14ac:dyDescent="0.15">
      <c r="A82" s="239" t="s">
        <v>218</v>
      </c>
      <c r="B82" s="239" t="s">
        <v>219</v>
      </c>
      <c r="C82" s="239" t="s">
        <v>229</v>
      </c>
      <c r="D82" s="239" t="s">
        <v>223</v>
      </c>
      <c r="E82" s="243">
        <v>25841</v>
      </c>
      <c r="F82" s="239" t="s">
        <v>233</v>
      </c>
      <c r="G82" s="240">
        <v>36557</v>
      </c>
      <c r="H82" s="253">
        <v>37560</v>
      </c>
      <c r="K82" s="251">
        <v>8.2900000000000001E-2</v>
      </c>
      <c r="L82" s="239">
        <v>2.46E-2</v>
      </c>
      <c r="M82" s="241" t="s">
        <v>226</v>
      </c>
      <c r="N82" s="242">
        <f t="shared" si="38"/>
        <v>18912.48</v>
      </c>
      <c r="O82" s="242">
        <f t="shared" si="38"/>
        <v>16255.68</v>
      </c>
      <c r="P82" s="242">
        <f t="shared" si="38"/>
        <v>15862.08</v>
      </c>
      <c r="Q82" s="242">
        <f t="shared" si="39"/>
        <v>20368.799999999996</v>
      </c>
      <c r="R82" s="242">
        <f t="shared" si="39"/>
        <v>16167.12</v>
      </c>
      <c r="S82" s="242">
        <f t="shared" si="39"/>
        <v>13284</v>
      </c>
      <c r="T82" s="242">
        <f t="shared" si="39"/>
        <v>13726.800000000001</v>
      </c>
      <c r="U82" s="242">
        <f t="shared" si="39"/>
        <v>13726.800000000001</v>
      </c>
      <c r="V82" s="242">
        <f t="shared" si="39"/>
        <v>14553.36</v>
      </c>
      <c r="W82" s="242">
        <f t="shared" si="39"/>
        <v>15953.592000000001</v>
      </c>
      <c r="X82" s="242">
        <f t="shared" si="40"/>
        <v>18007.2</v>
      </c>
      <c r="Y82" s="242">
        <f t="shared" si="40"/>
        <v>15252</v>
      </c>
      <c r="AF82" s="375">
        <f t="shared" si="37"/>
        <v>192069.91200000001</v>
      </c>
    </row>
    <row r="83" spans="1:32" ht="12.75" customHeight="1" x14ac:dyDescent="0.15">
      <c r="A83" s="450" t="s">
        <v>218</v>
      </c>
      <c r="B83" s="450" t="s">
        <v>219</v>
      </c>
      <c r="C83" s="450" t="s">
        <v>229</v>
      </c>
      <c r="D83" s="450" t="s">
        <v>223</v>
      </c>
      <c r="E83" s="522">
        <v>27340</v>
      </c>
      <c r="F83" s="523" t="s">
        <v>429</v>
      </c>
      <c r="G83" s="526" t="s">
        <v>430</v>
      </c>
      <c r="H83" s="525">
        <v>37287</v>
      </c>
      <c r="K83" s="532">
        <v>0.3453</v>
      </c>
      <c r="L83" s="523">
        <v>3.1600000000000003E-2</v>
      </c>
      <c r="M83" s="454" t="s">
        <v>226</v>
      </c>
      <c r="O83" s="452">
        <f t="shared" ref="O83:P86" si="41">O38*$L83</f>
        <v>10440.640000000001</v>
      </c>
      <c r="P83" s="452">
        <f t="shared" si="41"/>
        <v>10187.84</v>
      </c>
      <c r="Q83" s="452">
        <f t="shared" si="39"/>
        <v>13082.4</v>
      </c>
      <c r="R83" s="452">
        <f t="shared" si="39"/>
        <v>10383.76</v>
      </c>
      <c r="S83" s="452">
        <f t="shared" si="39"/>
        <v>8532</v>
      </c>
      <c r="T83" s="452">
        <f t="shared" si="39"/>
        <v>8816.4000000000015</v>
      </c>
      <c r="U83" s="452">
        <f t="shared" si="39"/>
        <v>8816.4000000000015</v>
      </c>
      <c r="V83" s="452">
        <f t="shared" si="39"/>
        <v>9347.2800000000007</v>
      </c>
      <c r="W83" s="452">
        <f t="shared" si="39"/>
        <v>10246.616000000002</v>
      </c>
      <c r="X83" s="452">
        <f t="shared" si="40"/>
        <v>11565.6</v>
      </c>
      <c r="Y83" s="452">
        <f t="shared" si="40"/>
        <v>9796.0000000000018</v>
      </c>
      <c r="AC83" s="375">
        <f>SUM(N83:Y83)</f>
        <v>111214.93600000002</v>
      </c>
      <c r="AD83" s="375">
        <f>AC83</f>
        <v>111214.93600000002</v>
      </c>
      <c r="AF83" s="375"/>
    </row>
    <row r="84" spans="1:32" ht="12.75" customHeight="1" x14ac:dyDescent="0.15">
      <c r="A84" s="239" t="s">
        <v>218</v>
      </c>
      <c r="B84" s="239" t="s">
        <v>219</v>
      </c>
      <c r="C84" s="239" t="s">
        <v>229</v>
      </c>
      <c r="D84" s="239" t="s">
        <v>223</v>
      </c>
      <c r="E84" s="243">
        <v>26511</v>
      </c>
      <c r="F84" s="239" t="s">
        <v>233</v>
      </c>
      <c r="G84" s="240">
        <v>36465</v>
      </c>
      <c r="H84" s="253">
        <v>37560</v>
      </c>
      <c r="K84" s="251">
        <v>8.2900000000000001E-2</v>
      </c>
      <c r="L84" s="239">
        <v>2.46E-2</v>
      </c>
      <c r="M84" s="241" t="s">
        <v>226</v>
      </c>
      <c r="N84" s="242">
        <f>N39*$L84</f>
        <v>9929.0519999999997</v>
      </c>
      <c r="O84" s="242">
        <f t="shared" si="41"/>
        <v>8534.232</v>
      </c>
      <c r="P84" s="242">
        <f t="shared" si="41"/>
        <v>8327.5920000000006</v>
      </c>
      <c r="Q84" s="242">
        <f t="shared" si="39"/>
        <v>10693.619999999999</v>
      </c>
      <c r="R84" s="242">
        <f t="shared" si="39"/>
        <v>13825.938</v>
      </c>
      <c r="S84" s="242">
        <f t="shared" si="39"/>
        <v>12140.1</v>
      </c>
      <c r="T84" s="242">
        <f t="shared" si="39"/>
        <v>7206.57</v>
      </c>
      <c r="U84" s="242">
        <f t="shared" si="39"/>
        <v>12544.77</v>
      </c>
      <c r="V84" s="242">
        <f t="shared" si="39"/>
        <v>12806.514000000001</v>
      </c>
      <c r="W84" s="242">
        <f t="shared" si="39"/>
        <v>13713.835800000001</v>
      </c>
      <c r="X84" s="242">
        <f t="shared" si="40"/>
        <v>14619.78</v>
      </c>
      <c r="Y84" s="242">
        <f t="shared" si="40"/>
        <v>13345.5</v>
      </c>
      <c r="AD84" s="375">
        <f t="shared" ref="AD84:AD89" si="42">AC84</f>
        <v>0</v>
      </c>
      <c r="AF84" s="375">
        <f t="shared" si="37"/>
        <v>137687.50380000001</v>
      </c>
    </row>
    <row r="85" spans="1:32" ht="12.75" customHeight="1" x14ac:dyDescent="0.15">
      <c r="A85" s="239" t="s">
        <v>218</v>
      </c>
      <c r="B85" s="239" t="s">
        <v>219</v>
      </c>
      <c r="C85" s="239" t="s">
        <v>229</v>
      </c>
      <c r="D85" s="239" t="s">
        <v>223</v>
      </c>
      <c r="E85" s="243">
        <v>26683</v>
      </c>
      <c r="F85" s="239" t="s">
        <v>235</v>
      </c>
      <c r="G85" s="240">
        <v>36220</v>
      </c>
      <c r="H85" s="525">
        <v>37346</v>
      </c>
      <c r="K85" s="251">
        <v>0.12740000000000001</v>
      </c>
      <c r="L85" s="239">
        <v>2.46E-2</v>
      </c>
      <c r="M85" s="241" t="s">
        <v>226</v>
      </c>
      <c r="N85" s="242">
        <f>N40*$L85</f>
        <v>3782.4960000000001</v>
      </c>
      <c r="O85" s="242">
        <f t="shared" si="41"/>
        <v>3251.136</v>
      </c>
      <c r="P85" s="242">
        <f t="shared" si="41"/>
        <v>3172.4160000000002</v>
      </c>
      <c r="Q85" s="242">
        <f t="shared" si="39"/>
        <v>0</v>
      </c>
      <c r="R85" s="242">
        <f t="shared" si="39"/>
        <v>0</v>
      </c>
      <c r="S85" s="242">
        <f t="shared" si="39"/>
        <v>0</v>
      </c>
      <c r="T85" s="242">
        <f t="shared" si="39"/>
        <v>0</v>
      </c>
      <c r="U85" s="242">
        <f t="shared" si="39"/>
        <v>0</v>
      </c>
      <c r="V85" s="242">
        <f t="shared" si="39"/>
        <v>0</v>
      </c>
      <c r="W85" s="242">
        <f t="shared" si="39"/>
        <v>0</v>
      </c>
      <c r="X85" s="242">
        <f t="shared" si="40"/>
        <v>0</v>
      </c>
      <c r="Y85" s="242">
        <f t="shared" si="40"/>
        <v>0</v>
      </c>
      <c r="AD85" s="375">
        <f t="shared" si="42"/>
        <v>0</v>
      </c>
      <c r="AF85" s="375">
        <f t="shared" si="37"/>
        <v>10206.047999999999</v>
      </c>
    </row>
    <row r="86" spans="1:32" ht="12.75" customHeight="1" x14ac:dyDescent="0.15">
      <c r="A86" s="239" t="s">
        <v>218</v>
      </c>
      <c r="B86" s="239" t="s">
        <v>219</v>
      </c>
      <c r="C86" s="239" t="s">
        <v>229</v>
      </c>
      <c r="D86" s="239" t="s">
        <v>223</v>
      </c>
      <c r="E86" s="243">
        <v>26758</v>
      </c>
      <c r="F86" s="239" t="s">
        <v>236</v>
      </c>
      <c r="G86" s="240">
        <v>36647</v>
      </c>
      <c r="H86" s="253">
        <v>38472</v>
      </c>
      <c r="K86" s="251">
        <v>8.6599999999999996E-2</v>
      </c>
      <c r="L86" s="239">
        <v>2.46E-2</v>
      </c>
      <c r="M86" s="241" t="s">
        <v>226</v>
      </c>
      <c r="N86" s="242">
        <f>N41*$L86</f>
        <v>18912.48</v>
      </c>
      <c r="O86" s="242">
        <f t="shared" si="41"/>
        <v>16255.68</v>
      </c>
      <c r="P86" s="242">
        <f t="shared" si="41"/>
        <v>15862.08</v>
      </c>
      <c r="Q86" s="242">
        <f t="shared" si="39"/>
        <v>20368.799999999996</v>
      </c>
      <c r="R86" s="242">
        <f t="shared" si="39"/>
        <v>25318.32</v>
      </c>
      <c r="S86" s="242">
        <f t="shared" si="39"/>
        <v>22140</v>
      </c>
      <c r="T86" s="242">
        <f t="shared" si="39"/>
        <v>13879.32</v>
      </c>
      <c r="U86" s="242">
        <f t="shared" si="39"/>
        <v>22878</v>
      </c>
      <c r="V86" s="242">
        <f t="shared" si="39"/>
        <v>23409.360000000001</v>
      </c>
      <c r="W86" s="242">
        <f t="shared" si="39"/>
        <v>25104.792000000001</v>
      </c>
      <c r="X86" s="242">
        <f t="shared" si="40"/>
        <v>26863.200000000001</v>
      </c>
      <c r="Y86" s="242">
        <f t="shared" si="40"/>
        <v>24403.200000000001</v>
      </c>
      <c r="AD86" s="375">
        <f t="shared" si="42"/>
        <v>0</v>
      </c>
      <c r="AF86" s="375">
        <f t="shared" si="37"/>
        <v>255395.23200000008</v>
      </c>
    </row>
    <row r="87" spans="1:32" ht="12.75" customHeight="1" x14ac:dyDescent="0.15">
      <c r="A87" s="450" t="s">
        <v>218</v>
      </c>
      <c r="B87" s="450" t="s">
        <v>219</v>
      </c>
      <c r="C87" s="450" t="s">
        <v>229</v>
      </c>
      <c r="D87" s="450" t="s">
        <v>223</v>
      </c>
      <c r="E87" s="522">
        <v>26490</v>
      </c>
      <c r="F87" s="523" t="s">
        <v>230</v>
      </c>
      <c r="G87" s="523" t="s">
        <v>434</v>
      </c>
      <c r="H87" s="525">
        <v>37925</v>
      </c>
      <c r="K87" s="453">
        <v>0.12540000000000001</v>
      </c>
      <c r="L87" s="450">
        <v>2.46E-2</v>
      </c>
      <c r="M87" s="454" t="s">
        <v>226</v>
      </c>
      <c r="X87" s="242">
        <f>X35*$L87</f>
        <v>31512.600000000002</v>
      </c>
      <c r="Y87" s="242">
        <f>Y35*$L87</f>
        <v>26691</v>
      </c>
      <c r="AC87" s="375">
        <f>SUM(N87:Y87)</f>
        <v>58203.600000000006</v>
      </c>
      <c r="AD87" s="375">
        <f t="shared" si="42"/>
        <v>58203.600000000006</v>
      </c>
      <c r="AF87" s="375"/>
    </row>
    <row r="88" spans="1:32" ht="12.75" customHeight="1" x14ac:dyDescent="0.15">
      <c r="A88" s="450" t="s">
        <v>218</v>
      </c>
      <c r="B88" s="450" t="s">
        <v>219</v>
      </c>
      <c r="C88" s="450" t="s">
        <v>229</v>
      </c>
      <c r="D88" s="450" t="s">
        <v>223</v>
      </c>
      <c r="E88" s="522">
        <v>26683</v>
      </c>
      <c r="F88" s="523" t="s">
        <v>235</v>
      </c>
      <c r="G88" s="523" t="s">
        <v>434</v>
      </c>
      <c r="H88" s="525">
        <v>37346</v>
      </c>
      <c r="I88" s="524"/>
      <c r="K88" s="453">
        <v>0.12540000000000001</v>
      </c>
      <c r="L88" s="450">
        <v>2.46E-2</v>
      </c>
      <c r="M88" s="454" t="s">
        <v>226</v>
      </c>
      <c r="Q88" s="452">
        <f t="shared" ref="Q88:Y88" si="43">Q42*$L88</f>
        <v>4073.76</v>
      </c>
      <c r="R88" s="452">
        <f t="shared" si="43"/>
        <v>3233.424</v>
      </c>
      <c r="S88" s="452">
        <f t="shared" si="43"/>
        <v>2656.8</v>
      </c>
      <c r="T88" s="452">
        <f t="shared" si="43"/>
        <v>2745.36</v>
      </c>
      <c r="U88" s="452">
        <f t="shared" si="43"/>
        <v>2745.36</v>
      </c>
      <c r="V88" s="452">
        <f t="shared" si="43"/>
        <v>2910.672</v>
      </c>
      <c r="W88" s="452">
        <f t="shared" si="43"/>
        <v>3190.7184000000002</v>
      </c>
      <c r="X88" s="452">
        <f t="shared" si="43"/>
        <v>3601.44</v>
      </c>
      <c r="Y88" s="452">
        <f t="shared" si="43"/>
        <v>3050.4</v>
      </c>
      <c r="AC88" s="375">
        <f>SUM(N88:Y88)</f>
        <v>28207.934400000002</v>
      </c>
      <c r="AD88" s="375">
        <f t="shared" si="42"/>
        <v>28207.934400000002</v>
      </c>
      <c r="AF88" s="375"/>
    </row>
    <row r="89" spans="1:32" ht="12.75" customHeight="1" x14ac:dyDescent="0.15">
      <c r="A89" s="471" t="s">
        <v>218</v>
      </c>
      <c r="B89" s="471" t="s">
        <v>219</v>
      </c>
      <c r="C89" s="471" t="s">
        <v>229</v>
      </c>
      <c r="D89" s="471" t="s">
        <v>223</v>
      </c>
      <c r="E89" s="451"/>
      <c r="F89" s="471" t="s">
        <v>235</v>
      </c>
      <c r="G89" s="450"/>
      <c r="K89" s="474">
        <v>0.2054</v>
      </c>
      <c r="L89" s="471">
        <v>2.46E-2</v>
      </c>
      <c r="M89" s="475" t="s">
        <v>226</v>
      </c>
      <c r="Q89" s="473">
        <f t="shared" ref="Q89:W90" si="44">Q43*$L89</f>
        <v>7129.08</v>
      </c>
      <c r="R89" s="473">
        <f t="shared" si="44"/>
        <v>5658.4920000000002</v>
      </c>
      <c r="S89" s="473">
        <f t="shared" si="44"/>
        <v>4649.3999999999996</v>
      </c>
      <c r="T89" s="473">
        <f t="shared" si="44"/>
        <v>4804.38</v>
      </c>
      <c r="U89" s="473">
        <f t="shared" si="44"/>
        <v>4804.38</v>
      </c>
      <c r="V89" s="473">
        <f t="shared" si="44"/>
        <v>5093.6760000000004</v>
      </c>
      <c r="W89" s="473">
        <f t="shared" si="44"/>
        <v>5583.7572</v>
      </c>
      <c r="X89" s="452"/>
      <c r="Y89" s="452"/>
      <c r="AD89" s="375">
        <f t="shared" si="42"/>
        <v>0</v>
      </c>
      <c r="AF89" s="375"/>
    </row>
    <row r="90" spans="1:32" ht="12.75" customHeight="1" x14ac:dyDescent="0.15">
      <c r="A90" s="239" t="s">
        <v>218</v>
      </c>
      <c r="B90" s="239" t="s">
        <v>219</v>
      </c>
      <c r="C90" s="239" t="s">
        <v>229</v>
      </c>
      <c r="D90" s="239" t="s">
        <v>223</v>
      </c>
      <c r="E90" s="243">
        <v>26819</v>
      </c>
      <c r="F90" s="239" t="s">
        <v>240</v>
      </c>
      <c r="G90" s="240">
        <v>36647</v>
      </c>
      <c r="H90" s="253">
        <v>38472</v>
      </c>
      <c r="K90" s="251">
        <v>9.5399999999999999E-2</v>
      </c>
      <c r="L90" s="239">
        <v>2.46E-2</v>
      </c>
      <c r="M90" s="241" t="s">
        <v>226</v>
      </c>
      <c r="N90" s="242">
        <f>N44*$L90</f>
        <v>4728.12</v>
      </c>
      <c r="O90" s="242">
        <f>O44*$L90</f>
        <v>4063.92</v>
      </c>
      <c r="P90" s="242">
        <f>P44*$L90</f>
        <v>3965.52</v>
      </c>
      <c r="Q90" s="242">
        <f t="shared" si="44"/>
        <v>5092.1999999999989</v>
      </c>
      <c r="R90" s="242">
        <f t="shared" si="44"/>
        <v>6329.58</v>
      </c>
      <c r="S90" s="242">
        <f t="shared" si="44"/>
        <v>5535</v>
      </c>
      <c r="T90" s="242">
        <f t="shared" si="44"/>
        <v>3431.7000000000003</v>
      </c>
      <c r="U90" s="242">
        <f t="shared" si="44"/>
        <v>5719.5</v>
      </c>
      <c r="V90" s="242">
        <f t="shared" si="44"/>
        <v>5852.34</v>
      </c>
      <c r="W90" s="242">
        <f t="shared" si="44"/>
        <v>6276.1980000000003</v>
      </c>
      <c r="X90" s="242">
        <f>X44*$L90</f>
        <v>6715.8</v>
      </c>
      <c r="Y90" s="242">
        <f>Y44*$L90</f>
        <v>6100.8</v>
      </c>
      <c r="AF90" s="375">
        <f t="shared" si="37"/>
        <v>63810.678000000014</v>
      </c>
    </row>
    <row r="91" spans="1:32" ht="12.75" customHeight="1" x14ac:dyDescent="0.15">
      <c r="A91" s="523" t="s">
        <v>218</v>
      </c>
      <c r="B91" s="523" t="s">
        <v>219</v>
      </c>
      <c r="C91" s="523" t="s">
        <v>229</v>
      </c>
      <c r="D91" s="523" t="s">
        <v>223</v>
      </c>
      <c r="E91" s="522">
        <v>27352</v>
      </c>
      <c r="F91" s="523" t="s">
        <v>239</v>
      </c>
      <c r="G91" s="533">
        <v>37196</v>
      </c>
      <c r="H91" s="525">
        <v>37560</v>
      </c>
      <c r="I91" s="524"/>
      <c r="K91" s="532">
        <v>0.27539999999999998</v>
      </c>
      <c r="L91" s="523">
        <v>2.46E-2</v>
      </c>
      <c r="M91" s="241" t="s">
        <v>226</v>
      </c>
      <c r="X91" s="524">
        <f>X45*$L91</f>
        <v>9678.8700000000008</v>
      </c>
      <c r="Y91" s="524">
        <f>Y45*$L91</f>
        <v>8197.9500000000007</v>
      </c>
      <c r="AF91" s="375">
        <f t="shared" si="37"/>
        <v>17876.82</v>
      </c>
    </row>
    <row r="92" spans="1:32" ht="12.75" customHeight="1" x14ac:dyDescent="0.15">
      <c r="A92" s="523" t="s">
        <v>218</v>
      </c>
      <c r="B92" s="523" t="s">
        <v>219</v>
      </c>
      <c r="C92" s="523" t="s">
        <v>229</v>
      </c>
      <c r="D92" s="523" t="s">
        <v>223</v>
      </c>
      <c r="E92" s="522">
        <v>27427</v>
      </c>
      <c r="F92" s="523" t="s">
        <v>437</v>
      </c>
      <c r="G92" s="533">
        <v>36951</v>
      </c>
      <c r="H92" s="525">
        <v>36981</v>
      </c>
      <c r="K92" s="532">
        <v>0.3453</v>
      </c>
      <c r="L92" s="523">
        <v>3.1600000000000003E-2</v>
      </c>
      <c r="M92" s="538" t="s">
        <v>232</v>
      </c>
      <c r="N92" s="246"/>
      <c r="O92" s="246"/>
      <c r="P92" s="537">
        <f>P46*$L92</f>
        <v>5093.92</v>
      </c>
      <c r="Q92" s="246"/>
      <c r="R92" s="246"/>
      <c r="S92" s="246"/>
      <c r="T92" s="246"/>
      <c r="U92" s="246"/>
      <c r="V92" s="246"/>
      <c r="W92" s="246"/>
      <c r="X92" s="246"/>
      <c r="Y92" s="246"/>
    </row>
    <row r="93" spans="1:32" ht="12.75" customHeight="1" x14ac:dyDescent="0.15">
      <c r="A93" s="584" t="s">
        <v>218</v>
      </c>
      <c r="B93" s="584" t="s">
        <v>219</v>
      </c>
      <c r="C93" s="584" t="s">
        <v>229</v>
      </c>
      <c r="D93" s="584" t="s">
        <v>223</v>
      </c>
      <c r="E93" s="522"/>
      <c r="F93" s="584" t="s">
        <v>483</v>
      </c>
      <c r="G93" s="586">
        <v>37196</v>
      </c>
      <c r="H93" s="587">
        <v>37256</v>
      </c>
      <c r="K93" s="589">
        <v>0.17549999999999999</v>
      </c>
      <c r="L93" s="584">
        <v>2.4500000000000001E-2</v>
      </c>
      <c r="M93" s="590" t="s">
        <v>226</v>
      </c>
      <c r="N93" s="246"/>
      <c r="O93" s="246"/>
      <c r="P93" s="537"/>
      <c r="Q93" s="246"/>
      <c r="R93" s="246"/>
      <c r="S93" s="246"/>
      <c r="T93" s="246"/>
      <c r="U93" s="246"/>
      <c r="V93" s="246"/>
      <c r="W93" s="246"/>
      <c r="X93" s="594">
        <f>X47*$L93</f>
        <v>14700</v>
      </c>
      <c r="Y93" s="594">
        <f>Y47*$L93</f>
        <v>15190</v>
      </c>
    </row>
    <row r="94" spans="1:32" ht="12.75" customHeight="1" x14ac:dyDescent="0.15">
      <c r="A94" s="523" t="s">
        <v>218</v>
      </c>
      <c r="B94" s="523" t="s">
        <v>219</v>
      </c>
      <c r="C94" s="523" t="s">
        <v>229</v>
      </c>
      <c r="D94" s="523" t="s">
        <v>223</v>
      </c>
      <c r="E94" s="522">
        <v>27581</v>
      </c>
      <c r="F94" s="471" t="s">
        <v>439</v>
      </c>
      <c r="G94" s="541">
        <v>37196</v>
      </c>
      <c r="H94" s="542">
        <v>37225</v>
      </c>
      <c r="K94" s="532">
        <v>4.5400000000000003E-2</v>
      </c>
      <c r="L94" s="523">
        <v>2.46E-2</v>
      </c>
      <c r="M94" s="538"/>
      <c r="N94" s="246"/>
      <c r="O94" s="246"/>
      <c r="P94" s="537"/>
      <c r="Q94" s="246"/>
      <c r="R94" s="246"/>
      <c r="S94" s="246"/>
      <c r="T94" s="246"/>
      <c r="U94" s="246"/>
      <c r="V94" s="246"/>
      <c r="W94" s="246"/>
      <c r="X94" s="524">
        <f>X48*$L94</f>
        <v>12379.95</v>
      </c>
      <c r="Y94" s="246"/>
    </row>
    <row r="95" spans="1:32" ht="12.75" customHeight="1" x14ac:dyDescent="0.15">
      <c r="A95" s="523" t="s">
        <v>218</v>
      </c>
      <c r="B95" s="523" t="s">
        <v>219</v>
      </c>
      <c r="C95" s="523" t="s">
        <v>229</v>
      </c>
      <c r="D95" s="523" t="s">
        <v>223</v>
      </c>
      <c r="E95" s="522">
        <v>27581</v>
      </c>
      <c r="F95" s="471" t="s">
        <v>439</v>
      </c>
      <c r="G95" s="541">
        <v>37226</v>
      </c>
      <c r="H95" s="542">
        <v>37256</v>
      </c>
      <c r="K95" s="532">
        <v>4.5400000000000003E-2</v>
      </c>
      <c r="L95" s="523">
        <v>2.46E-2</v>
      </c>
      <c r="M95" s="538"/>
      <c r="N95" s="245"/>
      <c r="O95" s="245"/>
      <c r="P95" s="539"/>
      <c r="Q95" s="245"/>
      <c r="R95" s="245"/>
      <c r="S95" s="245"/>
      <c r="T95" s="245"/>
      <c r="U95" s="245"/>
      <c r="V95" s="245"/>
      <c r="W95" s="245"/>
      <c r="X95" s="245"/>
      <c r="Y95" s="539">
        <f>Y49*$L95</f>
        <v>5338.2</v>
      </c>
    </row>
    <row r="96" spans="1:32" ht="12.75" customHeight="1" x14ac:dyDescent="0.15">
      <c r="I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</row>
    <row r="97" spans="1:31" ht="12.75" customHeight="1" x14ac:dyDescent="0.15">
      <c r="I97" s="242">
        <f>SUM(I76:I96)</f>
        <v>0</v>
      </c>
      <c r="N97" s="242">
        <f>SUM(N76:N95)</f>
        <v>365423.04</v>
      </c>
      <c r="O97" s="242">
        <f>SUM(O76:O95)</f>
        <v>317935.24</v>
      </c>
      <c r="P97" s="242">
        <f t="shared" ref="P97:Y97" si="45">SUM(P76:P95)</f>
        <v>319494.06000000006</v>
      </c>
      <c r="Q97" s="242">
        <f t="shared" si="45"/>
        <v>323991.89999999997</v>
      </c>
      <c r="R97" s="242">
        <f t="shared" si="45"/>
        <v>285872.71000000002</v>
      </c>
      <c r="S97" s="242">
        <f t="shared" si="45"/>
        <v>284107.5</v>
      </c>
      <c r="T97" s="242">
        <f t="shared" si="45"/>
        <v>276953.07</v>
      </c>
      <c r="U97" s="242">
        <f t="shared" si="45"/>
        <v>293577.75</v>
      </c>
      <c r="V97" s="242">
        <f t="shared" si="45"/>
        <v>300555.32999999996</v>
      </c>
      <c r="W97" s="242">
        <f t="shared" si="45"/>
        <v>332788.75099999993</v>
      </c>
      <c r="X97" s="242">
        <f t="shared" si="45"/>
        <v>381977.1</v>
      </c>
      <c r="Y97" s="242">
        <f t="shared" si="45"/>
        <v>330477.05000000005</v>
      </c>
      <c r="Z97" s="375">
        <f>SUM(N97:Y97)</f>
        <v>3813153.5010000002</v>
      </c>
      <c r="AE97" s="375">
        <f>Z97</f>
        <v>3813153.5010000002</v>
      </c>
    </row>
    <row r="99" spans="1:31" ht="12.75" customHeight="1" x14ac:dyDescent="0.15">
      <c r="A99" s="239" t="s">
        <v>218</v>
      </c>
      <c r="B99" s="239" t="s">
        <v>219</v>
      </c>
      <c r="C99" s="239" t="s">
        <v>362</v>
      </c>
      <c r="D99" s="239" t="s">
        <v>228</v>
      </c>
      <c r="W99" s="242">
        <v>35000</v>
      </c>
      <c r="X99" s="242">
        <v>35000</v>
      </c>
      <c r="Y99" s="242">
        <v>65000</v>
      </c>
    </row>
    <row r="100" spans="1:31" ht="12.75" customHeight="1" x14ac:dyDescent="0.15">
      <c r="A100" s="239" t="s">
        <v>218</v>
      </c>
      <c r="B100" s="239" t="s">
        <v>219</v>
      </c>
      <c r="C100" s="239" t="s">
        <v>362</v>
      </c>
      <c r="D100" s="239" t="s">
        <v>157</v>
      </c>
      <c r="W100" s="468">
        <v>0.02</v>
      </c>
      <c r="X100" s="468">
        <v>0.02</v>
      </c>
      <c r="Y100" s="468">
        <v>0.02</v>
      </c>
    </row>
    <row r="101" spans="1:31" ht="12.75" customHeight="1" x14ac:dyDescent="0.15">
      <c r="A101" s="239" t="s">
        <v>218</v>
      </c>
      <c r="B101" s="239" t="s">
        <v>219</v>
      </c>
      <c r="C101" s="239" t="s">
        <v>362</v>
      </c>
      <c r="D101" s="239" t="s">
        <v>229</v>
      </c>
      <c r="W101" s="242">
        <f>W99*W100*W1</f>
        <v>21700</v>
      </c>
      <c r="X101" s="242">
        <f>X99*X100*X1</f>
        <v>21000</v>
      </c>
      <c r="Y101" s="242">
        <f>Y99*Y100*Y1</f>
        <v>40300</v>
      </c>
      <c r="Z101" s="375">
        <f>SUM(W101:Y101)</f>
        <v>83000</v>
      </c>
    </row>
    <row r="104" spans="1:31" ht="12.75" customHeight="1" x14ac:dyDescent="0.15">
      <c r="A104" s="239" t="s">
        <v>218</v>
      </c>
      <c r="B104" s="239" t="s">
        <v>219</v>
      </c>
      <c r="C104" s="239" t="s">
        <v>293</v>
      </c>
      <c r="E104" s="243">
        <v>8255</v>
      </c>
      <c r="F104" s="239" t="s">
        <v>231</v>
      </c>
      <c r="I104" s="242">
        <v>306000</v>
      </c>
      <c r="K104" s="251">
        <v>6.8599999999999994E-2</v>
      </c>
      <c r="N104" s="242">
        <f t="shared" ref="N104:W104" si="46">$I$104*$K$104*N$1</f>
        <v>650739.6</v>
      </c>
      <c r="O104" s="242">
        <f t="shared" si="46"/>
        <v>587764.79999999993</v>
      </c>
      <c r="P104" s="242">
        <f t="shared" si="46"/>
        <v>650739.6</v>
      </c>
      <c r="Q104" s="242">
        <f t="shared" si="46"/>
        <v>629748</v>
      </c>
      <c r="R104" s="242">
        <f t="shared" si="46"/>
        <v>650739.6</v>
      </c>
      <c r="S104" s="242">
        <f t="shared" si="46"/>
        <v>629748</v>
      </c>
      <c r="T104" s="242">
        <f t="shared" si="46"/>
        <v>650739.6</v>
      </c>
      <c r="U104" s="242">
        <f t="shared" si="46"/>
        <v>650739.6</v>
      </c>
      <c r="V104" s="242">
        <f t="shared" si="46"/>
        <v>629748</v>
      </c>
      <c r="W104" s="242">
        <f t="shared" si="46"/>
        <v>650739.6</v>
      </c>
      <c r="Z104" s="375">
        <f>SUM(N104:Y104)</f>
        <v>6381446.3999999994</v>
      </c>
    </row>
    <row r="107" spans="1:31" ht="12.75" customHeight="1" x14ac:dyDescent="0.15">
      <c r="A107" s="239" t="s">
        <v>218</v>
      </c>
      <c r="B107" s="239" t="s">
        <v>219</v>
      </c>
      <c r="C107" s="239" t="s">
        <v>294</v>
      </c>
      <c r="E107" s="243">
        <v>26683</v>
      </c>
      <c r="F107" s="239" t="s">
        <v>235</v>
      </c>
      <c r="G107" s="240">
        <v>36220</v>
      </c>
      <c r="H107" s="253">
        <v>36981</v>
      </c>
      <c r="I107" s="242">
        <v>8000</v>
      </c>
      <c r="K107" s="251">
        <v>0</v>
      </c>
      <c r="N107" s="242">
        <f>N17*$K107</f>
        <v>0</v>
      </c>
      <c r="O107" s="242">
        <f>O17*$K107</f>
        <v>0</v>
      </c>
      <c r="P107" s="242">
        <f>P17*$K107</f>
        <v>0</v>
      </c>
      <c r="AB107" s="241" t="s">
        <v>387</v>
      </c>
    </row>
    <row r="108" spans="1:31" ht="12.75" customHeight="1" x14ac:dyDescent="0.15">
      <c r="A108" s="239" t="s">
        <v>218</v>
      </c>
      <c r="B108" s="239" t="s">
        <v>219</v>
      </c>
      <c r="C108" s="239" t="s">
        <v>294</v>
      </c>
      <c r="E108" s="243">
        <v>8255</v>
      </c>
      <c r="F108" s="239" t="s">
        <v>231</v>
      </c>
      <c r="H108" s="253">
        <v>38656</v>
      </c>
      <c r="I108" s="242">
        <v>306000</v>
      </c>
      <c r="K108" s="251">
        <v>3.0000000000000001E-3</v>
      </c>
      <c r="N108" s="242">
        <f t="shared" ref="N108:Y108" si="47">N13*$K108</f>
        <v>28458</v>
      </c>
      <c r="O108" s="242">
        <f t="shared" si="47"/>
        <v>25704</v>
      </c>
      <c r="P108" s="242">
        <f t="shared" si="47"/>
        <v>28458</v>
      </c>
      <c r="Q108" s="242">
        <f t="shared" si="47"/>
        <v>27540</v>
      </c>
      <c r="R108" s="242">
        <f t="shared" si="47"/>
        <v>28458</v>
      </c>
      <c r="S108" s="242">
        <f t="shared" si="47"/>
        <v>27540</v>
      </c>
      <c r="T108" s="242">
        <f t="shared" si="47"/>
        <v>28458</v>
      </c>
      <c r="U108" s="242">
        <f t="shared" si="47"/>
        <v>28458</v>
      </c>
      <c r="V108" s="242">
        <f t="shared" si="47"/>
        <v>27540</v>
      </c>
      <c r="W108" s="242">
        <f t="shared" si="47"/>
        <v>28458</v>
      </c>
      <c r="X108" s="242">
        <f t="shared" si="47"/>
        <v>27540</v>
      </c>
      <c r="Y108" s="242">
        <f t="shared" si="47"/>
        <v>28458</v>
      </c>
    </row>
    <row r="109" spans="1:31" ht="12.75" customHeight="1" x14ac:dyDescent="0.15">
      <c r="N109" s="245"/>
      <c r="O109" s="245"/>
      <c r="P109" s="245"/>
      <c r="Q109" s="245"/>
      <c r="R109" s="245"/>
      <c r="S109" s="245"/>
      <c r="T109" s="245"/>
      <c r="U109" s="245"/>
      <c r="V109" s="245"/>
      <c r="W109" s="245"/>
      <c r="X109" s="245"/>
      <c r="Y109" s="245"/>
    </row>
    <row r="110" spans="1:31" ht="12.75" customHeight="1" x14ac:dyDescent="0.15">
      <c r="N110" s="242">
        <f>SUM(N107:N109)</f>
        <v>28458</v>
      </c>
      <c r="O110" s="242">
        <f t="shared" ref="O110:Y110" si="48">SUM(O107:O109)</f>
        <v>25704</v>
      </c>
      <c r="P110" s="242">
        <f t="shared" si="48"/>
        <v>28458</v>
      </c>
      <c r="Q110" s="242">
        <f t="shared" si="48"/>
        <v>27540</v>
      </c>
      <c r="R110" s="242">
        <f t="shared" si="48"/>
        <v>28458</v>
      </c>
      <c r="S110" s="242">
        <f t="shared" si="48"/>
        <v>27540</v>
      </c>
      <c r="T110" s="242">
        <f t="shared" si="48"/>
        <v>28458</v>
      </c>
      <c r="U110" s="242">
        <f t="shared" si="48"/>
        <v>28458</v>
      </c>
      <c r="V110" s="242">
        <f t="shared" si="48"/>
        <v>27540</v>
      </c>
      <c r="W110" s="242">
        <f t="shared" si="48"/>
        <v>28458</v>
      </c>
      <c r="X110" s="242">
        <f t="shared" si="48"/>
        <v>27540</v>
      </c>
      <c r="Y110" s="242">
        <f t="shared" si="48"/>
        <v>28458</v>
      </c>
      <c r="Z110" s="375">
        <f>SUM(N110:Y110)</f>
        <v>335070</v>
      </c>
      <c r="AA110" s="375">
        <v>737154</v>
      </c>
      <c r="AB110" s="375">
        <f>AA110-Z110</f>
        <v>402084</v>
      </c>
    </row>
    <row r="113" spans="1:25" s="247" customFormat="1" ht="12.75" customHeight="1" x14ac:dyDescent="0.15">
      <c r="E113" s="248"/>
      <c r="H113" s="248"/>
      <c r="I113" s="249"/>
      <c r="K113" s="252"/>
      <c r="M113" s="250"/>
      <c r="N113" s="249"/>
      <c r="O113" s="249"/>
      <c r="P113" s="249"/>
      <c r="Q113" s="249"/>
      <c r="R113" s="249"/>
      <c r="S113" s="249"/>
      <c r="T113" s="249"/>
      <c r="U113" s="249"/>
      <c r="V113" s="249"/>
      <c r="W113" s="249"/>
      <c r="X113" s="249"/>
      <c r="Y113" s="249"/>
    </row>
    <row r="115" spans="1:25" ht="12.75" customHeight="1" x14ac:dyDescent="0.15">
      <c r="A115" s="239" t="s">
        <v>218</v>
      </c>
      <c r="B115" s="239" t="s">
        <v>242</v>
      </c>
      <c r="C115" s="239" t="s">
        <v>228</v>
      </c>
      <c r="D115" s="239" t="s">
        <v>220</v>
      </c>
      <c r="E115" s="243">
        <v>25924</v>
      </c>
      <c r="F115" s="239" t="s">
        <v>318</v>
      </c>
      <c r="H115" s="253">
        <v>39141</v>
      </c>
      <c r="I115" s="242">
        <v>20000</v>
      </c>
      <c r="M115" s="241" t="s">
        <v>248</v>
      </c>
      <c r="N115" s="242">
        <f>$I115*N$1</f>
        <v>620000</v>
      </c>
      <c r="O115" s="242">
        <f t="shared" ref="O115:Y115" si="49">$I115*O$1</f>
        <v>560000</v>
      </c>
      <c r="P115" s="242">
        <f t="shared" si="49"/>
        <v>620000</v>
      </c>
      <c r="Q115" s="242">
        <f t="shared" si="49"/>
        <v>600000</v>
      </c>
      <c r="R115" s="242">
        <f t="shared" si="49"/>
        <v>620000</v>
      </c>
      <c r="S115" s="242">
        <f t="shared" si="49"/>
        <v>600000</v>
      </c>
      <c r="T115" s="242">
        <f t="shared" si="49"/>
        <v>620000</v>
      </c>
      <c r="U115" s="242">
        <f t="shared" si="49"/>
        <v>620000</v>
      </c>
      <c r="V115" s="242">
        <f t="shared" si="49"/>
        <v>600000</v>
      </c>
      <c r="W115" s="242">
        <f t="shared" si="49"/>
        <v>620000</v>
      </c>
      <c r="X115" s="242">
        <f t="shared" si="49"/>
        <v>600000</v>
      </c>
      <c r="Y115" s="242">
        <f t="shared" si="49"/>
        <v>620000</v>
      </c>
    </row>
    <row r="116" spans="1:25" ht="12.75" customHeight="1" x14ac:dyDescent="0.15">
      <c r="A116" s="239" t="s">
        <v>218</v>
      </c>
      <c r="B116" s="239" t="s">
        <v>242</v>
      </c>
      <c r="C116" s="239" t="s">
        <v>228</v>
      </c>
      <c r="D116" s="239" t="s">
        <v>220</v>
      </c>
      <c r="E116" s="243">
        <v>20747</v>
      </c>
      <c r="F116" s="239" t="s">
        <v>244</v>
      </c>
      <c r="H116" s="253">
        <v>37315</v>
      </c>
      <c r="I116" s="242">
        <v>10000</v>
      </c>
      <c r="M116" s="241" t="s">
        <v>248</v>
      </c>
      <c r="N116" s="242">
        <f t="shared" ref="N116:Y122" si="50">$I116*N$1</f>
        <v>310000</v>
      </c>
      <c r="O116" s="242">
        <f t="shared" si="50"/>
        <v>280000</v>
      </c>
      <c r="P116" s="242">
        <f t="shared" si="50"/>
        <v>310000</v>
      </c>
      <c r="Q116" s="242">
        <f t="shared" si="50"/>
        <v>300000</v>
      </c>
      <c r="R116" s="242">
        <f t="shared" si="50"/>
        <v>310000</v>
      </c>
      <c r="S116" s="242">
        <f t="shared" si="50"/>
        <v>300000</v>
      </c>
      <c r="T116" s="242">
        <f t="shared" si="50"/>
        <v>310000</v>
      </c>
      <c r="U116" s="242">
        <f t="shared" si="50"/>
        <v>310000</v>
      </c>
      <c r="V116" s="242">
        <f t="shared" si="50"/>
        <v>300000</v>
      </c>
      <c r="W116" s="242">
        <f t="shared" si="50"/>
        <v>310000</v>
      </c>
      <c r="X116" s="242">
        <f t="shared" si="50"/>
        <v>300000</v>
      </c>
      <c r="Y116" s="242">
        <f t="shared" si="50"/>
        <v>310000</v>
      </c>
    </row>
    <row r="117" spans="1:25" ht="12.75" customHeight="1" x14ac:dyDescent="0.15">
      <c r="A117" s="239" t="s">
        <v>218</v>
      </c>
      <c r="B117" s="239" t="s">
        <v>242</v>
      </c>
      <c r="C117" s="239" t="s">
        <v>228</v>
      </c>
      <c r="D117" s="239" t="s">
        <v>220</v>
      </c>
      <c r="E117" s="243">
        <v>20748</v>
      </c>
      <c r="F117" s="239" t="s">
        <v>244</v>
      </c>
      <c r="H117" s="253">
        <v>37315</v>
      </c>
      <c r="I117" s="242">
        <v>10000</v>
      </c>
      <c r="M117" s="241" t="s">
        <v>248</v>
      </c>
      <c r="N117" s="242">
        <f t="shared" si="50"/>
        <v>310000</v>
      </c>
      <c r="O117" s="242">
        <f t="shared" si="50"/>
        <v>280000</v>
      </c>
      <c r="P117" s="242">
        <f t="shared" si="50"/>
        <v>310000</v>
      </c>
      <c r="Q117" s="242">
        <f t="shared" si="50"/>
        <v>300000</v>
      </c>
      <c r="R117" s="242">
        <f t="shared" si="50"/>
        <v>310000</v>
      </c>
      <c r="S117" s="242">
        <f t="shared" si="50"/>
        <v>300000</v>
      </c>
      <c r="T117" s="242">
        <f t="shared" si="50"/>
        <v>310000</v>
      </c>
      <c r="U117" s="242">
        <f t="shared" si="50"/>
        <v>310000</v>
      </c>
      <c r="V117" s="242">
        <f t="shared" si="50"/>
        <v>300000</v>
      </c>
      <c r="W117" s="242">
        <f t="shared" si="50"/>
        <v>310000</v>
      </c>
      <c r="X117" s="242">
        <f t="shared" si="50"/>
        <v>300000</v>
      </c>
      <c r="Y117" s="242">
        <f t="shared" si="50"/>
        <v>310000</v>
      </c>
    </row>
    <row r="118" spans="1:25" ht="12.75" customHeight="1" x14ac:dyDescent="0.15">
      <c r="A118" s="239" t="s">
        <v>218</v>
      </c>
      <c r="B118" s="239" t="s">
        <v>242</v>
      </c>
      <c r="C118" s="239" t="s">
        <v>228</v>
      </c>
      <c r="D118" s="239" t="s">
        <v>220</v>
      </c>
      <c r="E118" s="243">
        <v>20822</v>
      </c>
      <c r="F118" s="239" t="s">
        <v>245</v>
      </c>
      <c r="H118" s="253">
        <v>39141</v>
      </c>
      <c r="I118" s="242">
        <v>25000</v>
      </c>
      <c r="M118" s="241" t="s">
        <v>248</v>
      </c>
      <c r="N118" s="242">
        <f t="shared" si="50"/>
        <v>775000</v>
      </c>
      <c r="O118" s="242">
        <f t="shared" si="50"/>
        <v>700000</v>
      </c>
      <c r="P118" s="242">
        <f t="shared" si="50"/>
        <v>775000</v>
      </c>
      <c r="Q118" s="242">
        <f t="shared" si="50"/>
        <v>750000</v>
      </c>
      <c r="R118" s="242">
        <f t="shared" si="50"/>
        <v>775000</v>
      </c>
      <c r="S118" s="242">
        <f t="shared" si="50"/>
        <v>750000</v>
      </c>
      <c r="T118" s="242">
        <f t="shared" si="50"/>
        <v>775000</v>
      </c>
      <c r="U118" s="242">
        <f t="shared" si="50"/>
        <v>775000</v>
      </c>
      <c r="V118" s="242">
        <f t="shared" si="50"/>
        <v>750000</v>
      </c>
      <c r="W118" s="242">
        <f t="shared" si="50"/>
        <v>775000</v>
      </c>
      <c r="X118" s="242">
        <f t="shared" si="50"/>
        <v>750000</v>
      </c>
      <c r="Y118" s="242">
        <f t="shared" si="50"/>
        <v>775000</v>
      </c>
    </row>
    <row r="119" spans="1:25" ht="12.75" customHeight="1" x14ac:dyDescent="0.15">
      <c r="A119" s="239" t="s">
        <v>218</v>
      </c>
      <c r="B119" s="239" t="s">
        <v>242</v>
      </c>
      <c r="C119" s="239" t="s">
        <v>228</v>
      </c>
      <c r="D119" s="239" t="s">
        <v>220</v>
      </c>
      <c r="E119" s="243">
        <v>26678</v>
      </c>
      <c r="F119" s="239" t="s">
        <v>246</v>
      </c>
      <c r="H119" s="253">
        <v>39172</v>
      </c>
      <c r="I119" s="242">
        <v>25000</v>
      </c>
      <c r="M119" s="241" t="s">
        <v>248</v>
      </c>
      <c r="N119" s="242">
        <f t="shared" si="50"/>
        <v>775000</v>
      </c>
      <c r="O119" s="242">
        <f t="shared" si="50"/>
        <v>700000</v>
      </c>
      <c r="P119" s="242">
        <f t="shared" si="50"/>
        <v>775000</v>
      </c>
      <c r="Q119" s="242">
        <f t="shared" si="50"/>
        <v>750000</v>
      </c>
      <c r="R119" s="242">
        <f t="shared" si="50"/>
        <v>775000</v>
      </c>
      <c r="S119" s="242">
        <f t="shared" si="50"/>
        <v>750000</v>
      </c>
      <c r="T119" s="242">
        <f t="shared" si="50"/>
        <v>775000</v>
      </c>
      <c r="U119" s="242">
        <f t="shared" si="50"/>
        <v>775000</v>
      </c>
      <c r="V119" s="242">
        <f t="shared" si="50"/>
        <v>750000</v>
      </c>
      <c r="W119" s="242">
        <f t="shared" si="50"/>
        <v>775000</v>
      </c>
      <c r="X119" s="242">
        <f t="shared" si="50"/>
        <v>750000</v>
      </c>
      <c r="Y119" s="242">
        <f t="shared" si="50"/>
        <v>775000</v>
      </c>
    </row>
    <row r="120" spans="1:25" ht="12.75" customHeight="1" x14ac:dyDescent="0.15">
      <c r="A120" s="584" t="s">
        <v>218</v>
      </c>
      <c r="B120" s="584" t="s">
        <v>242</v>
      </c>
      <c r="C120" s="584" t="s">
        <v>228</v>
      </c>
      <c r="D120" s="584" t="s">
        <v>220</v>
      </c>
      <c r="E120" s="593">
        <v>27583</v>
      </c>
      <c r="F120" s="584" t="s">
        <v>481</v>
      </c>
      <c r="G120" s="586">
        <v>37012</v>
      </c>
      <c r="H120" s="587">
        <v>37407</v>
      </c>
      <c r="I120" s="594">
        <v>1300</v>
      </c>
      <c r="R120" s="594">
        <f t="shared" si="50"/>
        <v>40300</v>
      </c>
      <c r="S120" s="594">
        <f t="shared" si="50"/>
        <v>39000</v>
      </c>
      <c r="T120" s="594">
        <f t="shared" si="50"/>
        <v>40300</v>
      </c>
      <c r="U120" s="594">
        <f t="shared" si="50"/>
        <v>40300</v>
      </c>
      <c r="V120" s="594">
        <f t="shared" si="50"/>
        <v>39000</v>
      </c>
      <c r="W120" s="594">
        <f t="shared" si="50"/>
        <v>40300</v>
      </c>
      <c r="X120" s="594">
        <f t="shared" si="50"/>
        <v>39000</v>
      </c>
      <c r="Y120" s="594">
        <f t="shared" si="50"/>
        <v>40300</v>
      </c>
    </row>
    <row r="121" spans="1:25" ht="12.75" customHeight="1" x14ac:dyDescent="0.15">
      <c r="A121" s="239" t="s">
        <v>218</v>
      </c>
      <c r="B121" s="239" t="s">
        <v>242</v>
      </c>
      <c r="C121" s="239" t="s">
        <v>228</v>
      </c>
      <c r="D121" s="239" t="s">
        <v>220</v>
      </c>
      <c r="E121" s="243">
        <v>26372</v>
      </c>
      <c r="F121" s="239" t="s">
        <v>247</v>
      </c>
      <c r="H121" s="253">
        <v>39172</v>
      </c>
      <c r="I121" s="242">
        <v>25000</v>
      </c>
      <c r="M121" s="241" t="s">
        <v>248</v>
      </c>
      <c r="N121" s="242">
        <f t="shared" si="50"/>
        <v>775000</v>
      </c>
      <c r="O121" s="242">
        <f t="shared" si="50"/>
        <v>700000</v>
      </c>
      <c r="P121" s="242">
        <f t="shared" si="50"/>
        <v>775000</v>
      </c>
      <c r="Q121" s="242">
        <f t="shared" si="50"/>
        <v>750000</v>
      </c>
      <c r="R121" s="242">
        <f t="shared" si="50"/>
        <v>775000</v>
      </c>
      <c r="S121" s="242">
        <f t="shared" si="50"/>
        <v>750000</v>
      </c>
      <c r="T121" s="242">
        <f t="shared" si="50"/>
        <v>775000</v>
      </c>
      <c r="U121" s="242">
        <f t="shared" si="50"/>
        <v>775000</v>
      </c>
      <c r="V121" s="242">
        <f t="shared" si="50"/>
        <v>750000</v>
      </c>
      <c r="W121" s="242">
        <f t="shared" si="50"/>
        <v>775000</v>
      </c>
      <c r="X121" s="242">
        <f t="shared" si="50"/>
        <v>750000</v>
      </c>
      <c r="Y121" s="242">
        <f t="shared" si="50"/>
        <v>775000</v>
      </c>
    </row>
    <row r="122" spans="1:25" ht="12.75" customHeight="1" x14ac:dyDescent="0.15">
      <c r="A122" s="239" t="s">
        <v>218</v>
      </c>
      <c r="B122" s="239" t="s">
        <v>242</v>
      </c>
      <c r="C122" s="239" t="s">
        <v>228</v>
      </c>
      <c r="D122" s="239" t="s">
        <v>220</v>
      </c>
      <c r="E122" s="243">
        <v>21165</v>
      </c>
      <c r="F122" s="239" t="s">
        <v>233</v>
      </c>
      <c r="H122" s="253">
        <v>39172</v>
      </c>
      <c r="I122" s="242">
        <v>150000</v>
      </c>
      <c r="M122" s="241" t="s">
        <v>248</v>
      </c>
      <c r="N122" s="242">
        <f t="shared" si="50"/>
        <v>4650000</v>
      </c>
      <c r="O122" s="242">
        <f t="shared" si="50"/>
        <v>4200000</v>
      </c>
      <c r="P122" s="242">
        <f t="shared" si="50"/>
        <v>4650000</v>
      </c>
      <c r="Q122" s="242">
        <f t="shared" si="50"/>
        <v>4500000</v>
      </c>
      <c r="R122" s="242">
        <f t="shared" si="50"/>
        <v>4650000</v>
      </c>
      <c r="S122" s="242">
        <f t="shared" si="50"/>
        <v>4500000</v>
      </c>
      <c r="T122" s="242">
        <f t="shared" si="50"/>
        <v>4650000</v>
      </c>
      <c r="U122" s="242">
        <f t="shared" si="50"/>
        <v>4650000</v>
      </c>
      <c r="V122" s="242">
        <f t="shared" si="50"/>
        <v>4500000</v>
      </c>
      <c r="W122" s="242">
        <f t="shared" si="50"/>
        <v>4650000</v>
      </c>
      <c r="X122" s="242">
        <f t="shared" si="50"/>
        <v>4500000</v>
      </c>
      <c r="Y122" s="242">
        <f t="shared" si="50"/>
        <v>4650000</v>
      </c>
    </row>
    <row r="124" spans="1:25" ht="12.75" customHeight="1" x14ac:dyDescent="0.15">
      <c r="I124" s="245"/>
      <c r="N124" s="245"/>
      <c r="O124" s="245"/>
      <c r="P124" s="245"/>
      <c r="Q124" s="245"/>
      <c r="R124" s="245"/>
      <c r="S124" s="245"/>
      <c r="T124" s="245"/>
      <c r="U124" s="245"/>
      <c r="V124" s="245"/>
      <c r="W124" s="245"/>
      <c r="X124" s="245"/>
      <c r="Y124" s="245"/>
    </row>
    <row r="125" spans="1:25" ht="12.75" customHeight="1" x14ac:dyDescent="0.15">
      <c r="I125" s="246">
        <f>SUM(I115:I124)</f>
        <v>266300</v>
      </c>
      <c r="N125" s="242">
        <f>SUM(N115:N124)</f>
        <v>8215000</v>
      </c>
      <c r="O125" s="242">
        <f t="shared" ref="O125:Y125" si="51">SUM(O115:O124)</f>
        <v>7420000</v>
      </c>
      <c r="P125" s="242">
        <f t="shared" si="51"/>
        <v>8215000</v>
      </c>
      <c r="Q125" s="242">
        <f t="shared" si="51"/>
        <v>7950000</v>
      </c>
      <c r="R125" s="242">
        <f t="shared" si="51"/>
        <v>8255300</v>
      </c>
      <c r="S125" s="242">
        <f t="shared" si="51"/>
        <v>7989000</v>
      </c>
      <c r="T125" s="242">
        <f t="shared" si="51"/>
        <v>8255300</v>
      </c>
      <c r="U125" s="242">
        <f t="shared" si="51"/>
        <v>8255300</v>
      </c>
      <c r="V125" s="242">
        <f t="shared" si="51"/>
        <v>7989000</v>
      </c>
      <c r="W125" s="242">
        <f t="shared" si="51"/>
        <v>8255300</v>
      </c>
      <c r="X125" s="242">
        <f t="shared" si="51"/>
        <v>7989000</v>
      </c>
      <c r="Y125" s="242">
        <f t="shared" si="51"/>
        <v>8255300</v>
      </c>
    </row>
    <row r="127" spans="1:25" ht="12.75" customHeight="1" x14ac:dyDescent="0.15">
      <c r="A127" s="424" t="s">
        <v>365</v>
      </c>
      <c r="B127" s="425"/>
      <c r="C127" s="425"/>
      <c r="D127" s="425"/>
      <c r="E127" s="426"/>
      <c r="F127" s="425"/>
      <c r="G127" s="425"/>
      <c r="H127" s="426"/>
      <c r="I127" s="427"/>
      <c r="J127" s="425"/>
      <c r="K127" s="428"/>
      <c r="L127" s="425"/>
      <c r="M127" s="429"/>
      <c r="N127" s="430">
        <v>1.56</v>
      </c>
      <c r="O127" s="430">
        <v>1.64</v>
      </c>
      <c r="P127" s="430">
        <v>1.57</v>
      </c>
      <c r="Q127" s="430">
        <v>1.5</v>
      </c>
      <c r="R127" s="430">
        <v>1.45</v>
      </c>
      <c r="S127" s="430">
        <v>1.35</v>
      </c>
      <c r="T127" s="430">
        <v>1.35</v>
      </c>
      <c r="U127" s="430">
        <v>1.75</v>
      </c>
      <c r="V127" s="430">
        <v>1.72</v>
      </c>
      <c r="W127" s="430">
        <v>1.5</v>
      </c>
      <c r="X127" s="430">
        <v>1.1200000000000001</v>
      </c>
      <c r="Y127" s="432">
        <v>1.19</v>
      </c>
    </row>
    <row r="128" spans="1:25" ht="12.75" customHeight="1" x14ac:dyDescent="0.15">
      <c r="A128" s="239" t="s">
        <v>218</v>
      </c>
      <c r="B128" s="239" t="s">
        <v>242</v>
      </c>
      <c r="C128" s="239" t="s">
        <v>228</v>
      </c>
      <c r="D128" s="239" t="s">
        <v>223</v>
      </c>
      <c r="E128" s="243">
        <v>25924</v>
      </c>
      <c r="F128" s="239" t="s">
        <v>318</v>
      </c>
      <c r="H128" s="253">
        <v>39141</v>
      </c>
      <c r="I128" s="242">
        <v>20000</v>
      </c>
      <c r="M128" s="241" t="s">
        <v>248</v>
      </c>
      <c r="N128" s="242">
        <f>N115*N$127</f>
        <v>967200</v>
      </c>
      <c r="O128" s="242">
        <f t="shared" ref="O128:Y128" si="52">O115*O$127</f>
        <v>918400</v>
      </c>
      <c r="P128" s="242">
        <f t="shared" si="52"/>
        <v>973400</v>
      </c>
      <c r="Q128" s="242">
        <f t="shared" si="52"/>
        <v>900000</v>
      </c>
      <c r="R128" s="242">
        <f t="shared" si="52"/>
        <v>899000</v>
      </c>
      <c r="S128" s="242">
        <f t="shared" si="52"/>
        <v>810000</v>
      </c>
      <c r="T128" s="242">
        <f t="shared" si="52"/>
        <v>837000</v>
      </c>
      <c r="U128" s="242">
        <f t="shared" si="52"/>
        <v>1085000</v>
      </c>
      <c r="V128" s="242">
        <f t="shared" si="52"/>
        <v>1032000</v>
      </c>
      <c r="W128" s="242">
        <f t="shared" si="52"/>
        <v>930000</v>
      </c>
      <c r="X128" s="242">
        <f t="shared" si="52"/>
        <v>672000.00000000012</v>
      </c>
      <c r="Y128" s="242">
        <f t="shared" si="52"/>
        <v>737800</v>
      </c>
    </row>
    <row r="129" spans="1:26" s="558" customFormat="1" ht="12.75" customHeight="1" x14ac:dyDescent="0.15">
      <c r="B129" s="558" t="s">
        <v>468</v>
      </c>
      <c r="C129" s="558" t="s">
        <v>228</v>
      </c>
      <c r="D129" s="558" t="s">
        <v>223</v>
      </c>
      <c r="E129" s="559"/>
      <c r="G129" s="560"/>
      <c r="H129" s="561"/>
      <c r="I129" s="562"/>
      <c r="K129" s="563"/>
      <c r="M129" s="564"/>
      <c r="N129" s="562"/>
      <c r="O129" s="562"/>
      <c r="P129" s="562"/>
      <c r="Q129" s="562">
        <v>0</v>
      </c>
      <c r="R129" s="562">
        <v>0</v>
      </c>
      <c r="S129" s="562"/>
      <c r="T129" s="562"/>
      <c r="U129" s="562"/>
      <c r="V129" s="562">
        <f>-200000</f>
        <v>-200000</v>
      </c>
      <c r="W129" s="562">
        <f>-130000*4</f>
        <v>-520000</v>
      </c>
      <c r="X129" s="562">
        <f>-130000*2</f>
        <v>-260000</v>
      </c>
      <c r="Y129" s="562"/>
    </row>
    <row r="130" spans="1:26" ht="12.75" customHeight="1" x14ac:dyDescent="0.15">
      <c r="A130" s="239" t="s">
        <v>218</v>
      </c>
      <c r="B130" s="239" t="s">
        <v>242</v>
      </c>
      <c r="C130" s="239" t="s">
        <v>228</v>
      </c>
      <c r="D130" s="239" t="s">
        <v>223</v>
      </c>
      <c r="E130" s="243">
        <v>20747</v>
      </c>
      <c r="F130" s="239" t="s">
        <v>244</v>
      </c>
      <c r="H130" s="253">
        <v>37315</v>
      </c>
      <c r="I130" s="242">
        <v>10000</v>
      </c>
      <c r="M130" s="241" t="s">
        <v>248</v>
      </c>
      <c r="N130" s="242">
        <f>N116*N$127</f>
        <v>483600</v>
      </c>
      <c r="O130" s="242">
        <f t="shared" ref="O130:Y130" si="53">O116*O$127</f>
        <v>459200</v>
      </c>
      <c r="P130" s="242">
        <f t="shared" si="53"/>
        <v>486700</v>
      </c>
      <c r="Q130" s="242">
        <f t="shared" si="53"/>
        <v>450000</v>
      </c>
      <c r="R130" s="242">
        <f t="shared" si="53"/>
        <v>449500</v>
      </c>
      <c r="S130" s="242">
        <f t="shared" si="53"/>
        <v>405000</v>
      </c>
      <c r="T130" s="242">
        <f t="shared" si="53"/>
        <v>418500</v>
      </c>
      <c r="U130" s="242">
        <f t="shared" si="53"/>
        <v>542500</v>
      </c>
      <c r="V130" s="242">
        <f t="shared" si="53"/>
        <v>516000</v>
      </c>
      <c r="W130" s="242">
        <f t="shared" si="53"/>
        <v>465000</v>
      </c>
      <c r="X130" s="242">
        <f t="shared" si="53"/>
        <v>336000.00000000006</v>
      </c>
      <c r="Y130" s="242">
        <f t="shared" si="53"/>
        <v>368900</v>
      </c>
    </row>
    <row r="131" spans="1:26" ht="12.75" customHeight="1" x14ac:dyDescent="0.15">
      <c r="A131" s="239" t="s">
        <v>218</v>
      </c>
      <c r="B131" s="239" t="s">
        <v>242</v>
      </c>
      <c r="C131" s="239" t="s">
        <v>228</v>
      </c>
      <c r="D131" s="239" t="s">
        <v>223</v>
      </c>
      <c r="E131" s="243">
        <v>20748</v>
      </c>
      <c r="F131" s="239" t="s">
        <v>244</v>
      </c>
      <c r="H131" s="253">
        <v>37315</v>
      </c>
      <c r="I131" s="242">
        <v>10000</v>
      </c>
      <c r="M131" s="241" t="s">
        <v>248</v>
      </c>
      <c r="N131" s="242">
        <f>N117*N$127</f>
        <v>483600</v>
      </c>
      <c r="O131" s="242">
        <f>O117*O$127</f>
        <v>459200</v>
      </c>
      <c r="Q131" s="242">
        <f t="shared" ref="Q131:Y131" si="54">Q117*Q$127</f>
        <v>450000</v>
      </c>
      <c r="R131" s="242">
        <f t="shared" si="54"/>
        <v>449500</v>
      </c>
      <c r="S131" s="242">
        <f t="shared" si="54"/>
        <v>405000</v>
      </c>
      <c r="T131" s="242">
        <f t="shared" si="54"/>
        <v>418500</v>
      </c>
      <c r="U131" s="242">
        <f t="shared" si="54"/>
        <v>542500</v>
      </c>
      <c r="V131" s="242">
        <f t="shared" si="54"/>
        <v>516000</v>
      </c>
      <c r="W131" s="242">
        <f t="shared" si="54"/>
        <v>465000</v>
      </c>
      <c r="X131" s="242">
        <f t="shared" si="54"/>
        <v>336000.00000000006</v>
      </c>
      <c r="Y131" s="242">
        <f t="shared" si="54"/>
        <v>368900</v>
      </c>
    </row>
    <row r="132" spans="1:26" ht="12.75" customHeight="1" x14ac:dyDescent="0.15">
      <c r="A132" s="239" t="s">
        <v>218</v>
      </c>
      <c r="B132" s="239" t="s">
        <v>242</v>
      </c>
      <c r="C132" s="239" t="s">
        <v>228</v>
      </c>
      <c r="D132" s="239" t="s">
        <v>223</v>
      </c>
      <c r="E132" s="243">
        <v>20822</v>
      </c>
      <c r="F132" s="239" t="s">
        <v>245</v>
      </c>
      <c r="H132" s="253">
        <v>39141</v>
      </c>
      <c r="I132" s="242">
        <v>25000</v>
      </c>
      <c r="M132" s="241" t="s">
        <v>248</v>
      </c>
      <c r="N132" s="242">
        <f>N118*N$127</f>
        <v>1209000</v>
      </c>
      <c r="O132" s="242">
        <f>O118*O$127</f>
        <v>1148000</v>
      </c>
      <c r="P132" s="242">
        <f>P118*P$127</f>
        <v>1216750</v>
      </c>
      <c r="Q132" s="242">
        <f t="shared" ref="Q132:Y132" si="55">Q118*Q$127</f>
        <v>1125000</v>
      </c>
      <c r="R132" s="242">
        <f t="shared" si="55"/>
        <v>1123750</v>
      </c>
      <c r="S132" s="242">
        <f t="shared" si="55"/>
        <v>1012500.0000000001</v>
      </c>
      <c r="T132" s="242">
        <f t="shared" si="55"/>
        <v>1046250.0000000001</v>
      </c>
      <c r="U132" s="242">
        <f t="shared" si="55"/>
        <v>1356250</v>
      </c>
      <c r="V132" s="242">
        <f t="shared" si="55"/>
        <v>1290000</v>
      </c>
      <c r="W132" s="242">
        <f t="shared" si="55"/>
        <v>1162500</v>
      </c>
      <c r="X132" s="242">
        <f t="shared" si="55"/>
        <v>840000.00000000012</v>
      </c>
      <c r="Y132" s="242">
        <f t="shared" si="55"/>
        <v>922250</v>
      </c>
    </row>
    <row r="133" spans="1:26" ht="12.75" customHeight="1" x14ac:dyDescent="0.15">
      <c r="A133" s="239" t="s">
        <v>218</v>
      </c>
      <c r="B133" s="239" t="s">
        <v>242</v>
      </c>
      <c r="C133" s="239" t="s">
        <v>228</v>
      </c>
      <c r="D133" s="239" t="s">
        <v>223</v>
      </c>
      <c r="E133" s="243">
        <v>26678</v>
      </c>
      <c r="F133" s="239" t="s">
        <v>246</v>
      </c>
      <c r="H133" s="253">
        <v>39172</v>
      </c>
      <c r="I133" s="242">
        <v>25000</v>
      </c>
      <c r="M133" s="241" t="s">
        <v>248</v>
      </c>
      <c r="N133" s="242">
        <f>N119*N$127</f>
        <v>1209000</v>
      </c>
      <c r="O133" s="242">
        <f>O119*O$127</f>
        <v>1148000</v>
      </c>
      <c r="P133" s="242">
        <f>P119*P$127</f>
        <v>1216750</v>
      </c>
      <c r="Q133" s="242">
        <f t="shared" ref="Q133:Y133" si="56">Q119*Q$127</f>
        <v>1125000</v>
      </c>
      <c r="R133" s="242">
        <f t="shared" si="56"/>
        <v>1123750</v>
      </c>
      <c r="S133" s="242">
        <f t="shared" si="56"/>
        <v>1012500.0000000001</v>
      </c>
      <c r="T133" s="242">
        <f t="shared" si="56"/>
        <v>1046250.0000000001</v>
      </c>
      <c r="U133" s="242">
        <f t="shared" si="56"/>
        <v>1356250</v>
      </c>
      <c r="V133" s="242">
        <f t="shared" si="56"/>
        <v>1290000</v>
      </c>
      <c r="W133" s="242">
        <f t="shared" si="56"/>
        <v>1162500</v>
      </c>
      <c r="X133" s="242">
        <f t="shared" si="56"/>
        <v>840000.00000000012</v>
      </c>
      <c r="Y133" s="242">
        <f t="shared" si="56"/>
        <v>922250</v>
      </c>
    </row>
    <row r="134" spans="1:26" ht="12.75" customHeight="1" x14ac:dyDescent="0.15">
      <c r="A134" s="584" t="s">
        <v>218</v>
      </c>
      <c r="B134" s="584" t="s">
        <v>242</v>
      </c>
      <c r="C134" s="584" t="s">
        <v>228</v>
      </c>
      <c r="D134" s="584" t="s">
        <v>223</v>
      </c>
      <c r="E134" s="593">
        <v>27583</v>
      </c>
      <c r="F134" s="584" t="s">
        <v>481</v>
      </c>
      <c r="G134" s="586">
        <v>37012</v>
      </c>
      <c r="H134" s="587">
        <v>37407</v>
      </c>
      <c r="I134" s="594">
        <v>1300</v>
      </c>
      <c r="R134" s="594">
        <f>R120*R$127</f>
        <v>58435</v>
      </c>
      <c r="S134" s="594">
        <f t="shared" ref="S134:Y134" si="57">S120*S$127</f>
        <v>52650</v>
      </c>
      <c r="T134" s="594">
        <f t="shared" si="57"/>
        <v>54405</v>
      </c>
      <c r="U134" s="594">
        <f t="shared" si="57"/>
        <v>70525</v>
      </c>
      <c r="V134" s="594">
        <f t="shared" si="57"/>
        <v>67080</v>
      </c>
      <c r="W134" s="594">
        <f t="shared" si="57"/>
        <v>60450</v>
      </c>
      <c r="X134" s="594">
        <f t="shared" si="57"/>
        <v>43680.000000000007</v>
      </c>
      <c r="Y134" s="594">
        <f t="shared" si="57"/>
        <v>47957</v>
      </c>
    </row>
    <row r="135" spans="1:26" ht="12.75" customHeight="1" x14ac:dyDescent="0.15">
      <c r="A135" s="239" t="s">
        <v>218</v>
      </c>
      <c r="B135" s="239" t="s">
        <v>242</v>
      </c>
      <c r="C135" s="239" t="s">
        <v>228</v>
      </c>
      <c r="D135" s="239" t="s">
        <v>223</v>
      </c>
      <c r="E135" s="243">
        <v>26372</v>
      </c>
      <c r="F135" s="239" t="s">
        <v>247</v>
      </c>
      <c r="H135" s="253">
        <v>39172</v>
      </c>
      <c r="I135" s="242">
        <v>25000</v>
      </c>
      <c r="M135" s="241" t="s">
        <v>248</v>
      </c>
      <c r="N135" s="242">
        <f t="shared" ref="N135:Q136" si="58">N121*N$127</f>
        <v>1209000</v>
      </c>
      <c r="O135" s="242">
        <f t="shared" si="58"/>
        <v>1148000</v>
      </c>
      <c r="P135" s="242">
        <f t="shared" si="58"/>
        <v>1216750</v>
      </c>
      <c r="Q135" s="242">
        <f t="shared" si="58"/>
        <v>1125000</v>
      </c>
      <c r="R135" s="242">
        <f>R121*R$127</f>
        <v>1123750</v>
      </c>
      <c r="S135" s="242">
        <f t="shared" ref="S135:Y136" si="59">S121*S$127</f>
        <v>1012500.0000000001</v>
      </c>
      <c r="T135" s="242">
        <f t="shared" si="59"/>
        <v>1046250.0000000001</v>
      </c>
      <c r="U135" s="242">
        <f t="shared" si="59"/>
        <v>1356250</v>
      </c>
      <c r="V135" s="242">
        <f t="shared" si="59"/>
        <v>1290000</v>
      </c>
      <c r="W135" s="242">
        <f t="shared" si="59"/>
        <v>1162500</v>
      </c>
      <c r="X135" s="242">
        <f t="shared" si="59"/>
        <v>840000.00000000012</v>
      </c>
      <c r="Y135" s="242">
        <f t="shared" si="59"/>
        <v>922250</v>
      </c>
    </row>
    <row r="136" spans="1:26" ht="12.75" customHeight="1" x14ac:dyDescent="0.15">
      <c r="A136" s="239" t="s">
        <v>218</v>
      </c>
      <c r="B136" s="239" t="s">
        <v>242</v>
      </c>
      <c r="C136" s="239" t="s">
        <v>228</v>
      </c>
      <c r="D136" s="239" t="s">
        <v>223</v>
      </c>
      <c r="E136" s="243">
        <v>21165</v>
      </c>
      <c r="F136" s="239" t="s">
        <v>233</v>
      </c>
      <c r="H136" s="253">
        <v>39172</v>
      </c>
      <c r="I136" s="242">
        <v>150000</v>
      </c>
      <c r="M136" s="241" t="s">
        <v>248</v>
      </c>
      <c r="N136" s="242">
        <f t="shared" si="58"/>
        <v>7254000</v>
      </c>
      <c r="O136" s="242">
        <f t="shared" si="58"/>
        <v>6888000</v>
      </c>
      <c r="P136" s="242">
        <f t="shared" si="58"/>
        <v>7300500</v>
      </c>
      <c r="Q136" s="242">
        <f t="shared" si="58"/>
        <v>6750000</v>
      </c>
      <c r="R136" s="242">
        <f>R122*R$127</f>
        <v>6742500</v>
      </c>
      <c r="S136" s="242">
        <f t="shared" si="59"/>
        <v>6075000</v>
      </c>
      <c r="T136" s="242">
        <f t="shared" si="59"/>
        <v>6277500</v>
      </c>
      <c r="U136" s="242">
        <f t="shared" si="59"/>
        <v>8137500</v>
      </c>
      <c r="V136" s="242">
        <f t="shared" si="59"/>
        <v>7740000</v>
      </c>
      <c r="W136" s="242">
        <f t="shared" si="59"/>
        <v>6975000</v>
      </c>
      <c r="X136" s="242">
        <f t="shared" si="59"/>
        <v>5040000.0000000009</v>
      </c>
      <c r="Y136" s="242">
        <f t="shared" si="59"/>
        <v>5533500</v>
      </c>
    </row>
    <row r="138" spans="1:26" ht="12.75" customHeight="1" x14ac:dyDescent="0.15">
      <c r="I138" s="245"/>
      <c r="N138" s="245"/>
      <c r="O138" s="245"/>
      <c r="P138" s="245"/>
      <c r="Q138" s="245"/>
      <c r="R138" s="245"/>
      <c r="S138" s="245"/>
      <c r="T138" s="245"/>
      <c r="U138" s="245"/>
      <c r="V138" s="245"/>
      <c r="W138" s="245"/>
      <c r="X138" s="245"/>
      <c r="Y138" s="245"/>
    </row>
    <row r="139" spans="1:26" ht="12.75" customHeight="1" x14ac:dyDescent="0.15">
      <c r="I139" s="242">
        <f>SUM(I128:I138)</f>
        <v>266300</v>
      </c>
      <c r="N139" s="242">
        <f>SUM(N128:N138)</f>
        <v>12815400</v>
      </c>
      <c r="O139" s="242">
        <f t="shared" ref="O139:Y139" si="60">SUM(O128:O138)</f>
        <v>12168800</v>
      </c>
      <c r="P139" s="242">
        <f t="shared" si="60"/>
        <v>12410850</v>
      </c>
      <c r="Q139" s="242">
        <f t="shared" si="60"/>
        <v>11925000</v>
      </c>
      <c r="R139" s="242">
        <f t="shared" si="60"/>
        <v>11970185</v>
      </c>
      <c r="S139" s="242">
        <f t="shared" si="60"/>
        <v>10785150</v>
      </c>
      <c r="T139" s="242">
        <f t="shared" si="60"/>
        <v>11144655</v>
      </c>
      <c r="U139" s="242">
        <f t="shared" si="60"/>
        <v>14446775</v>
      </c>
      <c r="V139" s="242">
        <f t="shared" si="60"/>
        <v>13541080</v>
      </c>
      <c r="W139" s="242">
        <f t="shared" si="60"/>
        <v>11862950</v>
      </c>
      <c r="X139" s="242">
        <f t="shared" si="60"/>
        <v>8687680.0000000019</v>
      </c>
      <c r="Y139" s="242">
        <f t="shared" si="60"/>
        <v>9823807</v>
      </c>
      <c r="Z139" s="375"/>
    </row>
    <row r="142" spans="1:26" ht="12.75" customHeight="1" x14ac:dyDescent="0.15">
      <c r="A142" s="239" t="s">
        <v>218</v>
      </c>
      <c r="B142" s="239" t="s">
        <v>242</v>
      </c>
      <c r="C142" s="239" t="s">
        <v>229</v>
      </c>
      <c r="D142" s="239" t="s">
        <v>220</v>
      </c>
      <c r="E142" s="243">
        <v>25924</v>
      </c>
      <c r="F142" s="239" t="s">
        <v>318</v>
      </c>
      <c r="H142" s="253">
        <v>39141</v>
      </c>
      <c r="K142" s="251">
        <f>0.2605+0.0443+0.0053+0.0007</f>
        <v>0.31080000000000002</v>
      </c>
      <c r="L142" s="239">
        <v>2.69E-2</v>
      </c>
      <c r="M142" s="241" t="s">
        <v>248</v>
      </c>
      <c r="N142" s="242">
        <f t="shared" ref="N142:O146" si="61">N115*$K142</f>
        <v>192696</v>
      </c>
      <c r="O142" s="242">
        <f t="shared" si="61"/>
        <v>174048</v>
      </c>
      <c r="P142" s="242">
        <f t="shared" ref="P142:W142" si="62">P115*$K142</f>
        <v>192696</v>
      </c>
      <c r="Q142" s="242">
        <f t="shared" si="62"/>
        <v>186480</v>
      </c>
      <c r="R142" s="242">
        <f t="shared" si="62"/>
        <v>192696</v>
      </c>
      <c r="S142" s="242">
        <f t="shared" si="62"/>
        <v>186480</v>
      </c>
      <c r="T142" s="242">
        <f t="shared" si="62"/>
        <v>192696</v>
      </c>
      <c r="U142" s="242">
        <f t="shared" si="62"/>
        <v>192696</v>
      </c>
      <c r="V142" s="242">
        <f t="shared" si="62"/>
        <v>186480</v>
      </c>
      <c r="W142" s="242">
        <f t="shared" si="62"/>
        <v>192696</v>
      </c>
      <c r="X142" s="242">
        <f>X115*($K142-$K$168+0.0053)</f>
        <v>163080.00000000003</v>
      </c>
      <c r="Y142" s="242">
        <f>Y115*($K142-$K$168+0.0053)</f>
        <v>168516.00000000003</v>
      </c>
    </row>
    <row r="143" spans="1:26" ht="12.75" customHeight="1" x14ac:dyDescent="0.15">
      <c r="A143" s="239" t="s">
        <v>218</v>
      </c>
      <c r="B143" s="239" t="s">
        <v>242</v>
      </c>
      <c r="C143" s="239" t="s">
        <v>229</v>
      </c>
      <c r="D143" s="239" t="s">
        <v>220</v>
      </c>
      <c r="E143" s="243">
        <v>20747</v>
      </c>
      <c r="F143" s="239" t="s">
        <v>244</v>
      </c>
      <c r="H143" s="253">
        <v>37315</v>
      </c>
      <c r="K143" s="251">
        <f>0.2605+0.0369+0.003+0.0052+0.0007</f>
        <v>0.30629999999999996</v>
      </c>
      <c r="L143" s="239">
        <v>2.69E-2</v>
      </c>
      <c r="M143" s="241" t="s">
        <v>248</v>
      </c>
      <c r="N143" s="242">
        <f t="shared" si="61"/>
        <v>94952.999999999985</v>
      </c>
      <c r="O143" s="242">
        <f t="shared" si="61"/>
        <v>85763.999999999985</v>
      </c>
      <c r="P143" s="242">
        <f t="shared" ref="P143:W143" si="63">P116*$K143</f>
        <v>94952.999999999985</v>
      </c>
      <c r="Q143" s="242">
        <f t="shared" si="63"/>
        <v>91889.999999999985</v>
      </c>
      <c r="R143" s="242">
        <f t="shared" si="63"/>
        <v>94952.999999999985</v>
      </c>
      <c r="S143" s="242">
        <f t="shared" si="63"/>
        <v>91889.999999999985</v>
      </c>
      <c r="T143" s="242">
        <f t="shared" si="63"/>
        <v>94952.999999999985</v>
      </c>
      <c r="U143" s="242">
        <f t="shared" si="63"/>
        <v>94952.999999999985</v>
      </c>
      <c r="V143" s="242">
        <f t="shared" si="63"/>
        <v>91889.999999999985</v>
      </c>
      <c r="W143" s="242">
        <f t="shared" si="63"/>
        <v>94952.999999999985</v>
      </c>
      <c r="X143" s="242">
        <f>X116*($K143-$K169+0.0053)</f>
        <v>82410</v>
      </c>
      <c r="Y143" s="242">
        <f>Y116*($K143-$K169+0.0053)</f>
        <v>85157</v>
      </c>
    </row>
    <row r="144" spans="1:26" ht="12.75" customHeight="1" x14ac:dyDescent="0.15">
      <c r="A144" s="239" t="s">
        <v>218</v>
      </c>
      <c r="B144" s="239" t="s">
        <v>242</v>
      </c>
      <c r="C144" s="239" t="s">
        <v>229</v>
      </c>
      <c r="D144" s="239" t="s">
        <v>220</v>
      </c>
      <c r="E144" s="243">
        <v>20748</v>
      </c>
      <c r="F144" s="239" t="s">
        <v>244</v>
      </c>
      <c r="H144" s="253">
        <v>37315</v>
      </c>
      <c r="K144" s="251">
        <f>0.2605+0.002+0.0369+0.0052+0.0007</f>
        <v>0.30529999999999996</v>
      </c>
      <c r="L144" s="239">
        <v>2.69E-2</v>
      </c>
      <c r="M144" s="241" t="s">
        <v>248</v>
      </c>
      <c r="N144" s="242">
        <f t="shared" si="61"/>
        <v>94642.999999999985</v>
      </c>
      <c r="O144" s="242">
        <f t="shared" si="61"/>
        <v>85483.999999999985</v>
      </c>
      <c r="P144" s="242">
        <f t="shared" ref="P144:W144" si="64">P117*$K144</f>
        <v>94642.999999999985</v>
      </c>
      <c r="Q144" s="242">
        <f t="shared" si="64"/>
        <v>91589.999999999985</v>
      </c>
      <c r="R144" s="242">
        <f t="shared" si="64"/>
        <v>94642.999999999985</v>
      </c>
      <c r="S144" s="242">
        <f t="shared" si="64"/>
        <v>91589.999999999985</v>
      </c>
      <c r="T144" s="242">
        <f t="shared" si="64"/>
        <v>94642.999999999985</v>
      </c>
      <c r="U144" s="242">
        <f t="shared" si="64"/>
        <v>94642.999999999985</v>
      </c>
      <c r="V144" s="242">
        <f t="shared" si="64"/>
        <v>91589.999999999985</v>
      </c>
      <c r="W144" s="242">
        <f t="shared" si="64"/>
        <v>94642.999999999985</v>
      </c>
      <c r="X144" s="242">
        <f>X117*($K144-$K170+0.0053)</f>
        <v>82110</v>
      </c>
      <c r="Y144" s="242">
        <f>Y117*($K144-$K170+0.0053)</f>
        <v>84847</v>
      </c>
    </row>
    <row r="145" spans="1:32" ht="12.75" customHeight="1" x14ac:dyDescent="0.15">
      <c r="A145" s="239" t="s">
        <v>218</v>
      </c>
      <c r="B145" s="239" t="s">
        <v>242</v>
      </c>
      <c r="C145" s="239" t="s">
        <v>229</v>
      </c>
      <c r="D145" s="239" t="s">
        <v>220</v>
      </c>
      <c r="E145" s="243">
        <v>20822</v>
      </c>
      <c r="F145" s="239" t="s">
        <v>245</v>
      </c>
      <c r="H145" s="253">
        <v>39141</v>
      </c>
      <c r="K145" s="251">
        <f>0.168+0.0369+0.002+0.0026</f>
        <v>0.20950000000000002</v>
      </c>
      <c r="L145" s="239">
        <v>2.69E-2</v>
      </c>
      <c r="M145" s="241" t="s">
        <v>248</v>
      </c>
      <c r="N145" s="242">
        <f t="shared" si="61"/>
        <v>162362.50000000003</v>
      </c>
      <c r="O145" s="242">
        <f t="shared" si="61"/>
        <v>146650</v>
      </c>
      <c r="P145" s="242">
        <f t="shared" ref="P145:W145" si="65">P118*$K145</f>
        <v>162362.50000000003</v>
      </c>
      <c r="Q145" s="242">
        <f t="shared" si="65"/>
        <v>157125.00000000003</v>
      </c>
      <c r="R145" s="242">
        <f t="shared" si="65"/>
        <v>162362.50000000003</v>
      </c>
      <c r="S145" s="242">
        <f t="shared" si="65"/>
        <v>157125.00000000003</v>
      </c>
      <c r="T145" s="242">
        <f t="shared" si="65"/>
        <v>162362.50000000003</v>
      </c>
      <c r="U145" s="242">
        <f t="shared" si="65"/>
        <v>162362.50000000003</v>
      </c>
      <c r="V145" s="242">
        <f t="shared" si="65"/>
        <v>157125.00000000003</v>
      </c>
      <c r="W145" s="242">
        <f t="shared" si="65"/>
        <v>162362.50000000003</v>
      </c>
      <c r="X145" s="242">
        <f>X118*($K145-$K$171+0.0035)</f>
        <v>132075.00000000003</v>
      </c>
      <c r="Y145" s="242">
        <f>Y118*($K145-$K$171+0.0035)</f>
        <v>136477.50000000003</v>
      </c>
    </row>
    <row r="146" spans="1:32" ht="12.75" customHeight="1" x14ac:dyDescent="0.15">
      <c r="A146" s="239" t="s">
        <v>218</v>
      </c>
      <c r="B146" s="239" t="s">
        <v>242</v>
      </c>
      <c r="C146" s="239" t="s">
        <v>229</v>
      </c>
      <c r="D146" s="239" t="s">
        <v>220</v>
      </c>
      <c r="E146" s="243">
        <v>26678</v>
      </c>
      <c r="F146" s="239" t="s">
        <v>246</v>
      </c>
      <c r="H146" s="253">
        <v>39172</v>
      </c>
      <c r="K146" s="251">
        <f>0.2605+0.003+0.0443+0.0051+0.0007</f>
        <v>0.31359999999999999</v>
      </c>
      <c r="L146" s="239">
        <v>2.69E-2</v>
      </c>
      <c r="M146" s="241" t="s">
        <v>248</v>
      </c>
      <c r="N146" s="242">
        <f t="shared" si="61"/>
        <v>243040</v>
      </c>
      <c r="O146" s="242">
        <f t="shared" si="61"/>
        <v>219520</v>
      </c>
      <c r="P146" s="242">
        <f t="shared" ref="P146:W146" si="66">P119*$K146</f>
        <v>243040</v>
      </c>
      <c r="Q146" s="242">
        <f t="shared" si="66"/>
        <v>235200</v>
      </c>
      <c r="R146" s="242">
        <f t="shared" si="66"/>
        <v>243040</v>
      </c>
      <c r="S146" s="242">
        <f t="shared" si="66"/>
        <v>235200</v>
      </c>
      <c r="T146" s="242">
        <f t="shared" si="66"/>
        <v>243040</v>
      </c>
      <c r="U146" s="242">
        <f t="shared" si="66"/>
        <v>243040</v>
      </c>
      <c r="V146" s="242">
        <f t="shared" si="66"/>
        <v>235200</v>
      </c>
      <c r="W146" s="242">
        <f t="shared" si="66"/>
        <v>243040</v>
      </c>
      <c r="X146" s="242">
        <f>X119*($K146-$K$172+0.0053)</f>
        <v>205950</v>
      </c>
      <c r="Y146" s="242">
        <f>Y119*($K146-$K$172+0.0053)</f>
        <v>212815</v>
      </c>
    </row>
    <row r="147" spans="1:32" ht="12.75" customHeight="1" x14ac:dyDescent="0.15">
      <c r="A147" s="584" t="s">
        <v>218</v>
      </c>
      <c r="B147" s="584" t="s">
        <v>242</v>
      </c>
      <c r="C147" s="584" t="s">
        <v>229</v>
      </c>
      <c r="D147" s="584" t="s">
        <v>220</v>
      </c>
      <c r="E147" s="593">
        <v>27583</v>
      </c>
      <c r="F147" s="584" t="s">
        <v>481</v>
      </c>
      <c r="G147" s="586">
        <v>37012</v>
      </c>
      <c r="H147" s="587">
        <v>37407</v>
      </c>
      <c r="I147" s="594">
        <v>1300</v>
      </c>
      <c r="K147" s="589">
        <v>0.22889999999999999</v>
      </c>
      <c r="L147" s="584">
        <v>1.5299999999999999E-2</v>
      </c>
      <c r="R147" s="594">
        <f t="shared" ref="R147:Y147" si="67">R120*$K147</f>
        <v>9224.67</v>
      </c>
      <c r="S147" s="594">
        <f t="shared" si="67"/>
        <v>8927.1</v>
      </c>
      <c r="T147" s="594">
        <f t="shared" si="67"/>
        <v>9224.67</v>
      </c>
      <c r="U147" s="594">
        <f t="shared" si="67"/>
        <v>9224.67</v>
      </c>
      <c r="V147" s="594">
        <f t="shared" si="67"/>
        <v>8927.1</v>
      </c>
      <c r="W147" s="594">
        <f t="shared" si="67"/>
        <v>9224.67</v>
      </c>
      <c r="X147" s="594">
        <f t="shared" si="67"/>
        <v>8927.1</v>
      </c>
      <c r="Y147" s="594">
        <f t="shared" si="67"/>
        <v>9224.67</v>
      </c>
      <c r="Z147" s="592">
        <f>SUM(N147:Y147)</f>
        <v>72904.649999999994</v>
      </c>
    </row>
    <row r="148" spans="1:32" ht="12.75" customHeight="1" x14ac:dyDescent="0.15">
      <c r="A148" s="239" t="s">
        <v>218</v>
      </c>
      <c r="B148" s="239" t="s">
        <v>242</v>
      </c>
      <c r="C148" s="239" t="s">
        <v>229</v>
      </c>
      <c r="D148" s="239" t="s">
        <v>220</v>
      </c>
      <c r="E148" s="243">
        <v>26372</v>
      </c>
      <c r="F148" s="239" t="s">
        <v>247</v>
      </c>
      <c r="H148" s="253">
        <v>39172</v>
      </c>
      <c r="K148" s="251">
        <f>0.2605+0.003+0.0443+0.0051+0.0007</f>
        <v>0.31359999999999999</v>
      </c>
      <c r="L148" s="239">
        <v>2.69E-2</v>
      </c>
      <c r="M148" s="241" t="s">
        <v>248</v>
      </c>
      <c r="N148" s="242">
        <f>N121*$K148</f>
        <v>243040</v>
      </c>
      <c r="O148" s="242">
        <f>O121*$K148</f>
        <v>219520</v>
      </c>
      <c r="P148" s="242">
        <f t="shared" ref="P148:W148" si="68">P121*$K148</f>
        <v>243040</v>
      </c>
      <c r="Q148" s="242">
        <f t="shared" si="68"/>
        <v>235200</v>
      </c>
      <c r="R148" s="242">
        <f t="shared" si="68"/>
        <v>243040</v>
      </c>
      <c r="S148" s="242">
        <f t="shared" si="68"/>
        <v>235200</v>
      </c>
      <c r="T148" s="242">
        <f t="shared" si="68"/>
        <v>243040</v>
      </c>
      <c r="U148" s="242">
        <f t="shared" si="68"/>
        <v>243040</v>
      </c>
      <c r="V148" s="242">
        <f t="shared" si="68"/>
        <v>235200</v>
      </c>
      <c r="W148" s="242">
        <f t="shared" si="68"/>
        <v>243040</v>
      </c>
      <c r="X148" s="242">
        <f>X121*($K148-$K$173+0.0053)</f>
        <v>205950</v>
      </c>
      <c r="Y148" s="242">
        <f>Y121*($K148-$K$173+0.0053)</f>
        <v>212815</v>
      </c>
    </row>
    <row r="149" spans="1:32" ht="12.75" customHeight="1" x14ac:dyDescent="0.15">
      <c r="A149" s="239" t="s">
        <v>218</v>
      </c>
      <c r="B149" s="239" t="s">
        <v>242</v>
      </c>
      <c r="C149" s="239" t="s">
        <v>229</v>
      </c>
      <c r="D149" s="239" t="s">
        <v>220</v>
      </c>
      <c r="E149" s="243">
        <v>21165</v>
      </c>
      <c r="F149" s="239" t="s">
        <v>233</v>
      </c>
      <c r="H149" s="253">
        <v>39172</v>
      </c>
      <c r="K149" s="251">
        <f>0.2605+0.003+0.0443+0.005+0.0007</f>
        <v>0.3135</v>
      </c>
      <c r="L149" s="239">
        <v>2.69E-2</v>
      </c>
      <c r="M149" s="241" t="s">
        <v>248</v>
      </c>
      <c r="N149" s="242">
        <f>N122*$K149</f>
        <v>1457775</v>
      </c>
      <c r="O149" s="242">
        <f>O122*$K149</f>
        <v>1316700</v>
      </c>
      <c r="P149" s="242">
        <f t="shared" ref="P149:W149" si="69">P122*$K149</f>
        <v>1457775</v>
      </c>
      <c r="Q149" s="242">
        <f t="shared" si="69"/>
        <v>1410750</v>
      </c>
      <c r="R149" s="242">
        <f t="shared" si="69"/>
        <v>1457775</v>
      </c>
      <c r="S149" s="242">
        <f t="shared" si="69"/>
        <v>1410750</v>
      </c>
      <c r="T149" s="242">
        <f t="shared" si="69"/>
        <v>1457775</v>
      </c>
      <c r="U149" s="242">
        <f t="shared" si="69"/>
        <v>1457775</v>
      </c>
      <c r="V149" s="242">
        <f t="shared" si="69"/>
        <v>1410750</v>
      </c>
      <c r="W149" s="242">
        <f t="shared" si="69"/>
        <v>1457775</v>
      </c>
      <c r="X149" s="242">
        <f>X122*($K149-$K$174+0.0053)</f>
        <v>1235250</v>
      </c>
      <c r="Y149" s="242">
        <f>Y122*($K149-$K$174+0.0053)</f>
        <v>1276425</v>
      </c>
    </row>
    <row r="151" spans="1:32" ht="12.75" customHeight="1" x14ac:dyDescent="0.15">
      <c r="I151" s="245"/>
      <c r="N151" s="245"/>
      <c r="O151" s="245"/>
      <c r="P151" s="245"/>
      <c r="Q151" s="245"/>
      <c r="R151" s="245"/>
      <c r="S151" s="245"/>
      <c r="T151" s="245"/>
      <c r="U151" s="245"/>
      <c r="V151" s="245"/>
      <c r="W151" s="245"/>
      <c r="X151" s="245"/>
      <c r="Y151" s="245"/>
    </row>
    <row r="152" spans="1:32" ht="12.75" customHeight="1" x14ac:dyDescent="0.15">
      <c r="I152" s="242">
        <f>SUM(I142:I151)</f>
        <v>1300</v>
      </c>
      <c r="N152" s="242">
        <f>SUM(N142:N151)</f>
        <v>2488509.5</v>
      </c>
      <c r="O152" s="242">
        <f t="shared" ref="O152:Y152" si="70">SUM(O142:O151)</f>
        <v>2247686</v>
      </c>
      <c r="P152" s="242">
        <f t="shared" si="70"/>
        <v>2488509.5</v>
      </c>
      <c r="Q152" s="242">
        <f t="shared" si="70"/>
        <v>2408235</v>
      </c>
      <c r="R152" s="242">
        <f t="shared" si="70"/>
        <v>2497734.17</v>
      </c>
      <c r="S152" s="242">
        <f t="shared" si="70"/>
        <v>2417162.1</v>
      </c>
      <c r="T152" s="242">
        <f t="shared" si="70"/>
        <v>2497734.17</v>
      </c>
      <c r="U152" s="242">
        <f t="shared" si="70"/>
        <v>2497734.17</v>
      </c>
      <c r="V152" s="242">
        <f t="shared" si="70"/>
        <v>2417162.1</v>
      </c>
      <c r="W152" s="242">
        <f t="shared" si="70"/>
        <v>2497734.17</v>
      </c>
      <c r="X152" s="242">
        <f t="shared" si="70"/>
        <v>2115752.1</v>
      </c>
      <c r="Y152" s="242">
        <f t="shared" si="70"/>
        <v>2186277.17</v>
      </c>
      <c r="Z152" s="375">
        <f>SUM(N152:Y152)</f>
        <v>28760230.150000006</v>
      </c>
    </row>
    <row r="155" spans="1:32" ht="12.75" customHeight="1" x14ac:dyDescent="0.15">
      <c r="A155" s="239" t="s">
        <v>218</v>
      </c>
      <c r="B155" s="239" t="s">
        <v>242</v>
      </c>
      <c r="C155" s="239" t="s">
        <v>229</v>
      </c>
      <c r="D155" s="239" t="s">
        <v>223</v>
      </c>
      <c r="E155" s="243">
        <v>25924</v>
      </c>
      <c r="F155" s="239" t="s">
        <v>318</v>
      </c>
      <c r="H155" s="253">
        <v>39141</v>
      </c>
      <c r="K155" s="251">
        <f>0.2605+0.0443+0.0053+0.0007</f>
        <v>0.31080000000000002</v>
      </c>
      <c r="L155" s="239">
        <v>2.69E-2</v>
      </c>
      <c r="M155" s="241" t="s">
        <v>248</v>
      </c>
      <c r="N155" s="242">
        <f>N128*$L155</f>
        <v>26017.68</v>
      </c>
      <c r="O155" s="242">
        <f>O128*$L155</f>
        <v>24704.959999999999</v>
      </c>
      <c r="P155" s="242">
        <f t="shared" ref="P155:Y155" si="71">P128*$L155</f>
        <v>26184.46</v>
      </c>
      <c r="Q155" s="242">
        <f t="shared" si="71"/>
        <v>24210</v>
      </c>
      <c r="R155" s="242">
        <f t="shared" si="71"/>
        <v>24183.1</v>
      </c>
      <c r="S155" s="242">
        <f t="shared" si="71"/>
        <v>21789</v>
      </c>
      <c r="T155" s="242">
        <f t="shared" si="71"/>
        <v>22515.3</v>
      </c>
      <c r="U155" s="242">
        <f t="shared" si="71"/>
        <v>29186.5</v>
      </c>
      <c r="V155" s="242">
        <f t="shared" si="71"/>
        <v>27760.799999999999</v>
      </c>
      <c r="W155" s="242">
        <f t="shared" si="71"/>
        <v>25017</v>
      </c>
      <c r="X155" s="242">
        <f t="shared" si="71"/>
        <v>18076.800000000003</v>
      </c>
      <c r="Y155" s="242">
        <f t="shared" si="71"/>
        <v>19846.82</v>
      </c>
    </row>
    <row r="156" spans="1:32" s="558" customFormat="1" ht="12.75" customHeight="1" x14ac:dyDescent="0.15">
      <c r="B156" s="558" t="s">
        <v>468</v>
      </c>
      <c r="C156" s="558" t="s">
        <v>229</v>
      </c>
      <c r="D156" s="558" t="s">
        <v>223</v>
      </c>
      <c r="E156" s="559"/>
      <c r="G156" s="560"/>
      <c r="H156" s="561"/>
      <c r="I156" s="562"/>
      <c r="K156" s="563"/>
      <c r="L156" s="558">
        <v>1.7500000000000002E-2</v>
      </c>
      <c r="M156" s="564"/>
      <c r="N156" s="562"/>
      <c r="O156" s="562"/>
      <c r="P156" s="562"/>
      <c r="Q156" s="562">
        <f>Q111*$L156</f>
        <v>0</v>
      </c>
      <c r="R156" s="562">
        <f>R111*$L156</f>
        <v>0</v>
      </c>
      <c r="S156" s="562"/>
      <c r="T156" s="562"/>
      <c r="U156" s="562"/>
      <c r="V156" s="562">
        <f>V129*$L156</f>
        <v>-3500.0000000000005</v>
      </c>
      <c r="W156" s="562">
        <f>W129*$L156</f>
        <v>-9100</v>
      </c>
      <c r="X156" s="562">
        <f>X129*$L156</f>
        <v>-4550</v>
      </c>
      <c r="Y156" s="562">
        <f>Y129*$L156</f>
        <v>0</v>
      </c>
      <c r="AF156" s="565"/>
    </row>
    <row r="157" spans="1:32" ht="12.75" customHeight="1" x14ac:dyDescent="0.15">
      <c r="A157" s="239" t="s">
        <v>218</v>
      </c>
      <c r="B157" s="239" t="s">
        <v>242</v>
      </c>
      <c r="C157" s="239" t="s">
        <v>229</v>
      </c>
      <c r="D157" s="239" t="s">
        <v>223</v>
      </c>
      <c r="E157" s="243">
        <v>20747</v>
      </c>
      <c r="F157" s="239" t="s">
        <v>244</v>
      </c>
      <c r="H157" s="253">
        <v>37315</v>
      </c>
      <c r="K157" s="251">
        <f>0.2605+0.0369+0.003+0.0052+0.0007</f>
        <v>0.30629999999999996</v>
      </c>
      <c r="L157" s="239">
        <v>2.69E-2</v>
      </c>
      <c r="M157" s="241" t="s">
        <v>248</v>
      </c>
      <c r="N157" s="242">
        <f t="shared" ref="N157:O160" si="72">N130*$L157</f>
        <v>13008.84</v>
      </c>
      <c r="O157" s="242">
        <f t="shared" si="72"/>
        <v>12352.48</v>
      </c>
      <c r="P157" s="242">
        <f t="shared" ref="P157:Y157" si="73">P130*$L157</f>
        <v>13092.23</v>
      </c>
      <c r="Q157" s="242">
        <f t="shared" si="73"/>
        <v>12105</v>
      </c>
      <c r="R157" s="242">
        <f t="shared" si="73"/>
        <v>12091.55</v>
      </c>
      <c r="S157" s="242">
        <f t="shared" si="73"/>
        <v>10894.5</v>
      </c>
      <c r="T157" s="242">
        <f t="shared" si="73"/>
        <v>11257.65</v>
      </c>
      <c r="U157" s="242">
        <f t="shared" si="73"/>
        <v>14593.25</v>
      </c>
      <c r="V157" s="242">
        <f t="shared" si="73"/>
        <v>13880.4</v>
      </c>
      <c r="W157" s="242">
        <f t="shared" si="73"/>
        <v>12508.5</v>
      </c>
      <c r="X157" s="242">
        <f t="shared" si="73"/>
        <v>9038.4000000000015</v>
      </c>
      <c r="Y157" s="242">
        <f t="shared" si="73"/>
        <v>9923.41</v>
      </c>
    </row>
    <row r="158" spans="1:32" ht="12.75" customHeight="1" x14ac:dyDescent="0.15">
      <c r="A158" s="239" t="s">
        <v>218</v>
      </c>
      <c r="B158" s="239" t="s">
        <v>242</v>
      </c>
      <c r="C158" s="239" t="s">
        <v>229</v>
      </c>
      <c r="D158" s="239" t="s">
        <v>223</v>
      </c>
      <c r="E158" s="243">
        <v>20748</v>
      </c>
      <c r="F158" s="239" t="s">
        <v>244</v>
      </c>
      <c r="H158" s="253">
        <v>37315</v>
      </c>
      <c r="K158" s="251">
        <f>0.2605+0.002+0.0369+0.0052+0.0007</f>
        <v>0.30529999999999996</v>
      </c>
      <c r="L158" s="239">
        <v>2.69E-2</v>
      </c>
      <c r="M158" s="241" t="s">
        <v>248</v>
      </c>
      <c r="N158" s="242">
        <f t="shared" si="72"/>
        <v>13008.84</v>
      </c>
      <c r="O158" s="242">
        <f t="shared" si="72"/>
        <v>12352.48</v>
      </c>
      <c r="P158" s="242">
        <f t="shared" ref="P158:Y158" si="74">P131*$L158</f>
        <v>0</v>
      </c>
      <c r="Q158" s="242">
        <f t="shared" si="74"/>
        <v>12105</v>
      </c>
      <c r="R158" s="242">
        <f t="shared" si="74"/>
        <v>12091.55</v>
      </c>
      <c r="S158" s="242">
        <f t="shared" si="74"/>
        <v>10894.5</v>
      </c>
      <c r="T158" s="242">
        <f t="shared" si="74"/>
        <v>11257.65</v>
      </c>
      <c r="U158" s="242">
        <f t="shared" si="74"/>
        <v>14593.25</v>
      </c>
      <c r="V158" s="242">
        <f t="shared" si="74"/>
        <v>13880.4</v>
      </c>
      <c r="W158" s="242">
        <f t="shared" si="74"/>
        <v>12508.5</v>
      </c>
      <c r="X158" s="242">
        <f t="shared" si="74"/>
        <v>9038.4000000000015</v>
      </c>
      <c r="Y158" s="242">
        <f t="shared" si="74"/>
        <v>9923.41</v>
      </c>
    </row>
    <row r="159" spans="1:32" ht="12.75" customHeight="1" x14ac:dyDescent="0.15">
      <c r="A159" s="239" t="s">
        <v>218</v>
      </c>
      <c r="B159" s="239" t="s">
        <v>242</v>
      </c>
      <c r="C159" s="239" t="s">
        <v>229</v>
      </c>
      <c r="D159" s="239" t="s">
        <v>223</v>
      </c>
      <c r="E159" s="243">
        <v>20822</v>
      </c>
      <c r="F159" s="239" t="s">
        <v>245</v>
      </c>
      <c r="H159" s="253">
        <v>39141</v>
      </c>
      <c r="K159" s="251">
        <f>0.168+0.0369+0.002+0.0026</f>
        <v>0.20950000000000002</v>
      </c>
      <c r="L159" s="239">
        <v>2.69E-2</v>
      </c>
      <c r="M159" s="241" t="s">
        <v>248</v>
      </c>
      <c r="N159" s="242">
        <f t="shared" si="72"/>
        <v>32522.1</v>
      </c>
      <c r="O159" s="242">
        <f t="shared" si="72"/>
        <v>30881.200000000001</v>
      </c>
      <c r="P159" s="242">
        <f t="shared" ref="P159:Y159" si="75">P132*$L159</f>
        <v>32730.575000000001</v>
      </c>
      <c r="Q159" s="242">
        <f t="shared" si="75"/>
        <v>30262.5</v>
      </c>
      <c r="R159" s="242">
        <f t="shared" si="75"/>
        <v>30228.875</v>
      </c>
      <c r="S159" s="242">
        <f t="shared" si="75"/>
        <v>27236.250000000004</v>
      </c>
      <c r="T159" s="242">
        <f t="shared" si="75"/>
        <v>28144.125000000004</v>
      </c>
      <c r="U159" s="242">
        <f t="shared" si="75"/>
        <v>36483.125</v>
      </c>
      <c r="V159" s="242">
        <f t="shared" si="75"/>
        <v>34701</v>
      </c>
      <c r="W159" s="242">
        <f t="shared" si="75"/>
        <v>31271.25</v>
      </c>
      <c r="X159" s="242">
        <f t="shared" si="75"/>
        <v>22596.000000000004</v>
      </c>
      <c r="Y159" s="242">
        <f t="shared" si="75"/>
        <v>24808.525000000001</v>
      </c>
    </row>
    <row r="160" spans="1:32" ht="12.75" customHeight="1" x14ac:dyDescent="0.15">
      <c r="A160" s="239" t="s">
        <v>218</v>
      </c>
      <c r="B160" s="239" t="s">
        <v>242</v>
      </c>
      <c r="C160" s="239" t="s">
        <v>229</v>
      </c>
      <c r="D160" s="239" t="s">
        <v>223</v>
      </c>
      <c r="E160" s="243">
        <v>26678</v>
      </c>
      <c r="F160" s="239" t="s">
        <v>246</v>
      </c>
      <c r="H160" s="253">
        <v>39172</v>
      </c>
      <c r="K160" s="251">
        <f>0.2605+0.003+0.0443+0.0051+0.0007</f>
        <v>0.31359999999999999</v>
      </c>
      <c r="L160" s="239">
        <v>2.69E-2</v>
      </c>
      <c r="M160" s="241" t="s">
        <v>248</v>
      </c>
      <c r="N160" s="242">
        <f t="shared" si="72"/>
        <v>32522.1</v>
      </c>
      <c r="O160" s="242">
        <f t="shared" si="72"/>
        <v>30881.200000000001</v>
      </c>
      <c r="P160" s="242">
        <f t="shared" ref="P160:Y160" si="76">P133*$L160</f>
        <v>32730.575000000001</v>
      </c>
      <c r="Q160" s="242">
        <f t="shared" si="76"/>
        <v>30262.5</v>
      </c>
      <c r="R160" s="242">
        <f t="shared" si="76"/>
        <v>30228.875</v>
      </c>
      <c r="S160" s="242">
        <f t="shared" si="76"/>
        <v>27236.250000000004</v>
      </c>
      <c r="T160" s="242">
        <f t="shared" si="76"/>
        <v>28144.125000000004</v>
      </c>
      <c r="U160" s="242">
        <f t="shared" si="76"/>
        <v>36483.125</v>
      </c>
      <c r="V160" s="242">
        <f t="shared" si="76"/>
        <v>34701</v>
      </c>
      <c r="W160" s="242">
        <f t="shared" si="76"/>
        <v>31271.25</v>
      </c>
      <c r="X160" s="242">
        <f t="shared" si="76"/>
        <v>22596.000000000004</v>
      </c>
      <c r="Y160" s="242">
        <f t="shared" si="76"/>
        <v>24808.525000000001</v>
      </c>
    </row>
    <row r="161" spans="1:31" ht="12.75" customHeight="1" x14ac:dyDescent="0.15">
      <c r="A161" s="584" t="s">
        <v>218</v>
      </c>
      <c r="B161" s="584" t="s">
        <v>242</v>
      </c>
      <c r="C161" s="584" t="s">
        <v>229</v>
      </c>
      <c r="D161" s="584" t="s">
        <v>223</v>
      </c>
      <c r="E161" s="593">
        <v>27583</v>
      </c>
      <c r="F161" s="584" t="s">
        <v>481</v>
      </c>
      <c r="G161" s="586">
        <v>37012</v>
      </c>
      <c r="H161" s="587">
        <v>37407</v>
      </c>
      <c r="I161" s="594">
        <v>1300</v>
      </c>
      <c r="K161" s="589">
        <v>0.22889999999999999</v>
      </c>
      <c r="L161" s="584">
        <v>1.5299999999999999E-2</v>
      </c>
      <c r="R161" s="594">
        <f t="shared" ref="R161:Y161" si="77">R134*$L161</f>
        <v>894.05549999999994</v>
      </c>
      <c r="S161" s="594">
        <f t="shared" si="77"/>
        <v>805.54499999999996</v>
      </c>
      <c r="T161" s="594">
        <f t="shared" si="77"/>
        <v>832.39649999999995</v>
      </c>
      <c r="U161" s="594">
        <f t="shared" si="77"/>
        <v>1079.0325</v>
      </c>
      <c r="V161" s="594">
        <f t="shared" si="77"/>
        <v>1026.3240000000001</v>
      </c>
      <c r="W161" s="594">
        <f t="shared" si="77"/>
        <v>924.88499999999999</v>
      </c>
      <c r="X161" s="594">
        <f t="shared" si="77"/>
        <v>668.30400000000009</v>
      </c>
      <c r="Y161" s="594">
        <f t="shared" si="77"/>
        <v>733.74209999999994</v>
      </c>
      <c r="Z161" s="592">
        <f>SUM(N161:Y161)</f>
        <v>6964.284599999999</v>
      </c>
    </row>
    <row r="162" spans="1:31" ht="12.75" customHeight="1" x14ac:dyDescent="0.15">
      <c r="A162" s="239" t="s">
        <v>218</v>
      </c>
      <c r="B162" s="239" t="s">
        <v>242</v>
      </c>
      <c r="C162" s="239" t="s">
        <v>229</v>
      </c>
      <c r="D162" s="239" t="s">
        <v>223</v>
      </c>
      <c r="E162" s="243">
        <v>26372</v>
      </c>
      <c r="F162" s="239" t="s">
        <v>247</v>
      </c>
      <c r="H162" s="253">
        <v>39172</v>
      </c>
      <c r="K162" s="251">
        <f>0.2605+0.003+0.0443+0.0051+0.0007</f>
        <v>0.31359999999999999</v>
      </c>
      <c r="L162" s="239">
        <v>2.69E-2</v>
      </c>
      <c r="M162" s="241" t="s">
        <v>248</v>
      </c>
      <c r="N162" s="242">
        <f>N135*$L162</f>
        <v>32522.1</v>
      </c>
      <c r="O162" s="242">
        <f>O135*$L162</f>
        <v>30881.200000000001</v>
      </c>
      <c r="P162" s="242">
        <f t="shared" ref="P162:Y162" si="78">P135*$L162</f>
        <v>32730.575000000001</v>
      </c>
      <c r="Q162" s="242">
        <f t="shared" si="78"/>
        <v>30262.5</v>
      </c>
      <c r="R162" s="242">
        <f t="shared" si="78"/>
        <v>30228.875</v>
      </c>
      <c r="S162" s="242">
        <f t="shared" si="78"/>
        <v>27236.250000000004</v>
      </c>
      <c r="T162" s="242">
        <f t="shared" si="78"/>
        <v>28144.125000000004</v>
      </c>
      <c r="U162" s="242">
        <f t="shared" si="78"/>
        <v>36483.125</v>
      </c>
      <c r="V162" s="242">
        <f t="shared" si="78"/>
        <v>34701</v>
      </c>
      <c r="W162" s="242">
        <f t="shared" si="78"/>
        <v>31271.25</v>
      </c>
      <c r="X162" s="242">
        <f t="shared" si="78"/>
        <v>22596.000000000004</v>
      </c>
      <c r="Y162" s="242">
        <f t="shared" si="78"/>
        <v>24808.525000000001</v>
      </c>
    </row>
    <row r="163" spans="1:31" ht="12.75" customHeight="1" x14ac:dyDescent="0.15">
      <c r="A163" s="239" t="s">
        <v>218</v>
      </c>
      <c r="B163" s="239" t="s">
        <v>242</v>
      </c>
      <c r="C163" s="239" t="s">
        <v>229</v>
      </c>
      <c r="D163" s="239" t="s">
        <v>223</v>
      </c>
      <c r="E163" s="243">
        <v>21165</v>
      </c>
      <c r="F163" s="239" t="s">
        <v>233</v>
      </c>
      <c r="H163" s="253">
        <v>39172</v>
      </c>
      <c r="K163" s="251">
        <f>0.2605+0.003+0.0443+0.005+0.0007</f>
        <v>0.3135</v>
      </c>
      <c r="L163" s="239">
        <v>2.69E-2</v>
      </c>
      <c r="M163" s="241" t="s">
        <v>248</v>
      </c>
      <c r="N163" s="242">
        <f>N136*$L163</f>
        <v>195132.6</v>
      </c>
      <c r="O163" s="242">
        <f>O136*$L163</f>
        <v>185287.2</v>
      </c>
      <c r="P163" s="242">
        <f t="shared" ref="P163:Y163" si="79">P136*$L163</f>
        <v>196383.45</v>
      </c>
      <c r="Q163" s="242">
        <f t="shared" si="79"/>
        <v>181575</v>
      </c>
      <c r="R163" s="242">
        <f t="shared" si="79"/>
        <v>181373.25</v>
      </c>
      <c r="S163" s="242">
        <f t="shared" si="79"/>
        <v>163417.5</v>
      </c>
      <c r="T163" s="242">
        <f t="shared" si="79"/>
        <v>168864.75</v>
      </c>
      <c r="U163" s="242">
        <f t="shared" si="79"/>
        <v>218898.75</v>
      </c>
      <c r="V163" s="242">
        <f t="shared" si="79"/>
        <v>208206</v>
      </c>
      <c r="W163" s="242">
        <f t="shared" si="79"/>
        <v>187627.5</v>
      </c>
      <c r="X163" s="242">
        <f t="shared" si="79"/>
        <v>135576.00000000003</v>
      </c>
      <c r="Y163" s="242">
        <f t="shared" si="79"/>
        <v>148851.15</v>
      </c>
    </row>
    <row r="165" spans="1:31" ht="12.75" customHeight="1" x14ac:dyDescent="0.15">
      <c r="I165" s="245"/>
      <c r="N165" s="245"/>
      <c r="O165" s="245"/>
      <c r="P165" s="245"/>
      <c r="Q165" s="245"/>
      <c r="R165" s="245"/>
      <c r="S165" s="245"/>
      <c r="T165" s="245"/>
      <c r="U165" s="245"/>
      <c r="V165" s="245"/>
      <c r="W165" s="245"/>
      <c r="X165" s="245"/>
      <c r="Y165" s="245"/>
    </row>
    <row r="166" spans="1:31" ht="12.75" customHeight="1" x14ac:dyDescent="0.15">
      <c r="I166" s="242">
        <f>SUM(I155:I165)</f>
        <v>1300</v>
      </c>
      <c r="N166" s="242">
        <f>SUM(N155:N165)</f>
        <v>344734.26</v>
      </c>
      <c r="O166" s="242">
        <f t="shared" ref="O166:Y166" si="80">SUM(O155:O165)</f>
        <v>327340.71999999997</v>
      </c>
      <c r="P166" s="242">
        <f t="shared" si="80"/>
        <v>333851.86499999999</v>
      </c>
      <c r="Q166" s="242">
        <f t="shared" si="80"/>
        <v>320782.5</v>
      </c>
      <c r="R166" s="242">
        <f t="shared" si="80"/>
        <v>321320.13049999997</v>
      </c>
      <c r="S166" s="242">
        <f t="shared" si="80"/>
        <v>289509.79499999998</v>
      </c>
      <c r="T166" s="242">
        <f t="shared" si="80"/>
        <v>299160.12150000001</v>
      </c>
      <c r="U166" s="242">
        <f t="shared" si="80"/>
        <v>387800.15749999997</v>
      </c>
      <c r="V166" s="242">
        <f t="shared" si="80"/>
        <v>365356.924</v>
      </c>
      <c r="W166" s="242">
        <f t="shared" si="80"/>
        <v>323300.13500000001</v>
      </c>
      <c r="X166" s="242">
        <f t="shared" si="80"/>
        <v>235635.90400000004</v>
      </c>
      <c r="Y166" s="242">
        <f t="shared" si="80"/>
        <v>263704.10710000002</v>
      </c>
      <c r="Z166" s="375">
        <f>SUM(N166:Y166)</f>
        <v>3812496.6196000003</v>
      </c>
      <c r="AE166" s="375">
        <f>Z166</f>
        <v>3812496.6196000003</v>
      </c>
    </row>
    <row r="168" spans="1:31" ht="12.75" customHeight="1" x14ac:dyDescent="0.15">
      <c r="A168" s="239" t="s">
        <v>218</v>
      </c>
      <c r="B168" s="239" t="s">
        <v>242</v>
      </c>
      <c r="C168" s="239" t="s">
        <v>293</v>
      </c>
      <c r="E168" s="243">
        <v>20746</v>
      </c>
      <c r="F168" s="239" t="s">
        <v>243</v>
      </c>
      <c r="I168" s="242">
        <v>20000</v>
      </c>
      <c r="K168" s="251">
        <v>4.4299999999999999E-2</v>
      </c>
      <c r="N168" s="242">
        <f>$I168*$K168*N$1</f>
        <v>27466</v>
      </c>
      <c r="O168" s="242">
        <f t="shared" ref="O168:W168" si="81">$I168*$K168*O$1</f>
        <v>24808</v>
      </c>
      <c r="P168" s="242">
        <f t="shared" si="81"/>
        <v>27466</v>
      </c>
      <c r="Q168" s="242">
        <f t="shared" si="81"/>
        <v>26580</v>
      </c>
      <c r="R168" s="242">
        <f t="shared" si="81"/>
        <v>27466</v>
      </c>
      <c r="S168" s="242">
        <f t="shared" si="81"/>
        <v>26580</v>
      </c>
      <c r="T168" s="242">
        <f t="shared" si="81"/>
        <v>27466</v>
      </c>
      <c r="U168" s="242">
        <f t="shared" si="81"/>
        <v>27466</v>
      </c>
      <c r="V168" s="242">
        <f t="shared" si="81"/>
        <v>26580</v>
      </c>
      <c r="W168" s="242">
        <f t="shared" si="81"/>
        <v>27466</v>
      </c>
    </row>
    <row r="169" spans="1:31" ht="12.75" customHeight="1" x14ac:dyDescent="0.15">
      <c r="A169" s="239" t="s">
        <v>218</v>
      </c>
      <c r="B169" s="239" t="s">
        <v>242</v>
      </c>
      <c r="C169" s="239" t="s">
        <v>293</v>
      </c>
      <c r="E169" s="243">
        <v>20747</v>
      </c>
      <c r="F169" s="239" t="s">
        <v>244</v>
      </c>
      <c r="I169" s="242">
        <v>10000</v>
      </c>
      <c r="K169" s="251">
        <v>3.6900000000000002E-2</v>
      </c>
      <c r="N169" s="242">
        <f t="shared" ref="N169:W174" si="82">$I169*$K169*N$1</f>
        <v>11439</v>
      </c>
      <c r="O169" s="242">
        <f t="shared" si="82"/>
        <v>10332</v>
      </c>
      <c r="P169" s="242">
        <f t="shared" si="82"/>
        <v>11439</v>
      </c>
      <c r="Q169" s="242">
        <f t="shared" si="82"/>
        <v>11070</v>
      </c>
      <c r="R169" s="242">
        <f t="shared" si="82"/>
        <v>11439</v>
      </c>
      <c r="S169" s="242">
        <f t="shared" si="82"/>
        <v>11070</v>
      </c>
      <c r="T169" s="242">
        <f t="shared" si="82"/>
        <v>11439</v>
      </c>
      <c r="U169" s="242">
        <f t="shared" si="82"/>
        <v>11439</v>
      </c>
      <c r="V169" s="242">
        <f t="shared" si="82"/>
        <v>11070</v>
      </c>
      <c r="W169" s="242">
        <f t="shared" si="82"/>
        <v>11439</v>
      </c>
    </row>
    <row r="170" spans="1:31" ht="12.75" customHeight="1" x14ac:dyDescent="0.15">
      <c r="A170" s="239" t="s">
        <v>218</v>
      </c>
      <c r="B170" s="239" t="s">
        <v>242</v>
      </c>
      <c r="C170" s="239" t="s">
        <v>293</v>
      </c>
      <c r="E170" s="243">
        <v>20748</v>
      </c>
      <c r="F170" s="239" t="s">
        <v>244</v>
      </c>
      <c r="I170" s="242">
        <v>10000</v>
      </c>
      <c r="K170" s="251">
        <v>3.6900000000000002E-2</v>
      </c>
      <c r="N170" s="242">
        <f t="shared" si="82"/>
        <v>11439</v>
      </c>
      <c r="O170" s="242">
        <f t="shared" si="82"/>
        <v>10332</v>
      </c>
      <c r="P170" s="242">
        <f t="shared" si="82"/>
        <v>11439</v>
      </c>
      <c r="Q170" s="242">
        <f t="shared" si="82"/>
        <v>11070</v>
      </c>
      <c r="R170" s="242">
        <f t="shared" si="82"/>
        <v>11439</v>
      </c>
      <c r="S170" s="242">
        <f t="shared" si="82"/>
        <v>11070</v>
      </c>
      <c r="T170" s="242">
        <f t="shared" si="82"/>
        <v>11439</v>
      </c>
      <c r="U170" s="242">
        <f t="shared" si="82"/>
        <v>11439</v>
      </c>
      <c r="V170" s="242">
        <f t="shared" si="82"/>
        <v>11070</v>
      </c>
      <c r="W170" s="242">
        <f t="shared" si="82"/>
        <v>11439</v>
      </c>
    </row>
    <row r="171" spans="1:31" ht="12.75" customHeight="1" x14ac:dyDescent="0.15">
      <c r="A171" s="239" t="s">
        <v>218</v>
      </c>
      <c r="B171" s="239" t="s">
        <v>242</v>
      </c>
      <c r="C171" s="239" t="s">
        <v>293</v>
      </c>
      <c r="E171" s="243">
        <v>20822</v>
      </c>
      <c r="F171" s="239" t="s">
        <v>245</v>
      </c>
      <c r="I171" s="242">
        <v>25000</v>
      </c>
      <c r="K171" s="251">
        <v>3.6900000000000002E-2</v>
      </c>
      <c r="N171" s="242">
        <f t="shared" si="82"/>
        <v>28597.5</v>
      </c>
      <c r="O171" s="242">
        <f t="shared" si="82"/>
        <v>25830</v>
      </c>
      <c r="P171" s="242">
        <f t="shared" si="82"/>
        <v>28597.5</v>
      </c>
      <c r="Q171" s="242">
        <f t="shared" si="82"/>
        <v>27675</v>
      </c>
      <c r="R171" s="242">
        <f t="shared" si="82"/>
        <v>28597.5</v>
      </c>
      <c r="S171" s="242">
        <f t="shared" si="82"/>
        <v>27675</v>
      </c>
      <c r="T171" s="242">
        <f t="shared" si="82"/>
        <v>28597.5</v>
      </c>
      <c r="U171" s="242">
        <f t="shared" si="82"/>
        <v>28597.5</v>
      </c>
      <c r="V171" s="242">
        <f t="shared" si="82"/>
        <v>27675</v>
      </c>
      <c r="W171" s="242">
        <f t="shared" si="82"/>
        <v>28597.5</v>
      </c>
    </row>
    <row r="172" spans="1:31" ht="12.75" customHeight="1" x14ac:dyDescent="0.15">
      <c r="A172" s="239" t="s">
        <v>218</v>
      </c>
      <c r="B172" s="239" t="s">
        <v>242</v>
      </c>
      <c r="C172" s="239" t="s">
        <v>293</v>
      </c>
      <c r="E172" s="243">
        <v>26678</v>
      </c>
      <c r="F172" s="239" t="s">
        <v>246</v>
      </c>
      <c r="I172" s="242">
        <v>25000</v>
      </c>
      <c r="K172" s="251">
        <v>4.4299999999999999E-2</v>
      </c>
      <c r="N172" s="242">
        <f t="shared" si="82"/>
        <v>34332.5</v>
      </c>
      <c r="O172" s="242">
        <f t="shared" si="82"/>
        <v>31010</v>
      </c>
      <c r="P172" s="242">
        <f t="shared" si="82"/>
        <v>34332.5</v>
      </c>
      <c r="Q172" s="242">
        <f t="shared" si="82"/>
        <v>33225</v>
      </c>
      <c r="R172" s="242">
        <f t="shared" si="82"/>
        <v>34332.5</v>
      </c>
      <c r="S172" s="242">
        <f t="shared" si="82"/>
        <v>33225</v>
      </c>
      <c r="T172" s="242">
        <f t="shared" si="82"/>
        <v>34332.5</v>
      </c>
      <c r="U172" s="242">
        <f t="shared" si="82"/>
        <v>34332.5</v>
      </c>
      <c r="V172" s="242">
        <f t="shared" si="82"/>
        <v>33225</v>
      </c>
      <c r="W172" s="242">
        <f t="shared" si="82"/>
        <v>34332.5</v>
      </c>
    </row>
    <row r="173" spans="1:31" ht="12.75" customHeight="1" x14ac:dyDescent="0.15">
      <c r="A173" s="239" t="s">
        <v>218</v>
      </c>
      <c r="B173" s="239" t="s">
        <v>242</v>
      </c>
      <c r="C173" s="239" t="s">
        <v>293</v>
      </c>
      <c r="E173" s="243">
        <v>26372</v>
      </c>
      <c r="F173" s="239" t="s">
        <v>247</v>
      </c>
      <c r="I173" s="242">
        <v>25000</v>
      </c>
      <c r="K173" s="251">
        <v>4.4299999999999999E-2</v>
      </c>
      <c r="N173" s="242">
        <f t="shared" si="82"/>
        <v>34332.5</v>
      </c>
      <c r="O173" s="242">
        <f t="shared" si="82"/>
        <v>31010</v>
      </c>
      <c r="P173" s="242">
        <f t="shared" si="82"/>
        <v>34332.5</v>
      </c>
      <c r="Q173" s="242">
        <f t="shared" si="82"/>
        <v>33225</v>
      </c>
      <c r="R173" s="242">
        <f t="shared" si="82"/>
        <v>34332.5</v>
      </c>
      <c r="S173" s="242">
        <f t="shared" si="82"/>
        <v>33225</v>
      </c>
      <c r="T173" s="242">
        <f t="shared" si="82"/>
        <v>34332.5</v>
      </c>
      <c r="U173" s="242">
        <f t="shared" si="82"/>
        <v>34332.5</v>
      </c>
      <c r="V173" s="242">
        <f t="shared" si="82"/>
        <v>33225</v>
      </c>
      <c r="W173" s="242">
        <f t="shared" si="82"/>
        <v>34332.5</v>
      </c>
    </row>
    <row r="174" spans="1:31" ht="12.75" customHeight="1" x14ac:dyDescent="0.15">
      <c r="A174" s="239" t="s">
        <v>218</v>
      </c>
      <c r="B174" s="239" t="s">
        <v>242</v>
      </c>
      <c r="C174" s="239" t="s">
        <v>293</v>
      </c>
      <c r="E174" s="243">
        <v>21165</v>
      </c>
      <c r="F174" s="239" t="s">
        <v>233</v>
      </c>
      <c r="I174" s="242">
        <v>150000</v>
      </c>
      <c r="K174" s="251">
        <v>4.4299999999999999E-2</v>
      </c>
      <c r="N174" s="242">
        <f t="shared" si="82"/>
        <v>205995</v>
      </c>
      <c r="O174" s="242">
        <f t="shared" si="82"/>
        <v>186060</v>
      </c>
      <c r="P174" s="242">
        <f t="shared" si="82"/>
        <v>205995</v>
      </c>
      <c r="Q174" s="242">
        <f t="shared" si="82"/>
        <v>199350</v>
      </c>
      <c r="R174" s="242">
        <f t="shared" si="82"/>
        <v>205995</v>
      </c>
      <c r="S174" s="242">
        <f t="shared" si="82"/>
        <v>199350</v>
      </c>
      <c r="T174" s="242">
        <f t="shared" si="82"/>
        <v>205995</v>
      </c>
      <c r="U174" s="242">
        <f t="shared" si="82"/>
        <v>205995</v>
      </c>
      <c r="V174" s="242">
        <f t="shared" si="82"/>
        <v>199350</v>
      </c>
      <c r="W174" s="242">
        <f t="shared" si="82"/>
        <v>205995</v>
      </c>
    </row>
    <row r="176" spans="1:31" ht="12.75" customHeight="1" x14ac:dyDescent="0.15">
      <c r="N176" s="245"/>
      <c r="O176" s="245"/>
      <c r="P176" s="245"/>
      <c r="Q176" s="245"/>
      <c r="R176" s="245"/>
      <c r="S176" s="245"/>
      <c r="T176" s="245"/>
      <c r="U176" s="245"/>
      <c r="V176" s="245"/>
      <c r="W176" s="245"/>
      <c r="X176" s="245"/>
      <c r="Y176" s="245"/>
    </row>
    <row r="177" spans="1:28" ht="12.75" customHeight="1" x14ac:dyDescent="0.15">
      <c r="N177" s="242">
        <f>SUM(N168:N176)</f>
        <v>353601.5</v>
      </c>
      <c r="O177" s="242">
        <f t="shared" ref="O177:Y177" si="83">SUM(O168:O176)</f>
        <v>319382</v>
      </c>
      <c r="P177" s="242">
        <f t="shared" si="83"/>
        <v>353601.5</v>
      </c>
      <c r="Q177" s="242">
        <f t="shared" si="83"/>
        <v>342195</v>
      </c>
      <c r="R177" s="242">
        <f t="shared" si="83"/>
        <v>353601.5</v>
      </c>
      <c r="S177" s="242">
        <f t="shared" si="83"/>
        <v>342195</v>
      </c>
      <c r="T177" s="242">
        <f t="shared" si="83"/>
        <v>353601.5</v>
      </c>
      <c r="U177" s="242">
        <f t="shared" si="83"/>
        <v>353601.5</v>
      </c>
      <c r="V177" s="242">
        <f t="shared" si="83"/>
        <v>342195</v>
      </c>
      <c r="W177" s="242">
        <f t="shared" si="83"/>
        <v>353601.5</v>
      </c>
      <c r="X177" s="242">
        <f t="shared" si="83"/>
        <v>0</v>
      </c>
      <c r="Y177" s="242">
        <f t="shared" si="83"/>
        <v>0</v>
      </c>
      <c r="Z177" s="375">
        <f>SUM(N177:Y177)</f>
        <v>3467576</v>
      </c>
    </row>
    <row r="179" spans="1:28" ht="12.75" customHeight="1" x14ac:dyDescent="0.15">
      <c r="A179" s="239" t="s">
        <v>218</v>
      </c>
      <c r="B179" s="239" t="s">
        <v>242</v>
      </c>
      <c r="C179" s="239" t="s">
        <v>294</v>
      </c>
      <c r="E179" s="243">
        <v>20747</v>
      </c>
      <c r="F179" s="239" t="s">
        <v>244</v>
      </c>
      <c r="H179" s="253">
        <v>37315</v>
      </c>
      <c r="I179" s="242">
        <v>10000</v>
      </c>
      <c r="K179" s="251">
        <v>3.0000000000000001E-3</v>
      </c>
      <c r="N179" s="242">
        <f t="shared" ref="N179:Q180" si="84">N116*$K179</f>
        <v>930</v>
      </c>
      <c r="O179" s="242">
        <f t="shared" si="84"/>
        <v>840</v>
      </c>
      <c r="P179" s="242">
        <f t="shared" si="84"/>
        <v>930</v>
      </c>
      <c r="Q179" s="242">
        <f t="shared" si="84"/>
        <v>900</v>
      </c>
      <c r="R179" s="242">
        <f t="shared" ref="R179:Y179" si="85">R116*$K179</f>
        <v>930</v>
      </c>
      <c r="S179" s="242">
        <f t="shared" si="85"/>
        <v>900</v>
      </c>
      <c r="T179" s="242">
        <f t="shared" si="85"/>
        <v>930</v>
      </c>
      <c r="U179" s="242">
        <f t="shared" si="85"/>
        <v>930</v>
      </c>
      <c r="V179" s="242">
        <f t="shared" si="85"/>
        <v>900</v>
      </c>
      <c r="W179" s="242">
        <f t="shared" si="85"/>
        <v>930</v>
      </c>
      <c r="X179" s="242">
        <f t="shared" si="85"/>
        <v>900</v>
      </c>
      <c r="Y179" s="242">
        <f t="shared" si="85"/>
        <v>930</v>
      </c>
      <c r="AA179" s="242"/>
    </row>
    <row r="180" spans="1:28" ht="12.75" customHeight="1" x14ac:dyDescent="0.15">
      <c r="A180" s="239" t="s">
        <v>218</v>
      </c>
      <c r="B180" s="239" t="s">
        <v>242</v>
      </c>
      <c r="C180" s="239" t="s">
        <v>294</v>
      </c>
      <c r="E180" s="243">
        <v>20748</v>
      </c>
      <c r="F180" s="239" t="s">
        <v>244</v>
      </c>
      <c r="H180" s="253">
        <v>37315</v>
      </c>
      <c r="I180" s="242">
        <v>10000</v>
      </c>
      <c r="K180" s="251">
        <v>2E-3</v>
      </c>
      <c r="N180" s="242">
        <f t="shared" si="84"/>
        <v>620</v>
      </c>
      <c r="O180" s="242">
        <f t="shared" si="84"/>
        <v>560</v>
      </c>
      <c r="P180" s="242">
        <f t="shared" si="84"/>
        <v>620</v>
      </c>
      <c r="Q180" s="242">
        <f t="shared" si="84"/>
        <v>600</v>
      </c>
      <c r="R180" s="242">
        <f t="shared" ref="R180:Y180" si="86">R117*$K180</f>
        <v>620</v>
      </c>
      <c r="S180" s="242">
        <f t="shared" si="86"/>
        <v>600</v>
      </c>
      <c r="T180" s="242">
        <f t="shared" si="86"/>
        <v>620</v>
      </c>
      <c r="U180" s="242">
        <f t="shared" si="86"/>
        <v>620</v>
      </c>
      <c r="V180" s="242">
        <f t="shared" si="86"/>
        <v>600</v>
      </c>
      <c r="W180" s="242">
        <f t="shared" si="86"/>
        <v>620</v>
      </c>
      <c r="X180" s="242">
        <f t="shared" si="86"/>
        <v>600</v>
      </c>
      <c r="Y180" s="242">
        <f t="shared" si="86"/>
        <v>620</v>
      </c>
      <c r="AA180" s="242"/>
    </row>
    <row r="181" spans="1:28" ht="12.75" customHeight="1" x14ac:dyDescent="0.15">
      <c r="A181" s="239" t="s">
        <v>218</v>
      </c>
      <c r="B181" s="239" t="s">
        <v>242</v>
      </c>
      <c r="C181" s="239" t="s">
        <v>294</v>
      </c>
      <c r="E181" s="243">
        <v>20822</v>
      </c>
      <c r="F181" s="239" t="s">
        <v>245</v>
      </c>
      <c r="H181" s="253">
        <v>39141</v>
      </c>
      <c r="I181" s="242">
        <v>25000</v>
      </c>
      <c r="K181" s="251">
        <v>2E-3</v>
      </c>
      <c r="N181" s="242">
        <f>N118*$K181</f>
        <v>1550</v>
      </c>
      <c r="O181" s="242">
        <f t="shared" ref="O181:Y181" si="87">O118*$K181</f>
        <v>1400</v>
      </c>
      <c r="P181" s="242">
        <f t="shared" si="87"/>
        <v>1550</v>
      </c>
      <c r="Q181" s="242">
        <f t="shared" si="87"/>
        <v>1500</v>
      </c>
      <c r="R181" s="242">
        <f t="shared" si="87"/>
        <v>1550</v>
      </c>
      <c r="S181" s="242">
        <f t="shared" si="87"/>
        <v>1500</v>
      </c>
      <c r="T181" s="242">
        <f t="shared" si="87"/>
        <v>1550</v>
      </c>
      <c r="U181" s="242">
        <f t="shared" si="87"/>
        <v>1550</v>
      </c>
      <c r="V181" s="242">
        <f t="shared" si="87"/>
        <v>1500</v>
      </c>
      <c r="W181" s="242">
        <f t="shared" si="87"/>
        <v>1550</v>
      </c>
      <c r="X181" s="242">
        <f t="shared" si="87"/>
        <v>1500</v>
      </c>
      <c r="Y181" s="242">
        <f t="shared" si="87"/>
        <v>1550</v>
      </c>
      <c r="AA181" s="242"/>
      <c r="AB181" s="375"/>
    </row>
    <row r="182" spans="1:28" ht="12.75" customHeight="1" x14ac:dyDescent="0.15">
      <c r="A182" s="239" t="s">
        <v>218</v>
      </c>
      <c r="B182" s="239" t="s">
        <v>242</v>
      </c>
      <c r="C182" s="239" t="s">
        <v>294</v>
      </c>
      <c r="E182" s="243">
        <v>26678</v>
      </c>
      <c r="F182" s="239" t="s">
        <v>246</v>
      </c>
      <c r="H182" s="253">
        <v>39172</v>
      </c>
      <c r="I182" s="242">
        <v>25000</v>
      </c>
      <c r="K182" s="251">
        <v>3.0000000000000001E-3</v>
      </c>
      <c r="N182" s="242">
        <f t="shared" ref="N182:Y182" si="88">N119*$K182</f>
        <v>2325</v>
      </c>
      <c r="O182" s="242">
        <f t="shared" si="88"/>
        <v>2100</v>
      </c>
      <c r="P182" s="242">
        <f t="shared" si="88"/>
        <v>2325</v>
      </c>
      <c r="Q182" s="242">
        <f t="shared" si="88"/>
        <v>2250</v>
      </c>
      <c r="R182" s="242">
        <f t="shared" si="88"/>
        <v>2325</v>
      </c>
      <c r="S182" s="242">
        <f t="shared" si="88"/>
        <v>2250</v>
      </c>
      <c r="T182" s="242">
        <f t="shared" si="88"/>
        <v>2325</v>
      </c>
      <c r="U182" s="242">
        <f t="shared" si="88"/>
        <v>2325</v>
      </c>
      <c r="V182" s="242">
        <f t="shared" si="88"/>
        <v>2250</v>
      </c>
      <c r="W182" s="242">
        <f t="shared" si="88"/>
        <v>2325</v>
      </c>
      <c r="X182" s="242">
        <f t="shared" si="88"/>
        <v>2250</v>
      </c>
      <c r="Y182" s="242">
        <f t="shared" si="88"/>
        <v>2325</v>
      </c>
      <c r="AA182" s="242"/>
    </row>
    <row r="183" spans="1:28" ht="12.75" customHeight="1" x14ac:dyDescent="0.15">
      <c r="A183" s="239" t="s">
        <v>218</v>
      </c>
      <c r="B183" s="239" t="s">
        <v>242</v>
      </c>
      <c r="C183" s="239" t="s">
        <v>294</v>
      </c>
      <c r="E183" s="243">
        <v>26372</v>
      </c>
      <c r="F183" s="239" t="s">
        <v>247</v>
      </c>
      <c r="H183" s="253">
        <v>39172</v>
      </c>
      <c r="I183" s="242">
        <v>25000</v>
      </c>
      <c r="K183" s="251">
        <v>3.0000000000000001E-3</v>
      </c>
      <c r="N183" s="242">
        <f t="shared" ref="N183:Y183" si="89">N119*$K183</f>
        <v>2325</v>
      </c>
      <c r="O183" s="242">
        <f t="shared" si="89"/>
        <v>2100</v>
      </c>
      <c r="P183" s="242">
        <f t="shared" si="89"/>
        <v>2325</v>
      </c>
      <c r="Q183" s="242">
        <f t="shared" si="89"/>
        <v>2250</v>
      </c>
      <c r="R183" s="242">
        <f t="shared" si="89"/>
        <v>2325</v>
      </c>
      <c r="S183" s="242">
        <f t="shared" si="89"/>
        <v>2250</v>
      </c>
      <c r="T183" s="242">
        <f t="shared" si="89"/>
        <v>2325</v>
      </c>
      <c r="U183" s="242">
        <f t="shared" si="89"/>
        <v>2325</v>
      </c>
      <c r="V183" s="242">
        <f t="shared" si="89"/>
        <v>2250</v>
      </c>
      <c r="W183" s="242">
        <f t="shared" si="89"/>
        <v>2325</v>
      </c>
      <c r="X183" s="242">
        <f t="shared" si="89"/>
        <v>2250</v>
      </c>
      <c r="Y183" s="242">
        <f t="shared" si="89"/>
        <v>2325</v>
      </c>
      <c r="AA183" s="242"/>
    </row>
    <row r="184" spans="1:28" ht="12.75" customHeight="1" x14ac:dyDescent="0.15">
      <c r="A184" s="239" t="s">
        <v>218</v>
      </c>
      <c r="B184" s="239" t="s">
        <v>242</v>
      </c>
      <c r="C184" s="239" t="s">
        <v>294</v>
      </c>
      <c r="E184" s="243">
        <v>21165</v>
      </c>
      <c r="F184" s="239" t="s">
        <v>233</v>
      </c>
      <c r="H184" s="253">
        <v>39172</v>
      </c>
      <c r="I184" s="242">
        <v>150000</v>
      </c>
      <c r="K184" s="251">
        <v>3.0000000000000001E-3</v>
      </c>
      <c r="N184" s="242">
        <f>N122*$K184</f>
        <v>13950</v>
      </c>
      <c r="O184" s="242">
        <f t="shared" ref="O184:Y184" si="90">O122*$K184</f>
        <v>12600</v>
      </c>
      <c r="P184" s="242">
        <f t="shared" si="90"/>
        <v>13950</v>
      </c>
      <c r="Q184" s="242">
        <f t="shared" si="90"/>
        <v>13500</v>
      </c>
      <c r="R184" s="242">
        <f t="shared" si="90"/>
        <v>13950</v>
      </c>
      <c r="S184" s="242">
        <f t="shared" si="90"/>
        <v>13500</v>
      </c>
      <c r="T184" s="242">
        <f t="shared" si="90"/>
        <v>13950</v>
      </c>
      <c r="U184" s="242">
        <f t="shared" si="90"/>
        <v>13950</v>
      </c>
      <c r="V184" s="242">
        <f t="shared" si="90"/>
        <v>13500</v>
      </c>
      <c r="W184" s="242">
        <f t="shared" si="90"/>
        <v>13950</v>
      </c>
      <c r="X184" s="242">
        <f t="shared" si="90"/>
        <v>13500</v>
      </c>
      <c r="Y184" s="242">
        <f t="shared" si="90"/>
        <v>13950</v>
      </c>
      <c r="AA184" s="242"/>
    </row>
    <row r="185" spans="1:28" ht="12.75" customHeight="1" x14ac:dyDescent="0.15">
      <c r="H185" s="253"/>
      <c r="N185" s="245"/>
      <c r="O185" s="245"/>
      <c r="P185" s="245"/>
      <c r="Q185" s="245"/>
      <c r="R185" s="245"/>
      <c r="S185" s="245"/>
      <c r="T185" s="245"/>
      <c r="U185" s="245"/>
      <c r="V185" s="245"/>
      <c r="W185" s="245"/>
      <c r="X185" s="245"/>
      <c r="Y185" s="245"/>
      <c r="AA185" s="245">
        <f>(I185*365*(ROUND(K185*0.45,4)))</f>
        <v>0</v>
      </c>
    </row>
    <row r="186" spans="1:28" ht="12.75" customHeight="1" x14ac:dyDescent="0.15">
      <c r="H186" s="253"/>
      <c r="N186" s="242">
        <f>SUM(N179:N185)</f>
        <v>21700</v>
      </c>
      <c r="O186" s="242">
        <f t="shared" ref="O186:Y186" si="91">SUM(O179:O185)</f>
        <v>19600</v>
      </c>
      <c r="P186" s="242">
        <f t="shared" si="91"/>
        <v>21700</v>
      </c>
      <c r="Q186" s="242">
        <f t="shared" si="91"/>
        <v>21000</v>
      </c>
      <c r="R186" s="242">
        <f t="shared" si="91"/>
        <v>21700</v>
      </c>
      <c r="S186" s="242">
        <f t="shared" si="91"/>
        <v>21000</v>
      </c>
      <c r="T186" s="242">
        <f t="shared" si="91"/>
        <v>21700</v>
      </c>
      <c r="U186" s="242">
        <f t="shared" si="91"/>
        <v>21700</v>
      </c>
      <c r="V186" s="242">
        <f t="shared" si="91"/>
        <v>21000</v>
      </c>
      <c r="W186" s="242">
        <f t="shared" si="91"/>
        <v>21700</v>
      </c>
      <c r="X186" s="242">
        <f t="shared" si="91"/>
        <v>21000</v>
      </c>
      <c r="Y186" s="242">
        <f t="shared" si="91"/>
        <v>21700</v>
      </c>
      <c r="Z186" s="375">
        <f>SUM(N186:Y186)</f>
        <v>255500</v>
      </c>
      <c r="AA186" s="375">
        <v>531020</v>
      </c>
      <c r="AB186" s="375">
        <f>AA186-Z186</f>
        <v>275520</v>
      </c>
    </row>
    <row r="187" spans="1:28" ht="12.75" customHeight="1" x14ac:dyDescent="0.15">
      <c r="E187" s="239"/>
    </row>
    <row r="188" spans="1:28" s="247" customFormat="1" ht="12.75" customHeight="1" x14ac:dyDescent="0.15">
      <c r="E188" s="248"/>
      <c r="H188" s="248"/>
      <c r="I188" s="249"/>
      <c r="K188" s="252"/>
      <c r="M188" s="250"/>
      <c r="N188" s="249"/>
      <c r="O188" s="249"/>
      <c r="P188" s="249"/>
      <c r="Q188" s="249"/>
      <c r="R188" s="249"/>
      <c r="S188" s="249"/>
      <c r="T188" s="249"/>
      <c r="U188" s="249"/>
      <c r="V188" s="249"/>
      <c r="W188" s="249"/>
      <c r="X188" s="249"/>
      <c r="Y188" s="249"/>
    </row>
    <row r="191" spans="1:28" ht="12.75" customHeight="1" x14ac:dyDescent="0.15">
      <c r="A191" s="239" t="s">
        <v>218</v>
      </c>
      <c r="B191" s="239" t="s">
        <v>249</v>
      </c>
      <c r="C191" s="239" t="s">
        <v>228</v>
      </c>
      <c r="D191" s="239" t="s">
        <v>220</v>
      </c>
      <c r="E191" s="243">
        <v>24670</v>
      </c>
      <c r="F191" s="239" t="s">
        <v>250</v>
      </c>
      <c r="H191" s="243" t="s">
        <v>433</v>
      </c>
      <c r="I191" s="242">
        <v>10000</v>
      </c>
      <c r="M191" s="241" t="s">
        <v>253</v>
      </c>
      <c r="N191" s="242">
        <f>$I191*N$1</f>
        <v>310000</v>
      </c>
      <c r="O191" s="242">
        <f t="shared" ref="O191:Y191" si="92">$I191*O$1</f>
        <v>280000</v>
      </c>
      <c r="P191" s="242">
        <f t="shared" si="92"/>
        <v>310000</v>
      </c>
      <c r="Q191" s="242">
        <f t="shared" si="92"/>
        <v>300000</v>
      </c>
      <c r="R191" s="242">
        <f t="shared" si="92"/>
        <v>310000</v>
      </c>
      <c r="S191" s="242">
        <f t="shared" si="92"/>
        <v>300000</v>
      </c>
      <c r="T191" s="242">
        <f t="shared" si="92"/>
        <v>310000</v>
      </c>
      <c r="U191" s="242">
        <f t="shared" si="92"/>
        <v>310000</v>
      </c>
      <c r="V191" s="242">
        <f t="shared" si="92"/>
        <v>300000</v>
      </c>
      <c r="W191" s="242">
        <f t="shared" si="92"/>
        <v>310000</v>
      </c>
      <c r="X191" s="242">
        <f t="shared" si="92"/>
        <v>300000</v>
      </c>
      <c r="Y191" s="242">
        <f t="shared" si="92"/>
        <v>310000</v>
      </c>
    </row>
    <row r="192" spans="1:28" ht="12.75" customHeight="1" x14ac:dyDescent="0.15">
      <c r="A192" s="239" t="s">
        <v>218</v>
      </c>
      <c r="B192" s="239" t="s">
        <v>249</v>
      </c>
      <c r="C192" s="239" t="s">
        <v>228</v>
      </c>
      <c r="D192" s="239" t="s">
        <v>220</v>
      </c>
      <c r="E192" s="243">
        <v>25071</v>
      </c>
      <c r="F192" s="239" t="s">
        <v>251</v>
      </c>
      <c r="H192" s="253">
        <v>39782</v>
      </c>
      <c r="I192" s="242">
        <v>30000</v>
      </c>
      <c r="M192" s="241" t="s">
        <v>254</v>
      </c>
      <c r="N192" s="242">
        <f t="shared" ref="N192:Y194" si="93">$I192*N$1</f>
        <v>930000</v>
      </c>
      <c r="O192" s="242">
        <f t="shared" si="93"/>
        <v>840000</v>
      </c>
      <c r="P192" s="242">
        <f t="shared" si="93"/>
        <v>930000</v>
      </c>
      <c r="Q192" s="242">
        <f t="shared" si="93"/>
        <v>900000</v>
      </c>
      <c r="R192" s="242">
        <f t="shared" si="93"/>
        <v>930000</v>
      </c>
      <c r="S192" s="242">
        <f t="shared" si="93"/>
        <v>900000</v>
      </c>
      <c r="T192" s="242">
        <f t="shared" si="93"/>
        <v>930000</v>
      </c>
      <c r="U192" s="242">
        <f t="shared" si="93"/>
        <v>930000</v>
      </c>
      <c r="V192" s="242">
        <f t="shared" si="93"/>
        <v>900000</v>
      </c>
      <c r="W192" s="242">
        <f t="shared" si="93"/>
        <v>930000</v>
      </c>
      <c r="X192" s="242">
        <f t="shared" si="93"/>
        <v>900000</v>
      </c>
      <c r="Y192" s="242">
        <f t="shared" si="93"/>
        <v>930000</v>
      </c>
    </row>
    <row r="193" spans="1:25" ht="12.75" customHeight="1" x14ac:dyDescent="0.15">
      <c r="A193" s="239" t="s">
        <v>218</v>
      </c>
      <c r="B193" s="239" t="s">
        <v>249</v>
      </c>
      <c r="C193" s="239" t="s">
        <v>228</v>
      </c>
      <c r="D193" s="239" t="s">
        <v>220</v>
      </c>
      <c r="E193" s="243">
        <v>25700</v>
      </c>
      <c r="F193" s="239" t="s">
        <v>251</v>
      </c>
      <c r="H193" s="253">
        <v>37621</v>
      </c>
      <c r="I193" s="242">
        <v>25000</v>
      </c>
      <c r="M193" s="241" t="s">
        <v>255</v>
      </c>
      <c r="N193" s="242">
        <f t="shared" si="93"/>
        <v>775000</v>
      </c>
      <c r="O193" s="242">
        <f t="shared" si="93"/>
        <v>700000</v>
      </c>
      <c r="P193" s="242">
        <f t="shared" si="93"/>
        <v>775000</v>
      </c>
      <c r="Q193" s="242">
        <f t="shared" si="93"/>
        <v>750000</v>
      </c>
      <c r="R193" s="242">
        <f t="shared" si="93"/>
        <v>775000</v>
      </c>
      <c r="S193" s="242">
        <f t="shared" si="93"/>
        <v>750000</v>
      </c>
      <c r="T193" s="242">
        <f t="shared" si="93"/>
        <v>775000</v>
      </c>
      <c r="U193" s="242">
        <f t="shared" si="93"/>
        <v>775000</v>
      </c>
      <c r="V193" s="242">
        <f t="shared" si="93"/>
        <v>750000</v>
      </c>
      <c r="W193" s="242">
        <f t="shared" si="93"/>
        <v>775000</v>
      </c>
      <c r="X193" s="242">
        <f t="shared" si="93"/>
        <v>750000</v>
      </c>
      <c r="Y193" s="242">
        <f t="shared" si="93"/>
        <v>775000</v>
      </c>
    </row>
    <row r="194" spans="1:25" ht="12.75" customHeight="1" x14ac:dyDescent="0.15">
      <c r="A194" s="239" t="s">
        <v>218</v>
      </c>
      <c r="B194" s="239" t="s">
        <v>249</v>
      </c>
      <c r="C194" s="239" t="s">
        <v>228</v>
      </c>
      <c r="D194" s="239" t="s">
        <v>220</v>
      </c>
      <c r="E194" s="243">
        <v>26125</v>
      </c>
      <c r="F194" s="239" t="s">
        <v>252</v>
      </c>
      <c r="H194" s="253">
        <v>37772</v>
      </c>
      <c r="I194" s="242">
        <v>8600</v>
      </c>
      <c r="M194" s="241" t="s">
        <v>255</v>
      </c>
      <c r="N194" s="242">
        <f t="shared" si="93"/>
        <v>266600</v>
      </c>
      <c r="O194" s="242">
        <f t="shared" si="93"/>
        <v>240800</v>
      </c>
      <c r="P194" s="242">
        <f t="shared" si="93"/>
        <v>266600</v>
      </c>
      <c r="Q194" s="242">
        <f t="shared" si="93"/>
        <v>258000</v>
      </c>
      <c r="R194" s="242">
        <f t="shared" si="93"/>
        <v>266600</v>
      </c>
      <c r="S194" s="242">
        <f t="shared" si="93"/>
        <v>258000</v>
      </c>
      <c r="T194" s="242">
        <f t="shared" si="93"/>
        <v>266600</v>
      </c>
      <c r="U194" s="242">
        <f t="shared" si="93"/>
        <v>266600</v>
      </c>
      <c r="V194" s="242">
        <f t="shared" si="93"/>
        <v>258000</v>
      </c>
      <c r="W194" s="242">
        <f t="shared" si="93"/>
        <v>266600</v>
      </c>
      <c r="X194" s="242">
        <f t="shared" si="93"/>
        <v>258000</v>
      </c>
      <c r="Y194" s="242">
        <f t="shared" si="93"/>
        <v>266600</v>
      </c>
    </row>
    <row r="195" spans="1:25" ht="12.75" customHeight="1" x14ac:dyDescent="0.15">
      <c r="A195" s="239" t="s">
        <v>218</v>
      </c>
      <c r="B195" s="239" t="s">
        <v>249</v>
      </c>
      <c r="C195" s="239" t="s">
        <v>228</v>
      </c>
      <c r="D195" s="239" t="s">
        <v>220</v>
      </c>
      <c r="E195" s="243">
        <v>26813</v>
      </c>
      <c r="F195" s="239" t="s">
        <v>237</v>
      </c>
      <c r="H195" s="253">
        <v>39569</v>
      </c>
      <c r="I195" s="242">
        <v>3500</v>
      </c>
      <c r="M195" s="241" t="s">
        <v>226</v>
      </c>
      <c r="N195" s="242">
        <f t="shared" ref="N195:Y195" si="94">$I$195*N$1</f>
        <v>108500</v>
      </c>
      <c r="O195" s="242">
        <f t="shared" si="94"/>
        <v>98000</v>
      </c>
      <c r="P195" s="242">
        <f t="shared" si="94"/>
        <v>108500</v>
      </c>
      <c r="Q195" s="242">
        <f t="shared" si="94"/>
        <v>105000</v>
      </c>
      <c r="R195" s="242">
        <f t="shared" si="94"/>
        <v>108500</v>
      </c>
      <c r="S195" s="242">
        <f t="shared" si="94"/>
        <v>105000</v>
      </c>
      <c r="T195" s="242">
        <f t="shared" si="94"/>
        <v>108500</v>
      </c>
      <c r="U195" s="242">
        <f t="shared" si="94"/>
        <v>108500</v>
      </c>
      <c r="V195" s="242">
        <f t="shared" si="94"/>
        <v>105000</v>
      </c>
      <c r="W195" s="242">
        <f t="shared" si="94"/>
        <v>108500</v>
      </c>
      <c r="X195" s="242">
        <f t="shared" si="94"/>
        <v>105000</v>
      </c>
      <c r="Y195" s="242">
        <f t="shared" si="94"/>
        <v>108500</v>
      </c>
    </row>
    <row r="196" spans="1:25" ht="12.75" customHeight="1" x14ac:dyDescent="0.15">
      <c r="A196" s="239" t="s">
        <v>218</v>
      </c>
      <c r="B196" s="239" t="s">
        <v>249</v>
      </c>
      <c r="C196" s="239" t="s">
        <v>228</v>
      </c>
      <c r="D196" s="239" t="s">
        <v>220</v>
      </c>
      <c r="E196" s="243">
        <v>26816</v>
      </c>
      <c r="F196" s="239" t="s">
        <v>239</v>
      </c>
      <c r="H196" s="253">
        <v>38472</v>
      </c>
      <c r="I196" s="242">
        <v>21500</v>
      </c>
      <c r="M196" s="241" t="s">
        <v>226</v>
      </c>
      <c r="N196" s="242">
        <f t="shared" ref="N196:Y196" si="95">$I$196*N$1</f>
        <v>666500</v>
      </c>
      <c r="O196" s="242">
        <f t="shared" si="95"/>
        <v>602000</v>
      </c>
      <c r="P196" s="242">
        <f t="shared" si="95"/>
        <v>666500</v>
      </c>
      <c r="Q196" s="242">
        <f t="shared" si="95"/>
        <v>645000</v>
      </c>
      <c r="R196" s="242">
        <f t="shared" si="95"/>
        <v>666500</v>
      </c>
      <c r="S196" s="242">
        <f t="shared" si="95"/>
        <v>645000</v>
      </c>
      <c r="T196" s="242">
        <f t="shared" si="95"/>
        <v>666500</v>
      </c>
      <c r="U196" s="242">
        <f t="shared" si="95"/>
        <v>666500</v>
      </c>
      <c r="V196" s="242">
        <f t="shared" si="95"/>
        <v>645000</v>
      </c>
      <c r="W196" s="242">
        <f t="shared" si="95"/>
        <v>666500</v>
      </c>
      <c r="X196" s="242">
        <f t="shared" si="95"/>
        <v>645000</v>
      </c>
      <c r="Y196" s="242">
        <f t="shared" si="95"/>
        <v>666500</v>
      </c>
    </row>
    <row r="197" spans="1:25" ht="12.75" customHeight="1" x14ac:dyDescent="0.15">
      <c r="A197" s="239" t="s">
        <v>218</v>
      </c>
      <c r="B197" s="239" t="s">
        <v>249</v>
      </c>
      <c r="C197" s="239" t="s">
        <v>228</v>
      </c>
      <c r="D197" s="239" t="s">
        <v>220</v>
      </c>
      <c r="E197" s="243">
        <v>26960</v>
      </c>
      <c r="F197" s="239" t="s">
        <v>234</v>
      </c>
      <c r="G197" s="240">
        <v>36617</v>
      </c>
      <c r="H197" s="253">
        <v>37346</v>
      </c>
      <c r="I197" s="242">
        <v>20000</v>
      </c>
      <c r="M197" s="241" t="s">
        <v>226</v>
      </c>
      <c r="N197" s="242">
        <f t="shared" ref="N197:Y197" si="96">$I$197*N$1</f>
        <v>620000</v>
      </c>
      <c r="O197" s="242">
        <f t="shared" si="96"/>
        <v>560000</v>
      </c>
      <c r="P197" s="242">
        <f t="shared" si="96"/>
        <v>620000</v>
      </c>
      <c r="Q197" s="242">
        <f t="shared" si="96"/>
        <v>600000</v>
      </c>
      <c r="R197" s="242">
        <f t="shared" si="96"/>
        <v>620000</v>
      </c>
      <c r="S197" s="242">
        <f t="shared" si="96"/>
        <v>600000</v>
      </c>
      <c r="T197" s="242">
        <f t="shared" si="96"/>
        <v>620000</v>
      </c>
      <c r="U197" s="242">
        <f t="shared" si="96"/>
        <v>620000</v>
      </c>
      <c r="V197" s="242">
        <f t="shared" si="96"/>
        <v>600000</v>
      </c>
      <c r="W197" s="242">
        <f t="shared" si="96"/>
        <v>620000</v>
      </c>
      <c r="X197" s="242">
        <f t="shared" si="96"/>
        <v>600000</v>
      </c>
      <c r="Y197" s="242">
        <f t="shared" si="96"/>
        <v>620000</v>
      </c>
    </row>
    <row r="198" spans="1:25" ht="12.75" customHeight="1" x14ac:dyDescent="0.15">
      <c r="A198" s="239" t="s">
        <v>218</v>
      </c>
      <c r="B198" s="239" t="s">
        <v>249</v>
      </c>
      <c r="C198" s="239" t="s">
        <v>228</v>
      </c>
      <c r="D198" s="239" t="s">
        <v>220</v>
      </c>
      <c r="E198" s="243">
        <v>26719</v>
      </c>
      <c r="F198" s="239" t="s">
        <v>368</v>
      </c>
      <c r="G198" s="240"/>
      <c r="H198" s="253">
        <v>38472</v>
      </c>
      <c r="I198" s="242">
        <v>25000</v>
      </c>
      <c r="M198" s="241" t="s">
        <v>226</v>
      </c>
      <c r="N198" s="242">
        <f t="shared" ref="N198:Y198" si="97">$I$198*N$1</f>
        <v>775000</v>
      </c>
      <c r="O198" s="242">
        <f t="shared" si="97"/>
        <v>700000</v>
      </c>
      <c r="P198" s="242">
        <f t="shared" si="97"/>
        <v>775000</v>
      </c>
      <c r="Q198" s="242">
        <f t="shared" si="97"/>
        <v>750000</v>
      </c>
      <c r="R198" s="242">
        <f t="shared" si="97"/>
        <v>775000</v>
      </c>
      <c r="S198" s="242">
        <f t="shared" si="97"/>
        <v>750000</v>
      </c>
      <c r="T198" s="242">
        <f t="shared" si="97"/>
        <v>775000</v>
      </c>
      <c r="U198" s="242">
        <f t="shared" si="97"/>
        <v>775000</v>
      </c>
      <c r="V198" s="242">
        <f t="shared" si="97"/>
        <v>750000</v>
      </c>
      <c r="W198" s="242">
        <f t="shared" si="97"/>
        <v>775000</v>
      </c>
      <c r="X198" s="242">
        <f t="shared" si="97"/>
        <v>750000</v>
      </c>
      <c r="Y198" s="242">
        <f t="shared" si="97"/>
        <v>775000</v>
      </c>
    </row>
    <row r="199" spans="1:25" ht="12.75" customHeight="1" x14ac:dyDescent="0.15">
      <c r="A199" s="239" t="s">
        <v>218</v>
      </c>
      <c r="B199" s="239" t="s">
        <v>249</v>
      </c>
      <c r="C199" s="239" t="s">
        <v>228</v>
      </c>
      <c r="D199" s="239" t="s">
        <v>220</v>
      </c>
      <c r="E199" s="243">
        <v>26884</v>
      </c>
      <c r="F199" s="239" t="s">
        <v>241</v>
      </c>
      <c r="H199" s="253">
        <v>38656</v>
      </c>
      <c r="I199" s="246">
        <v>40000</v>
      </c>
      <c r="M199" s="241" t="s">
        <v>226</v>
      </c>
      <c r="N199" s="246">
        <f t="shared" ref="N199:Y199" si="98">$I$199*N$1</f>
        <v>1240000</v>
      </c>
      <c r="O199" s="246">
        <f t="shared" si="98"/>
        <v>1120000</v>
      </c>
      <c r="P199" s="246">
        <f t="shared" si="98"/>
        <v>1240000</v>
      </c>
      <c r="Q199" s="246">
        <f t="shared" si="98"/>
        <v>1200000</v>
      </c>
      <c r="R199" s="246">
        <f t="shared" si="98"/>
        <v>1240000</v>
      </c>
      <c r="S199" s="246">
        <f t="shared" si="98"/>
        <v>1200000</v>
      </c>
      <c r="T199" s="246">
        <f t="shared" si="98"/>
        <v>1240000</v>
      </c>
      <c r="U199" s="246">
        <f t="shared" si="98"/>
        <v>1240000</v>
      </c>
      <c r="V199" s="246">
        <f t="shared" si="98"/>
        <v>1200000</v>
      </c>
      <c r="W199" s="246">
        <f t="shared" si="98"/>
        <v>1240000</v>
      </c>
      <c r="X199" s="246">
        <f t="shared" si="98"/>
        <v>1200000</v>
      </c>
      <c r="Y199" s="246">
        <f t="shared" si="98"/>
        <v>1240000</v>
      </c>
    </row>
    <row r="200" spans="1:25" s="545" customFormat="1" ht="12.75" customHeight="1" x14ac:dyDescent="0.15">
      <c r="A200" s="545" t="s">
        <v>218</v>
      </c>
      <c r="B200" s="545" t="s">
        <v>249</v>
      </c>
      <c r="C200" s="545" t="s">
        <v>228</v>
      </c>
      <c r="D200" s="545" t="s">
        <v>220</v>
      </c>
      <c r="E200" s="596" t="s">
        <v>485</v>
      </c>
      <c r="F200" s="545" t="s">
        <v>483</v>
      </c>
      <c r="G200" s="597">
        <v>37196</v>
      </c>
      <c r="H200" s="598">
        <v>37256</v>
      </c>
      <c r="I200" s="599">
        <v>15000</v>
      </c>
      <c r="K200" s="600"/>
      <c r="M200" s="601" t="s">
        <v>232</v>
      </c>
      <c r="N200" s="599"/>
      <c r="O200" s="599"/>
      <c r="P200" s="599"/>
      <c r="Q200" s="599"/>
      <c r="R200" s="599"/>
      <c r="S200" s="599"/>
      <c r="T200" s="599"/>
      <c r="U200" s="599"/>
      <c r="V200" s="599"/>
      <c r="W200" s="599"/>
      <c r="X200" s="599">
        <f>$I$200*X$1</f>
        <v>450000</v>
      </c>
      <c r="Y200" s="599">
        <f>$I$200*Y$1</f>
        <v>465000</v>
      </c>
    </row>
    <row r="201" spans="1:25" ht="12.75" customHeight="1" x14ac:dyDescent="0.15">
      <c r="A201" s="523" t="s">
        <v>218</v>
      </c>
      <c r="B201" s="523" t="s">
        <v>249</v>
      </c>
      <c r="C201" s="523" t="s">
        <v>228</v>
      </c>
      <c r="D201" s="523" t="s">
        <v>220</v>
      </c>
      <c r="E201" s="522">
        <v>27457</v>
      </c>
      <c r="F201" s="523" t="s">
        <v>438</v>
      </c>
      <c r="G201" s="533"/>
      <c r="H201" s="525">
        <v>37256</v>
      </c>
      <c r="I201" s="539">
        <v>13500</v>
      </c>
      <c r="N201" s="245"/>
      <c r="O201" s="245"/>
      <c r="P201" s="245"/>
      <c r="Q201" s="245"/>
      <c r="R201" s="245"/>
      <c r="S201" s="245"/>
      <c r="T201" s="245"/>
      <c r="U201" s="245"/>
      <c r="V201" s="245"/>
      <c r="W201" s="245"/>
      <c r="X201" s="245"/>
      <c r="Y201" s="539">
        <f>$I$201*Y$1</f>
        <v>418500</v>
      </c>
    </row>
    <row r="202" spans="1:25" ht="12.75" customHeight="1" x14ac:dyDescent="0.15">
      <c r="I202" s="242">
        <f>SUM(I191:I201)</f>
        <v>212100</v>
      </c>
      <c r="N202" s="242">
        <f>SUM(N191:N201)</f>
        <v>5691600</v>
      </c>
      <c r="O202" s="242">
        <f t="shared" ref="O202:Y202" si="99">SUM(O191:O201)</f>
        <v>5140800</v>
      </c>
      <c r="P202" s="242">
        <f t="shared" si="99"/>
        <v>5691600</v>
      </c>
      <c r="Q202" s="242">
        <f t="shared" si="99"/>
        <v>5508000</v>
      </c>
      <c r="R202" s="242">
        <f t="shared" si="99"/>
        <v>5691600</v>
      </c>
      <c r="S202" s="242">
        <f t="shared" si="99"/>
        <v>5508000</v>
      </c>
      <c r="T202" s="242">
        <f t="shared" si="99"/>
        <v>5691600</v>
      </c>
      <c r="U202" s="242">
        <f t="shared" si="99"/>
        <v>5691600</v>
      </c>
      <c r="V202" s="242">
        <f t="shared" si="99"/>
        <v>5508000</v>
      </c>
      <c r="W202" s="242">
        <f t="shared" si="99"/>
        <v>5691600</v>
      </c>
      <c r="X202" s="242">
        <f t="shared" si="99"/>
        <v>5958000</v>
      </c>
      <c r="Y202" s="242">
        <f t="shared" si="99"/>
        <v>6575100</v>
      </c>
    </row>
    <row r="204" spans="1:25" ht="12.75" customHeight="1" x14ac:dyDescent="0.15">
      <c r="A204" s="424" t="s">
        <v>366</v>
      </c>
      <c r="B204" s="425"/>
      <c r="C204" s="425"/>
      <c r="D204" s="425"/>
      <c r="E204" s="426"/>
      <c r="F204" s="425"/>
      <c r="G204" s="425"/>
      <c r="H204" s="426"/>
      <c r="I204" s="427"/>
      <c r="J204" s="425"/>
      <c r="K204" s="428"/>
      <c r="L204" s="425"/>
      <c r="M204" s="429"/>
      <c r="N204" s="430">
        <v>0.74</v>
      </c>
      <c r="O204" s="430">
        <v>0.74</v>
      </c>
      <c r="P204" s="430">
        <v>0.87</v>
      </c>
      <c r="Q204" s="430">
        <v>0.79</v>
      </c>
      <c r="R204" s="430">
        <v>0.98</v>
      </c>
      <c r="S204" s="430">
        <v>0.91</v>
      </c>
      <c r="T204" s="430">
        <v>0.88</v>
      </c>
      <c r="U204" s="430">
        <v>0.95</v>
      </c>
      <c r="V204" s="430">
        <v>0.87</v>
      </c>
      <c r="W204" s="430">
        <v>0.95</v>
      </c>
      <c r="X204" s="430">
        <v>1</v>
      </c>
      <c r="Y204" s="432">
        <v>0.98</v>
      </c>
    </row>
    <row r="205" spans="1:25" ht="12.75" customHeight="1" x14ac:dyDescent="0.15">
      <c r="A205" s="239" t="s">
        <v>218</v>
      </c>
      <c r="B205" s="239" t="s">
        <v>249</v>
      </c>
      <c r="C205" s="239" t="s">
        <v>228</v>
      </c>
      <c r="D205" s="239" t="s">
        <v>223</v>
      </c>
      <c r="E205" s="243">
        <v>24670</v>
      </c>
      <c r="F205" s="239" t="s">
        <v>250</v>
      </c>
      <c r="H205" s="243" t="s">
        <v>433</v>
      </c>
      <c r="I205" s="242">
        <v>10000</v>
      </c>
      <c r="M205" s="241" t="s">
        <v>253</v>
      </c>
      <c r="N205" s="242">
        <f>N191*N$204</f>
        <v>229400</v>
      </c>
      <c r="O205" s="242">
        <f t="shared" ref="O205:Y205" si="100">O191*O$204</f>
        <v>207200</v>
      </c>
      <c r="P205" s="242">
        <f>(P191*P$204)+(1000*P$1)</f>
        <v>300700</v>
      </c>
      <c r="Q205" s="242">
        <f t="shared" si="100"/>
        <v>237000</v>
      </c>
      <c r="R205" s="242">
        <f t="shared" si="100"/>
        <v>303800</v>
      </c>
      <c r="S205" s="242">
        <f t="shared" si="100"/>
        <v>273000</v>
      </c>
      <c r="T205" s="242">
        <f>(T191*T$204)+(1200*T$1)</f>
        <v>310000</v>
      </c>
      <c r="U205" s="242">
        <f t="shared" si="100"/>
        <v>294500</v>
      </c>
      <c r="V205" s="242">
        <f t="shared" si="100"/>
        <v>261000</v>
      </c>
      <c r="W205" s="242">
        <f t="shared" si="100"/>
        <v>294500</v>
      </c>
      <c r="X205" s="242">
        <f t="shared" si="100"/>
        <v>300000</v>
      </c>
      <c r="Y205" s="242">
        <f t="shared" si="100"/>
        <v>303800</v>
      </c>
    </row>
    <row r="206" spans="1:25" s="558" customFormat="1" ht="12.75" customHeight="1" x14ac:dyDescent="0.15">
      <c r="B206" s="558" t="s">
        <v>468</v>
      </c>
      <c r="C206" s="558" t="s">
        <v>228</v>
      </c>
      <c r="D206" s="558" t="s">
        <v>223</v>
      </c>
      <c r="E206" s="566"/>
      <c r="H206" s="566"/>
      <c r="I206" s="562"/>
      <c r="K206" s="563"/>
      <c r="M206" s="564"/>
      <c r="N206" s="562"/>
      <c r="O206" s="562"/>
      <c r="P206" s="562"/>
      <c r="Q206" s="562">
        <v>-4180000</v>
      </c>
      <c r="R206" s="562">
        <f>-2450000-645000</f>
        <v>-3095000</v>
      </c>
      <c r="S206" s="562"/>
      <c r="T206" s="562"/>
      <c r="U206" s="562"/>
      <c r="V206" s="562"/>
      <c r="W206" s="562"/>
      <c r="X206" s="562"/>
      <c r="Y206" s="562"/>
    </row>
    <row r="207" spans="1:25" ht="12.75" customHeight="1" x14ac:dyDescent="0.15">
      <c r="A207" s="239" t="s">
        <v>218</v>
      </c>
      <c r="B207" s="239" t="s">
        <v>249</v>
      </c>
      <c r="C207" s="239" t="s">
        <v>228</v>
      </c>
      <c r="D207" s="239" t="s">
        <v>223</v>
      </c>
      <c r="E207" s="243">
        <v>25071</v>
      </c>
      <c r="F207" s="239" t="s">
        <v>251</v>
      </c>
      <c r="H207" s="253">
        <v>39782</v>
      </c>
      <c r="I207" s="242">
        <v>30000</v>
      </c>
      <c r="M207" s="241" t="s">
        <v>254</v>
      </c>
      <c r="N207" s="242">
        <f>(N192*N$204)+(4000*N$1)</f>
        <v>812200</v>
      </c>
      <c r="O207" s="242">
        <f>(O192*O$204)+(4000*O$1)</f>
        <v>733600</v>
      </c>
      <c r="P207" s="242">
        <f>(P192*P$204)+(3500*P$1)</f>
        <v>917600</v>
      </c>
      <c r="Q207" s="242">
        <f>(Q192*Q$204)+(4000*Q$1)</f>
        <v>831000</v>
      </c>
      <c r="R207" s="242">
        <f t="shared" ref="R207:Y207" si="101">R192*R$204</f>
        <v>911400</v>
      </c>
      <c r="S207" s="242">
        <f t="shared" si="101"/>
        <v>819000</v>
      </c>
      <c r="T207" s="242">
        <f>(T192*T$204)+(3500*T$1)</f>
        <v>926900</v>
      </c>
      <c r="U207" s="242">
        <f t="shared" si="101"/>
        <v>883500</v>
      </c>
      <c r="V207" s="242">
        <f t="shared" si="101"/>
        <v>783000</v>
      </c>
      <c r="W207" s="242">
        <f t="shared" si="101"/>
        <v>883500</v>
      </c>
      <c r="X207" s="242">
        <f t="shared" si="101"/>
        <v>900000</v>
      </c>
      <c r="Y207" s="242">
        <f t="shared" si="101"/>
        <v>911400</v>
      </c>
    </row>
    <row r="208" spans="1:25" ht="12.75" customHeight="1" x14ac:dyDescent="0.15">
      <c r="A208" s="239" t="s">
        <v>218</v>
      </c>
      <c r="B208" s="239" t="s">
        <v>249</v>
      </c>
      <c r="C208" s="239" t="s">
        <v>228</v>
      </c>
      <c r="D208" s="239" t="s">
        <v>223</v>
      </c>
      <c r="E208" s="243">
        <v>25700</v>
      </c>
      <c r="F208" s="239" t="s">
        <v>251</v>
      </c>
      <c r="H208" s="253">
        <v>37621</v>
      </c>
      <c r="I208" s="242">
        <v>25000</v>
      </c>
      <c r="M208" s="241" t="s">
        <v>255</v>
      </c>
      <c r="N208" s="242">
        <f>(N193*N$204)+(5000*N$1)</f>
        <v>728500</v>
      </c>
      <c r="O208" s="242">
        <f>(O193*O$204)+(5000*O$1)</f>
        <v>658000</v>
      </c>
      <c r="P208" s="242">
        <f>(P193*P$204)+(3200*P$1)</f>
        <v>773450</v>
      </c>
      <c r="Q208" s="242">
        <f>(Q193*Q$204)+(5000*Q$1)</f>
        <v>742500</v>
      </c>
      <c r="R208" s="242">
        <f t="shared" ref="R208:Y208" si="102">R193*R$204</f>
        <v>759500</v>
      </c>
      <c r="S208" s="242">
        <f t="shared" si="102"/>
        <v>682500</v>
      </c>
      <c r="T208" s="242">
        <f>(T193*T$204)+(3000*T$1)</f>
        <v>775000</v>
      </c>
      <c r="U208" s="242">
        <f t="shared" si="102"/>
        <v>736250</v>
      </c>
      <c r="V208" s="242">
        <f t="shared" si="102"/>
        <v>652500</v>
      </c>
      <c r="W208" s="242">
        <f t="shared" si="102"/>
        <v>736250</v>
      </c>
      <c r="X208" s="242">
        <f t="shared" si="102"/>
        <v>750000</v>
      </c>
      <c r="Y208" s="242">
        <f t="shared" si="102"/>
        <v>759500</v>
      </c>
    </row>
    <row r="209" spans="1:26" ht="12.75" customHeight="1" x14ac:dyDescent="0.15">
      <c r="A209" s="239" t="s">
        <v>218</v>
      </c>
      <c r="B209" s="239" t="s">
        <v>249</v>
      </c>
      <c r="C209" s="239" t="s">
        <v>228</v>
      </c>
      <c r="D209" s="239" t="s">
        <v>223</v>
      </c>
      <c r="E209" s="243">
        <v>26125</v>
      </c>
      <c r="F209" s="239" t="s">
        <v>252</v>
      </c>
      <c r="H209" s="253">
        <v>37772</v>
      </c>
      <c r="I209" s="242">
        <v>8600</v>
      </c>
      <c r="M209" s="241" t="s">
        <v>255</v>
      </c>
      <c r="N209" s="242">
        <f>N194*N$204</f>
        <v>197284</v>
      </c>
      <c r="O209" s="242">
        <f t="shared" ref="O209:Y209" si="103">O194*O$204</f>
        <v>178192</v>
      </c>
      <c r="P209" s="242">
        <f>(P194*P$204)+(1000*P$1)</f>
        <v>262942</v>
      </c>
      <c r="Q209" s="242">
        <f t="shared" si="103"/>
        <v>203820</v>
      </c>
      <c r="R209" s="242">
        <f t="shared" si="103"/>
        <v>261268</v>
      </c>
      <c r="S209" s="242">
        <f t="shared" si="103"/>
        <v>234780</v>
      </c>
      <c r="T209" s="242">
        <f>(T194*T$204)+(1000*T$1)</f>
        <v>265608</v>
      </c>
      <c r="U209" s="242">
        <f t="shared" si="103"/>
        <v>253270</v>
      </c>
      <c r="V209" s="242">
        <f t="shared" si="103"/>
        <v>224460</v>
      </c>
      <c r="W209" s="242">
        <f t="shared" si="103"/>
        <v>253270</v>
      </c>
      <c r="X209" s="242">
        <f t="shared" si="103"/>
        <v>258000</v>
      </c>
      <c r="Y209" s="242">
        <f t="shared" si="103"/>
        <v>261268</v>
      </c>
    </row>
    <row r="210" spans="1:26" ht="12.75" customHeight="1" x14ac:dyDescent="0.15">
      <c r="A210" s="239" t="s">
        <v>218</v>
      </c>
      <c r="B210" s="239" t="s">
        <v>249</v>
      </c>
      <c r="C210" s="239" t="s">
        <v>228</v>
      </c>
      <c r="D210" s="239" t="s">
        <v>223</v>
      </c>
      <c r="E210" s="243">
        <v>26813</v>
      </c>
      <c r="F210" s="239" t="s">
        <v>237</v>
      </c>
      <c r="H210" s="253">
        <v>39569</v>
      </c>
      <c r="I210" s="242">
        <v>3500</v>
      </c>
      <c r="M210" s="241" t="s">
        <v>238</v>
      </c>
      <c r="N210" s="242">
        <f>N195*N$204</f>
        <v>80290</v>
      </c>
      <c r="O210" s="242">
        <f t="shared" ref="O210:Y210" si="104">O195*O$204</f>
        <v>72520</v>
      </c>
      <c r="P210" s="242">
        <f>(P195*P$204)+(300*P$1)</f>
        <v>103695</v>
      </c>
      <c r="Q210" s="242">
        <f t="shared" si="104"/>
        <v>82950</v>
      </c>
      <c r="R210" s="242">
        <f t="shared" si="104"/>
        <v>106330</v>
      </c>
      <c r="S210" s="242">
        <f t="shared" si="104"/>
        <v>95550</v>
      </c>
      <c r="T210" s="242">
        <f>(T195*T$204)+(400*T$1)</f>
        <v>107880</v>
      </c>
      <c r="U210" s="242">
        <f t="shared" si="104"/>
        <v>103075</v>
      </c>
      <c r="V210" s="242">
        <f t="shared" si="104"/>
        <v>91350</v>
      </c>
      <c r="W210" s="242">
        <f t="shared" si="104"/>
        <v>103075</v>
      </c>
      <c r="X210" s="242">
        <f t="shared" si="104"/>
        <v>105000</v>
      </c>
      <c r="Y210" s="242">
        <f t="shared" si="104"/>
        <v>106330</v>
      </c>
    </row>
    <row r="211" spans="1:26" ht="12.75" customHeight="1" x14ac:dyDescent="0.15">
      <c r="A211" s="239" t="s">
        <v>218</v>
      </c>
      <c r="B211" s="239" t="s">
        <v>249</v>
      </c>
      <c r="C211" s="239" t="s">
        <v>228</v>
      </c>
      <c r="D211" s="239" t="s">
        <v>223</v>
      </c>
      <c r="E211" s="243">
        <v>26816</v>
      </c>
      <c r="F211" s="239" t="s">
        <v>239</v>
      </c>
      <c r="H211" s="253">
        <v>38472</v>
      </c>
      <c r="I211" s="242">
        <v>21500</v>
      </c>
      <c r="M211" s="241" t="s">
        <v>226</v>
      </c>
      <c r="N211" s="242">
        <f>N196*N$204</f>
        <v>493210</v>
      </c>
      <c r="O211" s="242">
        <f t="shared" ref="O211:Y211" si="105">O196*O$204</f>
        <v>445480</v>
      </c>
      <c r="P211" s="242">
        <f>(P196*P$204)+(2500*P$1)</f>
        <v>657355</v>
      </c>
      <c r="Q211" s="242">
        <f t="shared" si="105"/>
        <v>509550</v>
      </c>
      <c r="R211" s="242">
        <f t="shared" si="105"/>
        <v>653170</v>
      </c>
      <c r="S211" s="242">
        <f t="shared" si="105"/>
        <v>586950</v>
      </c>
      <c r="T211" s="242">
        <f>(T196*T$204)+(2500*T$1)</f>
        <v>664020</v>
      </c>
      <c r="U211" s="242">
        <f t="shared" si="105"/>
        <v>633175</v>
      </c>
      <c r="V211" s="242">
        <f t="shared" si="105"/>
        <v>561150</v>
      </c>
      <c r="W211" s="242">
        <f t="shared" si="105"/>
        <v>633175</v>
      </c>
      <c r="X211" s="242">
        <f t="shared" si="105"/>
        <v>645000</v>
      </c>
      <c r="Y211" s="242">
        <f t="shared" si="105"/>
        <v>653170</v>
      </c>
    </row>
    <row r="212" spans="1:26" ht="12.75" customHeight="1" x14ac:dyDescent="0.15">
      <c r="A212" s="239" t="s">
        <v>218</v>
      </c>
      <c r="B212" s="239" t="s">
        <v>249</v>
      </c>
      <c r="C212" s="239" t="s">
        <v>228</v>
      </c>
      <c r="D212" s="239" t="s">
        <v>223</v>
      </c>
      <c r="E212" s="243">
        <v>26960</v>
      </c>
      <c r="F212" s="239" t="s">
        <v>234</v>
      </c>
      <c r="G212" s="240">
        <v>36617</v>
      </c>
      <c r="H212" s="253">
        <v>37346</v>
      </c>
      <c r="I212" s="242">
        <v>20000</v>
      </c>
      <c r="M212" s="241" t="s">
        <v>226</v>
      </c>
      <c r="N212" s="242">
        <f>N197*N$204</f>
        <v>458800</v>
      </c>
      <c r="O212" s="242">
        <f t="shared" ref="O212:Y212" si="106">O197*O$204</f>
        <v>414400</v>
      </c>
      <c r="P212" s="242">
        <f>(P197*P$204)+(2500*P$1)</f>
        <v>616900</v>
      </c>
      <c r="Q212" s="242">
        <f t="shared" si="106"/>
        <v>474000</v>
      </c>
      <c r="R212" s="242">
        <f t="shared" si="106"/>
        <v>607600</v>
      </c>
      <c r="S212" s="242">
        <f t="shared" si="106"/>
        <v>546000</v>
      </c>
      <c r="T212" s="242">
        <f>(T197*T$204)+(2400*T$1)</f>
        <v>620000</v>
      </c>
      <c r="U212" s="242">
        <f t="shared" si="106"/>
        <v>589000</v>
      </c>
      <c r="V212" s="242">
        <f t="shared" si="106"/>
        <v>522000</v>
      </c>
      <c r="W212" s="242">
        <f t="shared" si="106"/>
        <v>589000</v>
      </c>
      <c r="X212" s="242">
        <f t="shared" si="106"/>
        <v>600000</v>
      </c>
      <c r="Y212" s="242">
        <f t="shared" si="106"/>
        <v>607600</v>
      </c>
    </row>
    <row r="213" spans="1:26" ht="12.75" customHeight="1" x14ac:dyDescent="0.15">
      <c r="A213" s="239" t="s">
        <v>218</v>
      </c>
      <c r="B213" s="239" t="s">
        <v>249</v>
      </c>
      <c r="C213" s="239" t="s">
        <v>228</v>
      </c>
      <c r="D213" s="239" t="s">
        <v>223</v>
      </c>
      <c r="E213" s="243">
        <v>26719</v>
      </c>
      <c r="F213" s="239" t="s">
        <v>368</v>
      </c>
      <c r="G213" s="240"/>
      <c r="H213" s="253">
        <v>38472</v>
      </c>
      <c r="I213" s="242">
        <v>25000</v>
      </c>
      <c r="M213" s="241" t="s">
        <v>226</v>
      </c>
      <c r="N213" s="242">
        <f>(N198*N$204)+(5000*N$1)</f>
        <v>728500</v>
      </c>
      <c r="O213" s="242">
        <f>(O198*O$204)+(5000*O$1)</f>
        <v>658000</v>
      </c>
      <c r="P213" s="242">
        <f>(P198*P$204)+(3000*P$1)</f>
        <v>767250</v>
      </c>
      <c r="Q213" s="242">
        <f>(Q198*Q$204)+(5000*Q$1)</f>
        <v>742500</v>
      </c>
      <c r="R213" s="242">
        <f t="shared" ref="R213:Y213" si="107">R198*R$204</f>
        <v>759500</v>
      </c>
      <c r="S213" s="242">
        <f t="shared" si="107"/>
        <v>682500</v>
      </c>
      <c r="T213" s="242">
        <f>(T198*T$204)+(3000*T$1)</f>
        <v>775000</v>
      </c>
      <c r="U213" s="242">
        <f t="shared" si="107"/>
        <v>736250</v>
      </c>
      <c r="V213" s="242">
        <f t="shared" si="107"/>
        <v>652500</v>
      </c>
      <c r="W213" s="242">
        <f t="shared" si="107"/>
        <v>736250</v>
      </c>
      <c r="X213" s="242">
        <f t="shared" si="107"/>
        <v>750000</v>
      </c>
      <c r="Y213" s="242">
        <f t="shared" si="107"/>
        <v>759500</v>
      </c>
    </row>
    <row r="214" spans="1:26" ht="12.75" customHeight="1" x14ac:dyDescent="0.15">
      <c r="A214" s="239" t="s">
        <v>218</v>
      </c>
      <c r="B214" s="239" t="s">
        <v>249</v>
      </c>
      <c r="C214" s="239" t="s">
        <v>228</v>
      </c>
      <c r="D214" s="239" t="s">
        <v>223</v>
      </c>
      <c r="E214" s="243">
        <v>26884</v>
      </c>
      <c r="F214" s="239" t="s">
        <v>241</v>
      </c>
      <c r="H214" s="253">
        <v>38656</v>
      </c>
      <c r="I214" s="246">
        <v>40000</v>
      </c>
      <c r="M214" s="241" t="s">
        <v>226</v>
      </c>
      <c r="N214" s="246">
        <f>(N199*N$204)+(8000*N$1)</f>
        <v>1165600</v>
      </c>
      <c r="O214" s="246">
        <f>(O199*O$204)+(8000*O$1)</f>
        <v>1052800</v>
      </c>
      <c r="P214" s="246">
        <f>(P199*P$204)+(5000*P$1)</f>
        <v>1233800</v>
      </c>
      <c r="Q214" s="246">
        <f>(Q199*Q$204)+(8000*Q$1)</f>
        <v>1188000</v>
      </c>
      <c r="R214" s="246">
        <f>R199*R$204</f>
        <v>1215200</v>
      </c>
      <c r="S214" s="246">
        <f>S199*S$204</f>
        <v>1092000</v>
      </c>
      <c r="T214" s="246">
        <f>(T199*T$204)+(4800*T$1)</f>
        <v>1240000</v>
      </c>
      <c r="U214" s="246">
        <f>U199*U$204</f>
        <v>1178000</v>
      </c>
      <c r="V214" s="246">
        <f>V199*V$204</f>
        <v>1044000</v>
      </c>
      <c r="W214" s="246">
        <f>W199*W$204</f>
        <v>1178000</v>
      </c>
      <c r="X214" s="246">
        <f>X199*X$204</f>
        <v>1200000</v>
      </c>
      <c r="Y214" s="246">
        <f>Y199*Y$204</f>
        <v>1215200</v>
      </c>
    </row>
    <row r="215" spans="1:26" ht="12.75" customHeight="1" x14ac:dyDescent="0.15">
      <c r="A215" s="545" t="s">
        <v>218</v>
      </c>
      <c r="B215" s="545" t="s">
        <v>249</v>
      </c>
      <c r="C215" s="545" t="s">
        <v>228</v>
      </c>
      <c r="D215" s="545" t="s">
        <v>223</v>
      </c>
      <c r="E215" s="596" t="s">
        <v>485</v>
      </c>
      <c r="F215" s="545" t="s">
        <v>483</v>
      </c>
      <c r="G215" s="597">
        <v>37196</v>
      </c>
      <c r="H215" s="598">
        <v>37256</v>
      </c>
      <c r="I215" s="599">
        <v>15000</v>
      </c>
      <c r="N215" s="246"/>
      <c r="O215" s="246"/>
      <c r="P215" s="246"/>
      <c r="Q215" s="246"/>
      <c r="R215" s="246"/>
      <c r="S215" s="246"/>
      <c r="T215" s="246"/>
      <c r="U215" s="246"/>
      <c r="V215" s="246"/>
      <c r="W215" s="599"/>
      <c r="X215" s="599">
        <f>X200</f>
        <v>450000</v>
      </c>
      <c r="Y215" s="599">
        <f>Y200</f>
        <v>465000</v>
      </c>
    </row>
    <row r="216" spans="1:26" ht="12.75" customHeight="1" x14ac:dyDescent="0.15">
      <c r="A216" s="523" t="s">
        <v>218</v>
      </c>
      <c r="B216" s="523" t="s">
        <v>249</v>
      </c>
      <c r="C216" s="523" t="s">
        <v>228</v>
      </c>
      <c r="D216" s="523" t="s">
        <v>223</v>
      </c>
      <c r="E216" s="522">
        <v>27457</v>
      </c>
      <c r="F216" s="523" t="s">
        <v>438</v>
      </c>
      <c r="G216" s="533"/>
      <c r="H216" s="525">
        <v>37256</v>
      </c>
      <c r="I216" s="539">
        <v>13500</v>
      </c>
      <c r="N216" s="245"/>
      <c r="O216" s="245"/>
      <c r="P216" s="245"/>
      <c r="Q216" s="245"/>
      <c r="R216" s="245"/>
      <c r="S216" s="245"/>
      <c r="T216" s="245"/>
      <c r="U216" s="245"/>
      <c r="V216" s="245"/>
      <c r="W216" s="245"/>
      <c r="X216" s="245"/>
      <c r="Y216" s="539">
        <f>Y201*Y$204</f>
        <v>410130</v>
      </c>
    </row>
    <row r="217" spans="1:26" ht="12.75" customHeight="1" x14ac:dyDescent="0.15">
      <c r="I217" s="242">
        <f>SUM(I205:I216)</f>
        <v>212100</v>
      </c>
      <c r="N217" s="242">
        <f>SUM(N205:N216)</f>
        <v>4893784</v>
      </c>
      <c r="O217" s="242">
        <f>SUM(O205:O216)</f>
        <v>4420192</v>
      </c>
      <c r="P217" s="242">
        <f t="shared" ref="P217:Y217" si="108">SUM(P205:P216)</f>
        <v>5633692</v>
      </c>
      <c r="Q217" s="242">
        <f t="shared" si="108"/>
        <v>831320</v>
      </c>
      <c r="R217" s="242">
        <f t="shared" si="108"/>
        <v>2482768</v>
      </c>
      <c r="S217" s="242">
        <f t="shared" si="108"/>
        <v>5012280</v>
      </c>
      <c r="T217" s="242">
        <f t="shared" si="108"/>
        <v>5684408</v>
      </c>
      <c r="U217" s="242">
        <f t="shared" si="108"/>
        <v>5407020</v>
      </c>
      <c r="V217" s="242">
        <f t="shared" si="108"/>
        <v>4791960</v>
      </c>
      <c r="W217" s="242">
        <f t="shared" si="108"/>
        <v>5407020</v>
      </c>
      <c r="X217" s="242">
        <f t="shared" si="108"/>
        <v>5958000</v>
      </c>
      <c r="Y217" s="242">
        <f t="shared" si="108"/>
        <v>6452898</v>
      </c>
      <c r="Z217" s="375"/>
    </row>
    <row r="220" spans="1:26" ht="12.75" customHeight="1" x14ac:dyDescent="0.15">
      <c r="A220" s="239" t="s">
        <v>218</v>
      </c>
      <c r="B220" s="239" t="s">
        <v>249</v>
      </c>
      <c r="C220" s="239" t="s">
        <v>229</v>
      </c>
      <c r="D220" s="239" t="s">
        <v>220</v>
      </c>
      <c r="E220" s="243">
        <v>24670</v>
      </c>
      <c r="F220" s="239" t="s">
        <v>250</v>
      </c>
      <c r="H220" s="243" t="s">
        <v>433</v>
      </c>
      <c r="K220" s="251">
        <v>0.1464</v>
      </c>
      <c r="L220" s="239">
        <v>1.8599999999999998E-2</v>
      </c>
      <c r="M220" s="241" t="s">
        <v>253</v>
      </c>
      <c r="N220" s="242">
        <f>N191*($K220+$L220)-N234</f>
        <v>46883.16</v>
      </c>
      <c r="O220" s="242">
        <f>O191*($K220+$L220)-O234</f>
        <v>42346.080000000002</v>
      </c>
      <c r="P220" s="242">
        <f>P191*(0.1514+$L220)-P234</f>
        <v>47106.98000000001</v>
      </c>
      <c r="Q220" s="242">
        <f t="shared" ref="Q220:Y220" si="109">Q191*(0.1514+$L220)-Q234</f>
        <v>46591.80000000001</v>
      </c>
      <c r="R220" s="242">
        <f t="shared" si="109"/>
        <v>47049.320000000007</v>
      </c>
      <c r="S220" s="242">
        <f t="shared" si="109"/>
        <v>45922.200000000012</v>
      </c>
      <c r="T220" s="242">
        <f t="shared" si="109"/>
        <v>46934.000000000007</v>
      </c>
      <c r="U220" s="242">
        <f t="shared" si="109"/>
        <v>47222.30000000001</v>
      </c>
      <c r="V220" s="242">
        <f t="shared" si="109"/>
        <v>46145.400000000009</v>
      </c>
      <c r="W220" s="242">
        <f t="shared" si="109"/>
        <v>47222.30000000001</v>
      </c>
      <c r="X220" s="242">
        <f t="shared" si="109"/>
        <v>45420.000000000007</v>
      </c>
      <c r="Y220" s="242">
        <f t="shared" si="109"/>
        <v>47049.320000000007</v>
      </c>
    </row>
    <row r="221" spans="1:26" ht="12.75" customHeight="1" x14ac:dyDescent="0.15">
      <c r="A221" s="239" t="s">
        <v>218</v>
      </c>
      <c r="B221" s="239" t="s">
        <v>249</v>
      </c>
      <c r="C221" s="239" t="s">
        <v>229</v>
      </c>
      <c r="D221" s="239" t="s">
        <v>220</v>
      </c>
      <c r="E221" s="243">
        <v>25071</v>
      </c>
      <c r="F221" s="239" t="s">
        <v>251</v>
      </c>
      <c r="H221" s="253">
        <v>39782</v>
      </c>
      <c r="K221" s="251">
        <v>0.15640000000000001</v>
      </c>
      <c r="L221" s="239">
        <v>1.8599999999999998E-2</v>
      </c>
      <c r="M221" s="241" t="s">
        <v>254</v>
      </c>
      <c r="N221" s="242">
        <f t="shared" ref="N221:O226" si="110">N192*($K221+$L221)-N236</f>
        <v>147643.08000000002</v>
      </c>
      <c r="O221" s="242">
        <f t="shared" si="110"/>
        <v>133355.04</v>
      </c>
      <c r="P221" s="242">
        <f t="shared" ref="P221:X221" si="111">P192*($K221+$L221)-P236</f>
        <v>145682.64000000004</v>
      </c>
      <c r="Q221" s="242">
        <f t="shared" si="111"/>
        <v>142043.40000000002</v>
      </c>
      <c r="R221" s="242">
        <f t="shared" si="111"/>
        <v>145797.96000000002</v>
      </c>
      <c r="S221" s="242">
        <f t="shared" si="111"/>
        <v>142266.60000000003</v>
      </c>
      <c r="T221" s="242">
        <f t="shared" si="111"/>
        <v>145509.66000000003</v>
      </c>
      <c r="U221" s="242">
        <f t="shared" si="111"/>
        <v>146316.90000000002</v>
      </c>
      <c r="V221" s="242">
        <f t="shared" si="111"/>
        <v>142936.20000000004</v>
      </c>
      <c r="W221" s="242">
        <f t="shared" si="111"/>
        <v>146316.90000000002</v>
      </c>
      <c r="X221" s="242">
        <f t="shared" si="111"/>
        <v>140760.00000000003</v>
      </c>
      <c r="Y221" s="242">
        <f>Y192*(0.1614+$L221)-Y236</f>
        <v>150447.96</v>
      </c>
    </row>
    <row r="222" spans="1:26" ht="12.75" customHeight="1" x14ac:dyDescent="0.15">
      <c r="A222" s="239" t="s">
        <v>218</v>
      </c>
      <c r="B222" s="239" t="s">
        <v>249</v>
      </c>
      <c r="C222" s="239" t="s">
        <v>229</v>
      </c>
      <c r="D222" s="239" t="s">
        <v>220</v>
      </c>
      <c r="E222" s="243">
        <v>25700</v>
      </c>
      <c r="F222" s="239" t="s">
        <v>251</v>
      </c>
      <c r="H222" s="253">
        <v>37621</v>
      </c>
      <c r="K222" s="251">
        <v>0.1714</v>
      </c>
      <c r="L222" s="239">
        <v>1.8599999999999998E-2</v>
      </c>
      <c r="M222" s="241" t="s">
        <v>255</v>
      </c>
      <c r="N222" s="242">
        <f t="shared" si="110"/>
        <v>133699.9</v>
      </c>
      <c r="O222" s="242">
        <f t="shared" si="110"/>
        <v>120761.2</v>
      </c>
      <c r="P222" s="242">
        <f t="shared" ref="P222:Y222" si="112">P193*($K222+$L222)-P237</f>
        <v>132863.83000000002</v>
      </c>
      <c r="Q222" s="242">
        <f t="shared" si="112"/>
        <v>128689.5</v>
      </c>
      <c r="R222" s="242">
        <f t="shared" si="112"/>
        <v>133123.29999999999</v>
      </c>
      <c r="S222" s="242">
        <f t="shared" si="112"/>
        <v>129805.5</v>
      </c>
      <c r="T222" s="242">
        <f t="shared" si="112"/>
        <v>132835</v>
      </c>
      <c r="U222" s="242">
        <f t="shared" si="112"/>
        <v>133555.75</v>
      </c>
      <c r="V222" s="242">
        <f t="shared" si="112"/>
        <v>130363.5</v>
      </c>
      <c r="W222" s="242">
        <f t="shared" si="112"/>
        <v>133555.75</v>
      </c>
      <c r="X222" s="242">
        <f t="shared" si="112"/>
        <v>128550</v>
      </c>
      <c r="Y222" s="242">
        <f t="shared" si="112"/>
        <v>133123.29999999999</v>
      </c>
    </row>
    <row r="223" spans="1:26" ht="12.75" customHeight="1" x14ac:dyDescent="0.15">
      <c r="A223" s="239" t="s">
        <v>218</v>
      </c>
      <c r="B223" s="239" t="s">
        <v>249</v>
      </c>
      <c r="C223" s="239" t="s">
        <v>229</v>
      </c>
      <c r="D223" s="239" t="s">
        <v>220</v>
      </c>
      <c r="E223" s="243">
        <v>26125</v>
      </c>
      <c r="F223" s="239" t="s">
        <v>252</v>
      </c>
      <c r="H223" s="253">
        <v>37772</v>
      </c>
      <c r="K223" s="251">
        <v>0.1114</v>
      </c>
      <c r="L223" s="239">
        <v>1.8599999999999998E-2</v>
      </c>
      <c r="M223" s="241" t="s">
        <v>255</v>
      </c>
      <c r="N223" s="242">
        <f t="shared" si="110"/>
        <v>30988.517599999999</v>
      </c>
      <c r="O223" s="242">
        <f t="shared" si="110"/>
        <v>27989.628799999999</v>
      </c>
      <c r="P223" s="242">
        <f t="shared" ref="P223:Y223" si="113">P194*($K223+$L223)-P238</f>
        <v>29767.2788</v>
      </c>
      <c r="Q223" s="242">
        <f t="shared" si="113"/>
        <v>29748.948</v>
      </c>
      <c r="R223" s="242">
        <f t="shared" si="113"/>
        <v>29798.415199999999</v>
      </c>
      <c r="S223" s="242">
        <f t="shared" si="113"/>
        <v>29173.092000000001</v>
      </c>
      <c r="T223" s="242">
        <f t="shared" si="113"/>
        <v>29717.691200000001</v>
      </c>
      <c r="U223" s="242">
        <f t="shared" si="113"/>
        <v>29947.178</v>
      </c>
      <c r="V223" s="242">
        <f t="shared" si="113"/>
        <v>29365.044000000002</v>
      </c>
      <c r="W223" s="242">
        <f t="shared" si="113"/>
        <v>29947.178</v>
      </c>
      <c r="X223" s="242">
        <f t="shared" si="113"/>
        <v>28741.200000000001</v>
      </c>
      <c r="Y223" s="242">
        <f t="shared" si="113"/>
        <v>29798.415199999999</v>
      </c>
    </row>
    <row r="224" spans="1:26" ht="12.75" customHeight="1" x14ac:dyDescent="0.15">
      <c r="A224" s="239" t="s">
        <v>218</v>
      </c>
      <c r="B224" s="239" t="s">
        <v>249</v>
      </c>
      <c r="C224" s="239" t="s">
        <v>229</v>
      </c>
      <c r="D224" s="239" t="s">
        <v>220</v>
      </c>
      <c r="E224" s="243">
        <v>26813</v>
      </c>
      <c r="F224" s="239" t="s">
        <v>237</v>
      </c>
      <c r="H224" s="253">
        <v>39569</v>
      </c>
      <c r="K224" s="251">
        <v>0.1739</v>
      </c>
      <c r="L224" s="239">
        <v>1.8599999999999998E-2</v>
      </c>
      <c r="M224" s="241" t="s">
        <v>238</v>
      </c>
      <c r="N224" s="242">
        <f t="shared" si="110"/>
        <v>19392.856</v>
      </c>
      <c r="O224" s="242">
        <f t="shared" si="110"/>
        <v>17516.128000000001</v>
      </c>
      <c r="P224" s="242">
        <f t="shared" ref="P224:Y224" si="114">P195*($K224+$L224)-P239</f>
        <v>18957.523000000001</v>
      </c>
      <c r="Q224" s="242">
        <f t="shared" si="114"/>
        <v>18669.63</v>
      </c>
      <c r="R224" s="242">
        <f t="shared" si="114"/>
        <v>18908.511999999999</v>
      </c>
      <c r="S224" s="242">
        <f t="shared" si="114"/>
        <v>18435.27</v>
      </c>
      <c r="T224" s="242">
        <f t="shared" si="114"/>
        <v>18879.682000000001</v>
      </c>
      <c r="U224" s="242">
        <f t="shared" si="114"/>
        <v>18969.055</v>
      </c>
      <c r="V224" s="242">
        <f t="shared" si="114"/>
        <v>18513.39</v>
      </c>
      <c r="W224" s="242">
        <f t="shared" si="114"/>
        <v>18969.055</v>
      </c>
      <c r="X224" s="242">
        <f t="shared" si="114"/>
        <v>18259.5</v>
      </c>
      <c r="Y224" s="242">
        <f t="shared" si="114"/>
        <v>18908.511999999999</v>
      </c>
    </row>
    <row r="225" spans="1:32" ht="12.75" customHeight="1" x14ac:dyDescent="0.15">
      <c r="A225" s="239" t="s">
        <v>218</v>
      </c>
      <c r="B225" s="239" t="s">
        <v>249</v>
      </c>
      <c r="C225" s="239" t="s">
        <v>229</v>
      </c>
      <c r="D225" s="239" t="s">
        <v>220</v>
      </c>
      <c r="E225" s="243">
        <v>26816</v>
      </c>
      <c r="F225" s="239" t="s">
        <v>239</v>
      </c>
      <c r="H225" s="253">
        <v>38472</v>
      </c>
      <c r="K225" s="251">
        <v>0.15140000000000001</v>
      </c>
      <c r="L225" s="239">
        <v>1.8599999999999998E-2</v>
      </c>
      <c r="M225" s="241" t="s">
        <v>226</v>
      </c>
      <c r="N225" s="242">
        <f t="shared" si="110"/>
        <v>104131.29400000001</v>
      </c>
      <c r="O225" s="242">
        <f t="shared" si="110"/>
        <v>94054.072000000015</v>
      </c>
      <c r="P225" s="242">
        <f t="shared" ref="P225:Y225" si="115">P196*($K225+$L225)-P240</f>
        <v>101078.19700000001</v>
      </c>
      <c r="Q225" s="242">
        <f t="shared" si="115"/>
        <v>100172.37000000001</v>
      </c>
      <c r="R225" s="242">
        <f t="shared" si="115"/>
        <v>101156.03800000002</v>
      </c>
      <c r="S225" s="242">
        <f t="shared" si="115"/>
        <v>98732.73000000001</v>
      </c>
      <c r="T225" s="242">
        <f t="shared" si="115"/>
        <v>100954.22800000002</v>
      </c>
      <c r="U225" s="242">
        <f t="shared" si="115"/>
        <v>101527.94500000002</v>
      </c>
      <c r="V225" s="242">
        <f t="shared" si="115"/>
        <v>99212.610000000015</v>
      </c>
      <c r="W225" s="242">
        <f t="shared" si="115"/>
        <v>101527.94500000002</v>
      </c>
      <c r="X225" s="242">
        <f t="shared" si="115"/>
        <v>97653.000000000015</v>
      </c>
      <c r="Y225" s="242">
        <f t="shared" si="115"/>
        <v>101156.03800000002</v>
      </c>
    </row>
    <row r="226" spans="1:32" ht="12.75" customHeight="1" x14ac:dyDescent="0.15">
      <c r="A226" s="239" t="s">
        <v>218</v>
      </c>
      <c r="B226" s="239" t="s">
        <v>249</v>
      </c>
      <c r="C226" s="239" t="s">
        <v>229</v>
      </c>
      <c r="D226" s="239" t="s">
        <v>220</v>
      </c>
      <c r="E226" s="243">
        <v>26960</v>
      </c>
      <c r="F226" s="239" t="s">
        <v>234</v>
      </c>
      <c r="G226" s="240">
        <v>36617</v>
      </c>
      <c r="H226" s="253">
        <v>37346</v>
      </c>
      <c r="K226" s="251">
        <v>0.1714</v>
      </c>
      <c r="L226" s="239">
        <v>1.8599999999999998E-2</v>
      </c>
      <c r="M226" s="241" t="s">
        <v>226</v>
      </c>
      <c r="N226" s="242">
        <f t="shared" si="110"/>
        <v>109266.32</v>
      </c>
      <c r="O226" s="242">
        <f t="shared" si="110"/>
        <v>98692.160000000003</v>
      </c>
      <c r="P226" s="242">
        <f t="shared" ref="P226:Y226" si="116">P197*($K226+$L226)-P241</f>
        <v>106325.66</v>
      </c>
      <c r="Q226" s="242">
        <f t="shared" si="116"/>
        <v>105183.6</v>
      </c>
      <c r="R226" s="242">
        <f t="shared" si="116"/>
        <v>106498.64</v>
      </c>
      <c r="S226" s="242">
        <f t="shared" si="116"/>
        <v>103844.4</v>
      </c>
      <c r="T226" s="242">
        <f t="shared" si="116"/>
        <v>106268</v>
      </c>
      <c r="U226" s="242">
        <f t="shared" si="116"/>
        <v>106844.6</v>
      </c>
      <c r="V226" s="242">
        <f t="shared" si="116"/>
        <v>104290.8</v>
      </c>
      <c r="W226" s="242">
        <f t="shared" si="116"/>
        <v>106844.6</v>
      </c>
      <c r="X226" s="242">
        <f t="shared" si="116"/>
        <v>102840</v>
      </c>
      <c r="Y226" s="242">
        <f t="shared" si="116"/>
        <v>106498.64</v>
      </c>
    </row>
    <row r="227" spans="1:32" ht="12.75" customHeight="1" x14ac:dyDescent="0.15">
      <c r="A227" s="239" t="s">
        <v>218</v>
      </c>
      <c r="B227" s="239" t="s">
        <v>249</v>
      </c>
      <c r="C227" s="239" t="s">
        <v>229</v>
      </c>
      <c r="D227" s="239" t="s">
        <v>220</v>
      </c>
      <c r="E227" s="243">
        <v>26719</v>
      </c>
      <c r="F227" s="239" t="s">
        <v>368</v>
      </c>
      <c r="G227" s="240"/>
      <c r="H227" s="253">
        <v>38472</v>
      </c>
      <c r="K227" s="251">
        <v>0.18640000000000001</v>
      </c>
      <c r="L227" s="239">
        <v>1.8599999999999998E-2</v>
      </c>
      <c r="M227" s="241" t="s">
        <v>226</v>
      </c>
      <c r="N227" s="242">
        <f>N198*($K227+$L227)-N242</f>
        <v>145324.9</v>
      </c>
      <c r="O227" s="242">
        <f t="shared" ref="O227:Y227" si="117">O198*($K227+$L227)-O242</f>
        <v>131261.20000000001</v>
      </c>
      <c r="P227" s="242">
        <f t="shared" si="117"/>
        <v>144604.15</v>
      </c>
      <c r="Q227" s="242">
        <f t="shared" si="117"/>
        <v>139939.5</v>
      </c>
      <c r="R227" s="242">
        <f t="shared" si="117"/>
        <v>144748.29999999999</v>
      </c>
      <c r="S227" s="242">
        <f t="shared" si="117"/>
        <v>141055.5</v>
      </c>
      <c r="T227" s="242">
        <f t="shared" si="117"/>
        <v>144460</v>
      </c>
      <c r="U227" s="242">
        <f t="shared" si="117"/>
        <v>145180.75</v>
      </c>
      <c r="V227" s="242">
        <f t="shared" si="117"/>
        <v>141613.5</v>
      </c>
      <c r="W227" s="242">
        <f t="shared" si="117"/>
        <v>145180.75</v>
      </c>
      <c r="X227" s="242">
        <f t="shared" si="117"/>
        <v>139800</v>
      </c>
      <c r="Y227" s="242">
        <f t="shared" si="117"/>
        <v>144748.29999999999</v>
      </c>
    </row>
    <row r="228" spans="1:32" ht="12.75" customHeight="1" x14ac:dyDescent="0.15">
      <c r="A228" s="239" t="s">
        <v>218</v>
      </c>
      <c r="B228" s="239" t="s">
        <v>249</v>
      </c>
      <c r="C228" s="239" t="s">
        <v>229</v>
      </c>
      <c r="D228" s="239" t="s">
        <v>220</v>
      </c>
      <c r="E228" s="243">
        <v>26884</v>
      </c>
      <c r="F228" s="239" t="s">
        <v>241</v>
      </c>
      <c r="H228" s="253">
        <v>38656</v>
      </c>
      <c r="K228" s="251">
        <v>0.18390000000000001</v>
      </c>
      <c r="L228" s="239">
        <v>1.8599999999999998E-2</v>
      </c>
      <c r="M228" s="241" t="s">
        <v>226</v>
      </c>
      <c r="N228" s="246">
        <f>N199*($K228+$L228)-N243</f>
        <v>229419.84000000003</v>
      </c>
      <c r="O228" s="246">
        <f t="shared" ref="O228:Y228" si="118">O199*($K228+$L228)-O243</f>
        <v>207217.92000000004</v>
      </c>
      <c r="P228" s="246">
        <f t="shared" si="118"/>
        <v>228151.32000000004</v>
      </c>
      <c r="Q228" s="246">
        <f t="shared" si="118"/>
        <v>220903.20000000004</v>
      </c>
      <c r="R228" s="246">
        <f t="shared" si="118"/>
        <v>228497.28000000003</v>
      </c>
      <c r="S228" s="246">
        <f t="shared" si="118"/>
        <v>222688.80000000005</v>
      </c>
      <c r="T228" s="246">
        <f t="shared" si="118"/>
        <v>228036.00000000003</v>
      </c>
      <c r="U228" s="246">
        <f t="shared" si="118"/>
        <v>229189.20000000004</v>
      </c>
      <c r="V228" s="246">
        <f t="shared" si="118"/>
        <v>223581.60000000003</v>
      </c>
      <c r="W228" s="246">
        <f t="shared" si="118"/>
        <v>229189.20000000004</v>
      </c>
      <c r="X228" s="246">
        <f t="shared" si="118"/>
        <v>220680.00000000003</v>
      </c>
      <c r="Y228" s="246">
        <f t="shared" si="118"/>
        <v>228497.28000000003</v>
      </c>
    </row>
    <row r="229" spans="1:32" s="545" customFormat="1" ht="12.75" customHeight="1" x14ac:dyDescent="0.15">
      <c r="A229" s="545" t="s">
        <v>218</v>
      </c>
      <c r="B229" s="545" t="s">
        <v>249</v>
      </c>
      <c r="C229" s="545" t="s">
        <v>229</v>
      </c>
      <c r="D229" s="545" t="s">
        <v>220</v>
      </c>
      <c r="E229" s="596" t="s">
        <v>485</v>
      </c>
      <c r="F229" s="545" t="s">
        <v>483</v>
      </c>
      <c r="G229" s="597">
        <v>37196</v>
      </c>
      <c r="H229" s="598">
        <v>37256</v>
      </c>
      <c r="I229" s="602">
        <v>15000</v>
      </c>
      <c r="K229" s="600">
        <v>0.18149999999999999</v>
      </c>
      <c r="L229" s="545">
        <v>1.8499999999999999E-2</v>
      </c>
      <c r="M229" s="601" t="s">
        <v>226</v>
      </c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>
        <f>X200*($K229+$L229)-X244</f>
        <v>81674.999999999985</v>
      </c>
      <c r="Y229" s="599">
        <f>Y200*($K229+$L229)-Y244</f>
        <v>84397.499999999985</v>
      </c>
    </row>
    <row r="230" spans="1:32" ht="12.75" customHeight="1" x14ac:dyDescent="0.15">
      <c r="A230" s="523" t="s">
        <v>218</v>
      </c>
      <c r="B230" s="523" t="s">
        <v>249</v>
      </c>
      <c r="C230" s="523" t="s">
        <v>229</v>
      </c>
      <c r="D230" s="523" t="s">
        <v>220</v>
      </c>
      <c r="E230" s="522">
        <v>27457</v>
      </c>
      <c r="F230" s="523" t="s">
        <v>438</v>
      </c>
      <c r="G230" s="533"/>
      <c r="H230" s="525">
        <v>37256</v>
      </c>
      <c r="K230" s="532">
        <v>0.99150000000000005</v>
      </c>
      <c r="L230" s="523">
        <v>1.8599999999999998E-2</v>
      </c>
      <c r="N230" s="245"/>
      <c r="O230" s="245"/>
      <c r="P230" s="245"/>
      <c r="Q230" s="245"/>
      <c r="R230" s="245"/>
      <c r="S230" s="245"/>
      <c r="T230" s="245"/>
      <c r="U230" s="245"/>
      <c r="V230" s="245"/>
      <c r="W230" s="245"/>
      <c r="X230" s="245"/>
      <c r="Y230" s="539">
        <f>Y201*($K230+$L230)-Y245</f>
        <v>415098.43199999997</v>
      </c>
    </row>
    <row r="231" spans="1:32" ht="12.75" customHeight="1" x14ac:dyDescent="0.15">
      <c r="I231" s="242">
        <f>SUM(I220:I228)</f>
        <v>0</v>
      </c>
      <c r="N231" s="242">
        <f>SUM(N220:N230)</f>
        <v>966749.8676</v>
      </c>
      <c r="O231" s="242">
        <f>SUM(O220:O230)</f>
        <v>873193.42880000023</v>
      </c>
      <c r="P231" s="242">
        <f t="shared" ref="P231:Y231" si="119">SUM(P220:P230)</f>
        <v>954537.57880000013</v>
      </c>
      <c r="Q231" s="242">
        <f t="shared" si="119"/>
        <v>931941.94800000009</v>
      </c>
      <c r="R231" s="242">
        <f t="shared" si="119"/>
        <v>955577.76520000002</v>
      </c>
      <c r="S231" s="242">
        <f t="shared" si="119"/>
        <v>931924.09200000018</v>
      </c>
      <c r="T231" s="242">
        <f t="shared" si="119"/>
        <v>953594.26120000007</v>
      </c>
      <c r="U231" s="242">
        <f t="shared" si="119"/>
        <v>958753.67800000019</v>
      </c>
      <c r="V231" s="242">
        <f t="shared" si="119"/>
        <v>936022.04400000023</v>
      </c>
      <c r="W231" s="242">
        <f t="shared" si="119"/>
        <v>958753.67800000019</v>
      </c>
      <c r="X231" s="242">
        <f t="shared" si="119"/>
        <v>1004378.7</v>
      </c>
      <c r="Y231" s="242">
        <f t="shared" si="119"/>
        <v>1459723.6972000001</v>
      </c>
      <c r="Z231" s="375">
        <f>SUM(N231:Y231)</f>
        <v>11885150.7388</v>
      </c>
    </row>
    <row r="234" spans="1:32" ht="12.75" customHeight="1" x14ac:dyDescent="0.15">
      <c r="A234" s="239" t="s">
        <v>218</v>
      </c>
      <c r="B234" s="239" t="s">
        <v>249</v>
      </c>
      <c r="C234" s="239" t="s">
        <v>229</v>
      </c>
      <c r="D234" s="239" t="s">
        <v>223</v>
      </c>
      <c r="E234" s="243">
        <v>24670</v>
      </c>
      <c r="F234" s="239" t="s">
        <v>250</v>
      </c>
      <c r="H234" s="243" t="s">
        <v>433</v>
      </c>
      <c r="K234" s="251">
        <v>0.1464</v>
      </c>
      <c r="L234" s="239">
        <v>1.8599999999999998E-2</v>
      </c>
      <c r="M234" s="241" t="s">
        <v>253</v>
      </c>
      <c r="N234" s="242">
        <f t="shared" ref="N234:Y234" si="120">N205*$L234</f>
        <v>4266.8399999999992</v>
      </c>
      <c r="O234" s="242">
        <f t="shared" si="120"/>
        <v>3853.9199999999996</v>
      </c>
      <c r="P234" s="242">
        <f t="shared" si="120"/>
        <v>5593.0199999999995</v>
      </c>
      <c r="Q234" s="242">
        <f t="shared" si="120"/>
        <v>4408.2</v>
      </c>
      <c r="R234" s="242">
        <f t="shared" si="120"/>
        <v>5650.6799999999994</v>
      </c>
      <c r="S234" s="242">
        <f t="shared" si="120"/>
        <v>5077.7999999999993</v>
      </c>
      <c r="T234" s="242">
        <f t="shared" si="120"/>
        <v>5765.9999999999991</v>
      </c>
      <c r="U234" s="242">
        <f t="shared" si="120"/>
        <v>5477.7</v>
      </c>
      <c r="V234" s="242">
        <f t="shared" si="120"/>
        <v>4854.5999999999995</v>
      </c>
      <c r="W234" s="242">
        <f t="shared" si="120"/>
        <v>5477.7</v>
      </c>
      <c r="X234" s="242">
        <f t="shared" si="120"/>
        <v>5579.9999999999991</v>
      </c>
      <c r="Y234" s="242">
        <f t="shared" si="120"/>
        <v>5650.6799999999994</v>
      </c>
      <c r="AF234" s="375">
        <f>SUM(N234:Y234)</f>
        <v>61657.139999999992</v>
      </c>
    </row>
    <row r="235" spans="1:32" s="558" customFormat="1" ht="12.75" customHeight="1" x14ac:dyDescent="0.15">
      <c r="B235" s="558" t="s">
        <v>468</v>
      </c>
      <c r="C235" s="558" t="s">
        <v>228</v>
      </c>
      <c r="D235" s="558" t="s">
        <v>223</v>
      </c>
      <c r="E235" s="566"/>
      <c r="H235" s="566"/>
      <c r="I235" s="562"/>
      <c r="K235" s="563"/>
      <c r="L235" s="558">
        <v>1.8599999999999998E-2</v>
      </c>
      <c r="M235" s="564"/>
      <c r="N235" s="562"/>
      <c r="O235" s="562"/>
      <c r="P235" s="562"/>
      <c r="Q235" s="562">
        <f>Q206*$L235</f>
        <v>-77748</v>
      </c>
      <c r="R235" s="562">
        <f>R206*$L235</f>
        <v>-57566.999999999993</v>
      </c>
      <c r="S235" s="562"/>
      <c r="T235" s="562"/>
      <c r="U235" s="562"/>
      <c r="V235" s="562"/>
      <c r="W235" s="562"/>
      <c r="X235" s="562"/>
      <c r="Y235" s="562"/>
      <c r="AF235" s="565"/>
    </row>
    <row r="236" spans="1:32" ht="12.75" customHeight="1" x14ac:dyDescent="0.15">
      <c r="A236" s="239" t="s">
        <v>218</v>
      </c>
      <c r="B236" s="239" t="s">
        <v>249</v>
      </c>
      <c r="C236" s="239" t="s">
        <v>229</v>
      </c>
      <c r="D236" s="239" t="s">
        <v>223</v>
      </c>
      <c r="E236" s="243">
        <v>25071</v>
      </c>
      <c r="F236" s="239" t="s">
        <v>251</v>
      </c>
      <c r="H236" s="253">
        <v>39782</v>
      </c>
      <c r="K236" s="251">
        <v>0.15640000000000001</v>
      </c>
      <c r="L236" s="239">
        <v>1.8599999999999998E-2</v>
      </c>
      <c r="M236" s="241" t="s">
        <v>254</v>
      </c>
      <c r="N236" s="242">
        <f t="shared" ref="N236:O241" si="121">N207*$L236</f>
        <v>15106.919999999998</v>
      </c>
      <c r="O236" s="242">
        <f t="shared" si="121"/>
        <v>13644.96</v>
      </c>
      <c r="P236" s="242">
        <f t="shared" ref="P236:Y236" si="122">P207*$L236</f>
        <v>17067.359999999997</v>
      </c>
      <c r="Q236" s="242">
        <f t="shared" si="122"/>
        <v>15456.599999999999</v>
      </c>
      <c r="R236" s="242">
        <f t="shared" si="122"/>
        <v>16952.039999999997</v>
      </c>
      <c r="S236" s="242">
        <f t="shared" si="122"/>
        <v>15233.4</v>
      </c>
      <c r="T236" s="242">
        <f t="shared" si="122"/>
        <v>17240.34</v>
      </c>
      <c r="U236" s="242">
        <f t="shared" si="122"/>
        <v>16433.099999999999</v>
      </c>
      <c r="V236" s="242">
        <f t="shared" si="122"/>
        <v>14563.8</v>
      </c>
      <c r="W236" s="242">
        <f t="shared" si="122"/>
        <v>16433.099999999999</v>
      </c>
      <c r="X236" s="242">
        <f t="shared" si="122"/>
        <v>16740</v>
      </c>
      <c r="Y236" s="242">
        <f t="shared" si="122"/>
        <v>16952.039999999997</v>
      </c>
      <c r="AF236" s="375">
        <f t="shared" ref="AF236:AF243" si="123">SUM(N236:Y236)</f>
        <v>191823.65999999997</v>
      </c>
    </row>
    <row r="237" spans="1:32" ht="12.75" customHeight="1" x14ac:dyDescent="0.15">
      <c r="A237" s="239" t="s">
        <v>218</v>
      </c>
      <c r="B237" s="239" t="s">
        <v>249</v>
      </c>
      <c r="C237" s="239" t="s">
        <v>229</v>
      </c>
      <c r="D237" s="239" t="s">
        <v>223</v>
      </c>
      <c r="E237" s="243">
        <v>25700</v>
      </c>
      <c r="F237" s="239" t="s">
        <v>251</v>
      </c>
      <c r="H237" s="253">
        <v>37621</v>
      </c>
      <c r="K237" s="251">
        <v>0.1714</v>
      </c>
      <c r="L237" s="239">
        <v>1.8599999999999998E-2</v>
      </c>
      <c r="M237" s="241" t="s">
        <v>255</v>
      </c>
      <c r="N237" s="242">
        <f t="shared" si="121"/>
        <v>13550.099999999999</v>
      </c>
      <c r="O237" s="242">
        <f t="shared" si="121"/>
        <v>12238.8</v>
      </c>
      <c r="P237" s="242">
        <f t="shared" ref="P237:Y237" si="124">P208*$L237</f>
        <v>14386.169999999998</v>
      </c>
      <c r="Q237" s="242">
        <f t="shared" si="124"/>
        <v>13810.499999999998</v>
      </c>
      <c r="R237" s="242">
        <f t="shared" si="124"/>
        <v>14126.699999999999</v>
      </c>
      <c r="S237" s="242">
        <f t="shared" si="124"/>
        <v>12694.499999999998</v>
      </c>
      <c r="T237" s="242">
        <f t="shared" si="124"/>
        <v>14414.999999999998</v>
      </c>
      <c r="U237" s="242">
        <f t="shared" si="124"/>
        <v>13694.249999999998</v>
      </c>
      <c r="V237" s="242">
        <f t="shared" si="124"/>
        <v>12136.499999999998</v>
      </c>
      <c r="W237" s="242">
        <f t="shared" si="124"/>
        <v>13694.249999999998</v>
      </c>
      <c r="X237" s="242">
        <f t="shared" si="124"/>
        <v>13949.999999999998</v>
      </c>
      <c r="Y237" s="242">
        <f t="shared" si="124"/>
        <v>14126.699999999999</v>
      </c>
      <c r="AF237" s="375">
        <f t="shared" si="123"/>
        <v>162823.47</v>
      </c>
    </row>
    <row r="238" spans="1:32" ht="12.75" customHeight="1" x14ac:dyDescent="0.15">
      <c r="A238" s="239" t="s">
        <v>218</v>
      </c>
      <c r="B238" s="239" t="s">
        <v>249</v>
      </c>
      <c r="C238" s="239" t="s">
        <v>229</v>
      </c>
      <c r="D238" s="239" t="s">
        <v>223</v>
      </c>
      <c r="E238" s="243">
        <v>26125</v>
      </c>
      <c r="F238" s="239" t="s">
        <v>252</v>
      </c>
      <c r="H238" s="253">
        <v>37772</v>
      </c>
      <c r="K238" s="251">
        <v>0.1114</v>
      </c>
      <c r="L238" s="239">
        <v>1.8599999999999998E-2</v>
      </c>
      <c r="M238" s="241" t="s">
        <v>255</v>
      </c>
      <c r="N238" s="242">
        <f t="shared" si="121"/>
        <v>3669.4823999999999</v>
      </c>
      <c r="O238" s="242">
        <f t="shared" si="121"/>
        <v>3314.3711999999996</v>
      </c>
      <c r="P238" s="242">
        <f t="shared" ref="P238:Y238" si="125">P209*$L238</f>
        <v>4890.7212</v>
      </c>
      <c r="Q238" s="242">
        <f t="shared" si="125"/>
        <v>3791.0519999999997</v>
      </c>
      <c r="R238" s="242">
        <f t="shared" si="125"/>
        <v>4859.5847999999996</v>
      </c>
      <c r="S238" s="242">
        <f t="shared" si="125"/>
        <v>4366.9079999999994</v>
      </c>
      <c r="T238" s="242">
        <f t="shared" si="125"/>
        <v>4940.3087999999998</v>
      </c>
      <c r="U238" s="242">
        <f t="shared" si="125"/>
        <v>4710.8219999999992</v>
      </c>
      <c r="V238" s="242">
        <f t="shared" si="125"/>
        <v>4174.9559999999992</v>
      </c>
      <c r="W238" s="242">
        <f t="shared" si="125"/>
        <v>4710.8219999999992</v>
      </c>
      <c r="X238" s="242">
        <f t="shared" si="125"/>
        <v>4798.7999999999993</v>
      </c>
      <c r="Y238" s="242">
        <f t="shared" si="125"/>
        <v>4859.5847999999996</v>
      </c>
      <c r="AF238" s="375">
        <f t="shared" si="123"/>
        <v>53087.413199999995</v>
      </c>
    </row>
    <row r="239" spans="1:32" ht="12.75" customHeight="1" x14ac:dyDescent="0.15">
      <c r="A239" s="239" t="s">
        <v>218</v>
      </c>
      <c r="B239" s="239" t="s">
        <v>249</v>
      </c>
      <c r="C239" s="239" t="s">
        <v>229</v>
      </c>
      <c r="D239" s="239" t="s">
        <v>223</v>
      </c>
      <c r="E239" s="243">
        <v>26813</v>
      </c>
      <c r="F239" s="239" t="s">
        <v>237</v>
      </c>
      <c r="H239" s="253">
        <v>39569</v>
      </c>
      <c r="K239" s="251">
        <v>0.1739</v>
      </c>
      <c r="L239" s="239">
        <v>1.8599999999999998E-2</v>
      </c>
      <c r="M239" s="241" t="s">
        <v>238</v>
      </c>
      <c r="N239" s="242">
        <f t="shared" si="121"/>
        <v>1493.3939999999998</v>
      </c>
      <c r="O239" s="242">
        <f t="shared" si="121"/>
        <v>1348.8719999999998</v>
      </c>
      <c r="P239" s="242">
        <f t="shared" ref="P239:Y239" si="126">P210*$L239</f>
        <v>1928.7269999999999</v>
      </c>
      <c r="Q239" s="242">
        <f t="shared" si="126"/>
        <v>1542.87</v>
      </c>
      <c r="R239" s="242">
        <f t="shared" si="126"/>
        <v>1977.7379999999998</v>
      </c>
      <c r="S239" s="242">
        <f t="shared" si="126"/>
        <v>1777.2299999999998</v>
      </c>
      <c r="T239" s="242">
        <f t="shared" si="126"/>
        <v>2006.5679999999998</v>
      </c>
      <c r="U239" s="242">
        <f t="shared" si="126"/>
        <v>1917.1949999999999</v>
      </c>
      <c r="V239" s="242">
        <f t="shared" si="126"/>
        <v>1699.11</v>
      </c>
      <c r="W239" s="242">
        <f t="shared" si="126"/>
        <v>1917.1949999999999</v>
      </c>
      <c r="X239" s="242">
        <f t="shared" si="126"/>
        <v>1952.9999999999998</v>
      </c>
      <c r="Y239" s="242">
        <f t="shared" si="126"/>
        <v>1977.7379999999998</v>
      </c>
      <c r="AF239" s="375">
        <f t="shared" si="123"/>
        <v>21539.636999999999</v>
      </c>
    </row>
    <row r="240" spans="1:32" ht="12.75" customHeight="1" x14ac:dyDescent="0.15">
      <c r="A240" s="239" t="s">
        <v>218</v>
      </c>
      <c r="B240" s="239" t="s">
        <v>249</v>
      </c>
      <c r="C240" s="239" t="s">
        <v>229</v>
      </c>
      <c r="D240" s="239" t="s">
        <v>223</v>
      </c>
      <c r="E240" s="243">
        <v>26816</v>
      </c>
      <c r="F240" s="239" t="s">
        <v>239</v>
      </c>
      <c r="H240" s="253">
        <v>38472</v>
      </c>
      <c r="K240" s="251">
        <v>0.15140000000000001</v>
      </c>
      <c r="L240" s="239">
        <v>1.8599999999999998E-2</v>
      </c>
      <c r="M240" s="241" t="s">
        <v>226</v>
      </c>
      <c r="N240" s="242">
        <f t="shared" si="121"/>
        <v>9173.7060000000001</v>
      </c>
      <c r="O240" s="242">
        <f t="shared" si="121"/>
        <v>8285.9279999999999</v>
      </c>
      <c r="P240" s="242">
        <f t="shared" ref="P240:Y240" si="127">P211*$L240</f>
        <v>12226.803</v>
      </c>
      <c r="Q240" s="242">
        <f t="shared" si="127"/>
        <v>9477.6299999999992</v>
      </c>
      <c r="R240" s="242">
        <f t="shared" si="127"/>
        <v>12148.962</v>
      </c>
      <c r="S240" s="242">
        <f t="shared" si="127"/>
        <v>10917.269999999999</v>
      </c>
      <c r="T240" s="242">
        <f t="shared" si="127"/>
        <v>12350.771999999999</v>
      </c>
      <c r="U240" s="242">
        <f t="shared" si="127"/>
        <v>11777.054999999998</v>
      </c>
      <c r="V240" s="242">
        <f t="shared" si="127"/>
        <v>10437.39</v>
      </c>
      <c r="W240" s="242">
        <f t="shared" si="127"/>
        <v>11777.054999999998</v>
      </c>
      <c r="X240" s="242">
        <f t="shared" si="127"/>
        <v>11996.999999999998</v>
      </c>
      <c r="Y240" s="242">
        <f t="shared" si="127"/>
        <v>12148.962</v>
      </c>
      <c r="AF240" s="375">
        <f t="shared" si="123"/>
        <v>132718.533</v>
      </c>
    </row>
    <row r="241" spans="1:32" ht="12.75" customHeight="1" x14ac:dyDescent="0.15">
      <c r="A241" s="239" t="s">
        <v>218</v>
      </c>
      <c r="B241" s="239" t="s">
        <v>249</v>
      </c>
      <c r="C241" s="239" t="s">
        <v>229</v>
      </c>
      <c r="D241" s="239" t="s">
        <v>223</v>
      </c>
      <c r="E241" s="243">
        <v>26960</v>
      </c>
      <c r="F241" s="239" t="s">
        <v>234</v>
      </c>
      <c r="G241" s="240">
        <v>36617</v>
      </c>
      <c r="H241" s="253">
        <v>37346</v>
      </c>
      <c r="K241" s="251">
        <v>0.1714</v>
      </c>
      <c r="L241" s="239">
        <v>1.8599999999999998E-2</v>
      </c>
      <c r="M241" s="241" t="s">
        <v>226</v>
      </c>
      <c r="N241" s="242">
        <f t="shared" si="121"/>
        <v>8533.6799999999985</v>
      </c>
      <c r="O241" s="242">
        <f t="shared" si="121"/>
        <v>7707.8399999999992</v>
      </c>
      <c r="P241" s="242">
        <f t="shared" ref="P241:Y241" si="128">P212*$L241</f>
        <v>11474.339999999998</v>
      </c>
      <c r="Q241" s="242">
        <f t="shared" si="128"/>
        <v>8816.4</v>
      </c>
      <c r="R241" s="242">
        <f t="shared" si="128"/>
        <v>11301.359999999999</v>
      </c>
      <c r="S241" s="242">
        <f t="shared" si="128"/>
        <v>10155.599999999999</v>
      </c>
      <c r="T241" s="242">
        <f t="shared" si="128"/>
        <v>11531.999999999998</v>
      </c>
      <c r="U241" s="242">
        <f t="shared" si="128"/>
        <v>10955.4</v>
      </c>
      <c r="V241" s="242">
        <f t="shared" si="128"/>
        <v>9709.1999999999989</v>
      </c>
      <c r="W241" s="242">
        <f t="shared" si="128"/>
        <v>10955.4</v>
      </c>
      <c r="X241" s="242">
        <f t="shared" si="128"/>
        <v>11159.999999999998</v>
      </c>
      <c r="Y241" s="242">
        <f t="shared" si="128"/>
        <v>11301.359999999999</v>
      </c>
      <c r="AF241" s="375">
        <f t="shared" si="123"/>
        <v>123602.57999999997</v>
      </c>
    </row>
    <row r="242" spans="1:32" ht="12.75" customHeight="1" x14ac:dyDescent="0.15">
      <c r="E242" s="243">
        <v>26719</v>
      </c>
      <c r="F242" s="239" t="s">
        <v>368</v>
      </c>
      <c r="G242" s="240"/>
      <c r="H242" s="253">
        <v>38472</v>
      </c>
      <c r="K242" s="251">
        <v>0.18640000000000001</v>
      </c>
      <c r="L242" s="239">
        <v>1.8599999999999998E-2</v>
      </c>
      <c r="M242" s="241" t="s">
        <v>226</v>
      </c>
      <c r="N242" s="242">
        <f>N213*$L242</f>
        <v>13550.099999999999</v>
      </c>
      <c r="O242" s="242">
        <f t="shared" ref="O242:Y242" si="129">O213*$L242</f>
        <v>12238.8</v>
      </c>
      <c r="P242" s="242">
        <f t="shared" si="129"/>
        <v>14270.849999999999</v>
      </c>
      <c r="Q242" s="242">
        <f t="shared" si="129"/>
        <v>13810.499999999998</v>
      </c>
      <c r="R242" s="242">
        <f t="shared" si="129"/>
        <v>14126.699999999999</v>
      </c>
      <c r="S242" s="242">
        <f t="shared" si="129"/>
        <v>12694.499999999998</v>
      </c>
      <c r="T242" s="242">
        <f t="shared" si="129"/>
        <v>14414.999999999998</v>
      </c>
      <c r="U242" s="242">
        <f t="shared" si="129"/>
        <v>13694.249999999998</v>
      </c>
      <c r="V242" s="242">
        <f t="shared" si="129"/>
        <v>12136.499999999998</v>
      </c>
      <c r="W242" s="242">
        <f t="shared" si="129"/>
        <v>13694.249999999998</v>
      </c>
      <c r="X242" s="242">
        <f t="shared" si="129"/>
        <v>13949.999999999998</v>
      </c>
      <c r="Y242" s="242">
        <f t="shared" si="129"/>
        <v>14126.699999999999</v>
      </c>
      <c r="AF242" s="375">
        <f t="shared" si="123"/>
        <v>162708.15</v>
      </c>
    </row>
    <row r="243" spans="1:32" ht="12.75" customHeight="1" x14ac:dyDescent="0.15">
      <c r="A243" s="239" t="s">
        <v>218</v>
      </c>
      <c r="B243" s="239" t="s">
        <v>249</v>
      </c>
      <c r="C243" s="239" t="s">
        <v>229</v>
      </c>
      <c r="D243" s="239" t="s">
        <v>223</v>
      </c>
      <c r="E243" s="243">
        <v>26884</v>
      </c>
      <c r="F243" s="239" t="s">
        <v>241</v>
      </c>
      <c r="H243" s="253">
        <v>38656</v>
      </c>
      <c r="K243" s="251">
        <v>0.18390000000000001</v>
      </c>
      <c r="L243" s="239">
        <v>1.8599999999999998E-2</v>
      </c>
      <c r="M243" s="241" t="s">
        <v>226</v>
      </c>
      <c r="N243" s="246">
        <f>N214*$L243</f>
        <v>21680.16</v>
      </c>
      <c r="O243" s="246">
        <f t="shared" ref="O243:Y244" si="130">O214*$L243</f>
        <v>19582.079999999998</v>
      </c>
      <c r="P243" s="246">
        <f t="shared" si="130"/>
        <v>22948.679999999997</v>
      </c>
      <c r="Q243" s="246">
        <f t="shared" si="130"/>
        <v>22096.799999999999</v>
      </c>
      <c r="R243" s="246">
        <f t="shared" si="130"/>
        <v>22602.719999999998</v>
      </c>
      <c r="S243" s="246">
        <f t="shared" si="130"/>
        <v>20311.199999999997</v>
      </c>
      <c r="T243" s="246">
        <f t="shared" si="130"/>
        <v>23063.999999999996</v>
      </c>
      <c r="U243" s="246">
        <f t="shared" si="130"/>
        <v>21910.799999999999</v>
      </c>
      <c r="V243" s="246">
        <f t="shared" si="130"/>
        <v>19418.399999999998</v>
      </c>
      <c r="W243" s="246">
        <f t="shared" si="130"/>
        <v>21910.799999999999</v>
      </c>
      <c r="X243" s="246">
        <f t="shared" si="130"/>
        <v>22319.999999999996</v>
      </c>
      <c r="Y243" s="246">
        <f t="shared" si="130"/>
        <v>22602.719999999998</v>
      </c>
      <c r="AF243" s="375">
        <f t="shared" si="123"/>
        <v>260448.35999999996</v>
      </c>
    </row>
    <row r="244" spans="1:32" s="545" customFormat="1" ht="12.75" customHeight="1" x14ac:dyDescent="0.15">
      <c r="A244" s="545" t="s">
        <v>218</v>
      </c>
      <c r="B244" s="545" t="s">
        <v>249</v>
      </c>
      <c r="C244" s="545" t="s">
        <v>229</v>
      </c>
      <c r="D244" s="545" t="s">
        <v>223</v>
      </c>
      <c r="E244" s="596" t="s">
        <v>485</v>
      </c>
      <c r="F244" s="545" t="s">
        <v>483</v>
      </c>
      <c r="G244" s="597">
        <v>37196</v>
      </c>
      <c r="H244" s="598">
        <v>37256</v>
      </c>
      <c r="I244" s="602">
        <v>15000</v>
      </c>
      <c r="K244" s="600">
        <v>0.18149999999999999</v>
      </c>
      <c r="L244" s="545">
        <v>1.8499999999999999E-2</v>
      </c>
      <c r="M244" s="601" t="s">
        <v>226</v>
      </c>
      <c r="N244" s="599"/>
      <c r="O244" s="599"/>
      <c r="P244" s="599"/>
      <c r="Q244" s="599"/>
      <c r="R244" s="599"/>
      <c r="S244" s="599"/>
      <c r="T244" s="599"/>
      <c r="U244" s="599"/>
      <c r="V244" s="599"/>
      <c r="W244" s="599"/>
      <c r="X244" s="599">
        <f t="shared" si="130"/>
        <v>8325</v>
      </c>
      <c r="Y244" s="599">
        <f t="shared" si="130"/>
        <v>8602.5</v>
      </c>
      <c r="AF244" s="603"/>
    </row>
    <row r="245" spans="1:32" ht="12.75" customHeight="1" x14ac:dyDescent="0.15">
      <c r="A245" s="523" t="s">
        <v>218</v>
      </c>
      <c r="B245" s="523" t="s">
        <v>249</v>
      </c>
      <c r="C245" s="523" t="s">
        <v>229</v>
      </c>
      <c r="D245" s="523" t="s">
        <v>223</v>
      </c>
      <c r="E245" s="522">
        <v>27457</v>
      </c>
      <c r="F245" s="523" t="s">
        <v>438</v>
      </c>
      <c r="G245" s="533"/>
      <c r="H245" s="525">
        <v>37256</v>
      </c>
      <c r="K245" s="532">
        <v>0.99150000000000005</v>
      </c>
      <c r="L245" s="523">
        <v>1.8599999999999998E-2</v>
      </c>
      <c r="N245" s="245"/>
      <c r="O245" s="245"/>
      <c r="P245" s="245"/>
      <c r="Q245" s="245"/>
      <c r="R245" s="245"/>
      <c r="S245" s="245"/>
      <c r="T245" s="245"/>
      <c r="U245" s="245"/>
      <c r="V245" s="245"/>
      <c r="W245" s="245"/>
      <c r="X245" s="245"/>
      <c r="Y245" s="539">
        <f>Y216*$L245</f>
        <v>7628.4179999999997</v>
      </c>
      <c r="AF245" s="375"/>
    </row>
    <row r="246" spans="1:32" ht="12.75" customHeight="1" x14ac:dyDescent="0.15">
      <c r="I246" s="242">
        <f>SUM(I234:I243)</f>
        <v>0</v>
      </c>
      <c r="N246" s="242">
        <f>SUM(N234:N245)</f>
        <v>91024.382400000002</v>
      </c>
      <c r="O246" s="242">
        <f>SUM(O234:O245)</f>
        <v>82215.571199999991</v>
      </c>
      <c r="P246" s="242">
        <f t="shared" ref="P246:Y246" si="131">SUM(P234:P245)</f>
        <v>104786.67119999998</v>
      </c>
      <c r="Q246" s="242">
        <f t="shared" si="131"/>
        <v>15462.551999999998</v>
      </c>
      <c r="R246" s="242">
        <f t="shared" si="131"/>
        <v>46179.484799999991</v>
      </c>
      <c r="S246" s="242">
        <f t="shared" si="131"/>
        <v>93228.407999999981</v>
      </c>
      <c r="T246" s="242">
        <f t="shared" si="131"/>
        <v>105729.98879999999</v>
      </c>
      <c r="U246" s="242">
        <f t="shared" si="131"/>
        <v>100570.572</v>
      </c>
      <c r="V246" s="242">
        <f t="shared" si="131"/>
        <v>89130.455999999976</v>
      </c>
      <c r="W246" s="242">
        <f t="shared" si="131"/>
        <v>100570.572</v>
      </c>
      <c r="X246" s="242">
        <f t="shared" si="131"/>
        <v>110773.8</v>
      </c>
      <c r="Y246" s="242">
        <f t="shared" si="131"/>
        <v>119977.4028</v>
      </c>
      <c r="Z246" s="375">
        <f>SUM(N246:Y246)</f>
        <v>1059649.8612000002</v>
      </c>
      <c r="AE246" s="375">
        <f>Z246</f>
        <v>1059649.8612000002</v>
      </c>
    </row>
    <row r="247" spans="1:32" ht="12.75" customHeight="1" x14ac:dyDescent="0.15">
      <c r="I247" s="242" t="s">
        <v>256</v>
      </c>
    </row>
    <row r="248" spans="1:32" s="247" customFormat="1" ht="12.75" customHeight="1" x14ac:dyDescent="0.15">
      <c r="E248" s="248"/>
      <c r="H248" s="248"/>
      <c r="I248" s="249"/>
      <c r="K248" s="252"/>
      <c r="M248" s="250"/>
      <c r="N248" s="249"/>
      <c r="O248" s="249"/>
      <c r="P248" s="249"/>
      <c r="Q248" s="249"/>
      <c r="R248" s="249"/>
      <c r="S248" s="249"/>
      <c r="T248" s="249"/>
      <c r="U248" s="249"/>
      <c r="V248" s="249"/>
      <c r="W248" s="249"/>
      <c r="X248" s="249"/>
      <c r="Y248" s="249"/>
    </row>
    <row r="251" spans="1:32" ht="12.75" customHeight="1" x14ac:dyDescent="0.15">
      <c r="A251" s="239" t="s">
        <v>218</v>
      </c>
      <c r="B251" s="239" t="s">
        <v>257</v>
      </c>
      <c r="C251" s="239" t="s">
        <v>228</v>
      </c>
      <c r="D251" s="239" t="s">
        <v>220</v>
      </c>
      <c r="E251" s="243">
        <v>25071</v>
      </c>
      <c r="F251" s="239" t="s">
        <v>251</v>
      </c>
      <c r="H251" s="253">
        <v>39782</v>
      </c>
      <c r="I251" s="242">
        <v>60000</v>
      </c>
      <c r="J251" s="239">
        <v>0.85</v>
      </c>
      <c r="M251" s="241" t="s">
        <v>254</v>
      </c>
      <c r="N251" s="242">
        <f>$I251*N$1</f>
        <v>1860000</v>
      </c>
      <c r="O251" s="242">
        <f t="shared" ref="O251:Y251" si="132">$I251*O$1</f>
        <v>1680000</v>
      </c>
      <c r="P251" s="242">
        <f t="shared" si="132"/>
        <v>1860000</v>
      </c>
      <c r="Q251" s="242">
        <f t="shared" si="132"/>
        <v>1800000</v>
      </c>
      <c r="R251" s="242">
        <f t="shared" si="132"/>
        <v>1860000</v>
      </c>
      <c r="S251" s="242">
        <f t="shared" si="132"/>
        <v>1800000</v>
      </c>
      <c r="T251" s="242">
        <f t="shared" si="132"/>
        <v>1860000</v>
      </c>
      <c r="U251" s="242">
        <f t="shared" si="132"/>
        <v>1860000</v>
      </c>
      <c r="V251" s="242">
        <f t="shared" si="132"/>
        <v>1800000</v>
      </c>
      <c r="W251" s="242">
        <f t="shared" si="132"/>
        <v>1860000</v>
      </c>
      <c r="X251" s="242">
        <f t="shared" si="132"/>
        <v>1800000</v>
      </c>
      <c r="Y251" s="242">
        <f t="shared" si="132"/>
        <v>1860000</v>
      </c>
    </row>
    <row r="254" spans="1:32" ht="12.75" customHeight="1" x14ac:dyDescent="0.15">
      <c r="N254" s="245"/>
      <c r="O254" s="245"/>
      <c r="P254" s="245"/>
      <c r="Q254" s="245"/>
      <c r="R254" s="245"/>
      <c r="S254" s="245"/>
      <c r="T254" s="245"/>
      <c r="U254" s="245"/>
      <c r="V254" s="245"/>
      <c r="W254" s="245"/>
      <c r="X254" s="245"/>
      <c r="Y254" s="245"/>
    </row>
    <row r="255" spans="1:32" ht="12.75" customHeight="1" x14ac:dyDescent="0.15">
      <c r="N255" s="242">
        <f>SUM(N251:N254)</f>
        <v>1860000</v>
      </c>
      <c r="O255" s="242">
        <f t="shared" ref="O255:Y255" si="133">SUM(O251:O254)</f>
        <v>1680000</v>
      </c>
      <c r="P255" s="242">
        <f t="shared" si="133"/>
        <v>1860000</v>
      </c>
      <c r="Q255" s="242">
        <f t="shared" si="133"/>
        <v>1800000</v>
      </c>
      <c r="R255" s="242">
        <f t="shared" si="133"/>
        <v>1860000</v>
      </c>
      <c r="S255" s="242">
        <f t="shared" si="133"/>
        <v>1800000</v>
      </c>
      <c r="T255" s="242">
        <f t="shared" si="133"/>
        <v>1860000</v>
      </c>
      <c r="U255" s="242">
        <f t="shared" si="133"/>
        <v>1860000</v>
      </c>
      <c r="V255" s="242">
        <f t="shared" si="133"/>
        <v>1800000</v>
      </c>
      <c r="W255" s="242">
        <f t="shared" si="133"/>
        <v>1860000</v>
      </c>
      <c r="X255" s="242">
        <f t="shared" si="133"/>
        <v>1800000</v>
      </c>
      <c r="Y255" s="242">
        <f t="shared" si="133"/>
        <v>1860000</v>
      </c>
    </row>
    <row r="257" spans="1:32" ht="12.75" customHeight="1" x14ac:dyDescent="0.15">
      <c r="A257" s="424" t="s">
        <v>356</v>
      </c>
      <c r="B257" s="425"/>
      <c r="C257" s="425"/>
      <c r="D257" s="425"/>
      <c r="E257" s="426"/>
      <c r="F257" s="425"/>
      <c r="G257" s="425"/>
      <c r="H257" s="426"/>
      <c r="I257" s="427"/>
      <c r="J257" s="425"/>
      <c r="K257" s="428"/>
      <c r="L257" s="425"/>
      <c r="M257" s="429"/>
      <c r="N257" s="427"/>
      <c r="O257" s="427"/>
      <c r="P257" s="427"/>
      <c r="Q257" s="427"/>
      <c r="R257" s="427"/>
      <c r="S257" s="427"/>
      <c r="T257" s="427"/>
      <c r="U257" s="427"/>
      <c r="V257" s="427"/>
      <c r="W257" s="427"/>
      <c r="X257" s="427"/>
      <c r="Y257" s="433"/>
    </row>
    <row r="258" spans="1:32" ht="12.75" customHeight="1" x14ac:dyDescent="0.15">
      <c r="A258" s="239" t="s">
        <v>218</v>
      </c>
      <c r="B258" s="239" t="s">
        <v>257</v>
      </c>
      <c r="C258" s="239" t="s">
        <v>228</v>
      </c>
      <c r="D258" s="239" t="s">
        <v>223</v>
      </c>
      <c r="E258" s="243">
        <v>25071</v>
      </c>
      <c r="F258" s="239" t="s">
        <v>251</v>
      </c>
      <c r="H258" s="253">
        <v>39782</v>
      </c>
      <c r="I258" s="242">
        <v>60000</v>
      </c>
      <c r="J258" s="239">
        <v>0.85</v>
      </c>
      <c r="M258" s="241" t="s">
        <v>254</v>
      </c>
      <c r="N258" s="242">
        <f>N251*$J258</f>
        <v>1581000</v>
      </c>
      <c r="O258" s="242">
        <f>O251*$J258</f>
        <v>1428000</v>
      </c>
      <c r="P258" s="242">
        <f t="shared" ref="P258:Y258" si="134">P251*$J258</f>
        <v>1581000</v>
      </c>
      <c r="Q258" s="242">
        <f t="shared" si="134"/>
        <v>1530000</v>
      </c>
      <c r="R258" s="242">
        <f t="shared" si="134"/>
        <v>1581000</v>
      </c>
      <c r="S258" s="242">
        <f t="shared" si="134"/>
        <v>1530000</v>
      </c>
      <c r="T258" s="242">
        <f t="shared" si="134"/>
        <v>1581000</v>
      </c>
      <c r="U258" s="242">
        <f t="shared" si="134"/>
        <v>1581000</v>
      </c>
      <c r="V258" s="242">
        <f t="shared" si="134"/>
        <v>1530000</v>
      </c>
      <c r="W258" s="242">
        <f t="shared" si="134"/>
        <v>1581000</v>
      </c>
      <c r="X258" s="242">
        <f t="shared" si="134"/>
        <v>1530000</v>
      </c>
      <c r="Y258" s="242">
        <f t="shared" si="134"/>
        <v>1581000</v>
      </c>
    </row>
    <row r="261" spans="1:32" ht="12.75" customHeight="1" x14ac:dyDescent="0.15">
      <c r="N261" s="245"/>
      <c r="O261" s="245"/>
      <c r="P261" s="245"/>
      <c r="Q261" s="245"/>
      <c r="R261" s="245"/>
      <c r="S261" s="245"/>
      <c r="T261" s="245"/>
      <c r="U261" s="245"/>
      <c r="V261" s="245"/>
      <c r="W261" s="245"/>
      <c r="X261" s="245"/>
      <c r="Y261" s="245"/>
    </row>
    <row r="262" spans="1:32" ht="12.75" customHeight="1" x14ac:dyDescent="0.15">
      <c r="N262" s="242">
        <f>SUM(N258:N261)</f>
        <v>1581000</v>
      </c>
      <c r="O262" s="242">
        <f t="shared" ref="O262:Y262" si="135">SUM(O258:O261)</f>
        <v>1428000</v>
      </c>
      <c r="P262" s="242">
        <f t="shared" si="135"/>
        <v>1581000</v>
      </c>
      <c r="Q262" s="242">
        <f t="shared" si="135"/>
        <v>1530000</v>
      </c>
      <c r="R262" s="242">
        <f t="shared" si="135"/>
        <v>1581000</v>
      </c>
      <c r="S262" s="242">
        <f t="shared" si="135"/>
        <v>1530000</v>
      </c>
      <c r="T262" s="242">
        <f t="shared" si="135"/>
        <v>1581000</v>
      </c>
      <c r="U262" s="242">
        <f t="shared" si="135"/>
        <v>1581000</v>
      </c>
      <c r="V262" s="242">
        <f t="shared" si="135"/>
        <v>1530000</v>
      </c>
      <c r="W262" s="242">
        <f t="shared" si="135"/>
        <v>1581000</v>
      </c>
      <c r="X262" s="242">
        <f t="shared" si="135"/>
        <v>1530000</v>
      </c>
      <c r="Y262" s="242">
        <f t="shared" si="135"/>
        <v>1581000</v>
      </c>
    </row>
    <row r="265" spans="1:32" ht="12.75" customHeight="1" x14ac:dyDescent="0.15">
      <c r="A265" s="239" t="s">
        <v>218</v>
      </c>
      <c r="B265" s="239" t="s">
        <v>257</v>
      </c>
      <c r="C265" s="239" t="s">
        <v>229</v>
      </c>
      <c r="D265" s="239" t="s">
        <v>220</v>
      </c>
      <c r="E265" s="243">
        <v>25071</v>
      </c>
      <c r="F265" s="239" t="s">
        <v>251</v>
      </c>
      <c r="H265" s="253">
        <v>39782</v>
      </c>
      <c r="J265" s="239">
        <v>0.85</v>
      </c>
      <c r="K265" s="251">
        <v>0.15640000000000001</v>
      </c>
      <c r="L265" s="239">
        <v>1.8599999999999998E-2</v>
      </c>
      <c r="M265" s="241" t="s">
        <v>254</v>
      </c>
      <c r="N265" s="242">
        <f>N251*($K265+$L265)-N271</f>
        <v>296093.40000000008</v>
      </c>
      <c r="O265" s="242">
        <f>O251*($K265+$L265)-O271</f>
        <v>267439.2</v>
      </c>
      <c r="P265" s="242">
        <f t="shared" ref="P265:X265" si="136">P251*($K265+$L265)-P271</f>
        <v>296093.40000000008</v>
      </c>
      <c r="Q265" s="242">
        <f t="shared" si="136"/>
        <v>286542.00000000006</v>
      </c>
      <c r="R265" s="242">
        <f t="shared" si="136"/>
        <v>296093.40000000008</v>
      </c>
      <c r="S265" s="242">
        <f t="shared" si="136"/>
        <v>286542.00000000006</v>
      </c>
      <c r="T265" s="242">
        <f t="shared" si="136"/>
        <v>296093.40000000008</v>
      </c>
      <c r="U265" s="242">
        <f t="shared" si="136"/>
        <v>296093.40000000008</v>
      </c>
      <c r="V265" s="242">
        <f t="shared" si="136"/>
        <v>286542.00000000006</v>
      </c>
      <c r="W265" s="242">
        <f t="shared" si="136"/>
        <v>296093.40000000008</v>
      </c>
      <c r="X265" s="242">
        <f t="shared" si="136"/>
        <v>286542.00000000006</v>
      </c>
      <c r="Y265" s="242">
        <f>Y251*(0.1614+$L265)-Y271</f>
        <v>305393.40000000002</v>
      </c>
    </row>
    <row r="268" spans="1:32" ht="12.75" customHeight="1" x14ac:dyDescent="0.15">
      <c r="N268" s="245"/>
      <c r="O268" s="245"/>
      <c r="P268" s="245"/>
      <c r="Q268" s="245"/>
      <c r="R268" s="245"/>
      <c r="S268" s="245"/>
      <c r="T268" s="245"/>
      <c r="U268" s="245"/>
      <c r="V268" s="245"/>
      <c r="W268" s="245"/>
      <c r="X268" s="245"/>
      <c r="Y268" s="245"/>
    </row>
    <row r="269" spans="1:32" ht="12.75" customHeight="1" x14ac:dyDescent="0.15">
      <c r="N269" s="242">
        <f>SUM(N265:N268)</f>
        <v>296093.40000000008</v>
      </c>
      <c r="O269" s="242">
        <f t="shared" ref="O269:Y269" si="137">SUM(O265:O268)</f>
        <v>267439.2</v>
      </c>
      <c r="P269" s="242">
        <f t="shared" si="137"/>
        <v>296093.40000000008</v>
      </c>
      <c r="Q269" s="242">
        <f t="shared" si="137"/>
        <v>286542.00000000006</v>
      </c>
      <c r="R269" s="242">
        <f t="shared" si="137"/>
        <v>296093.40000000008</v>
      </c>
      <c r="S269" s="242">
        <f t="shared" si="137"/>
        <v>286542.00000000006</v>
      </c>
      <c r="T269" s="242">
        <f t="shared" si="137"/>
        <v>296093.40000000008</v>
      </c>
      <c r="U269" s="242">
        <f t="shared" si="137"/>
        <v>296093.40000000008</v>
      </c>
      <c r="V269" s="242">
        <f t="shared" si="137"/>
        <v>286542.00000000006</v>
      </c>
      <c r="W269" s="242">
        <f t="shared" si="137"/>
        <v>296093.40000000008</v>
      </c>
      <c r="X269" s="242">
        <f t="shared" si="137"/>
        <v>286542.00000000006</v>
      </c>
      <c r="Y269" s="242">
        <f t="shared" si="137"/>
        <v>305393.40000000002</v>
      </c>
      <c r="Z269" s="375">
        <f>SUM(N269:Y269)</f>
        <v>3495561.0000000005</v>
      </c>
    </row>
    <row r="271" spans="1:32" ht="12.75" customHeight="1" x14ac:dyDescent="0.15">
      <c r="A271" s="239" t="s">
        <v>218</v>
      </c>
      <c r="B271" s="239" t="s">
        <v>257</v>
      </c>
      <c r="C271" s="239" t="s">
        <v>229</v>
      </c>
      <c r="D271" s="239" t="s">
        <v>223</v>
      </c>
      <c r="E271" s="243">
        <v>25071</v>
      </c>
      <c r="F271" s="239" t="s">
        <v>251</v>
      </c>
      <c r="H271" s="253">
        <v>39782</v>
      </c>
      <c r="J271" s="239">
        <v>0.85</v>
      </c>
      <c r="K271" s="251">
        <v>0.15640000000000001</v>
      </c>
      <c r="L271" s="239">
        <v>1.8599999999999998E-2</v>
      </c>
      <c r="M271" s="241" t="s">
        <v>254</v>
      </c>
      <c r="N271" s="242">
        <f>N258*$L271</f>
        <v>29406.6</v>
      </c>
      <c r="O271" s="242">
        <f>O258*$L271</f>
        <v>26560.799999999999</v>
      </c>
      <c r="P271" s="242">
        <f t="shared" ref="P271:Y271" si="138">P258*$L271</f>
        <v>29406.6</v>
      </c>
      <c r="Q271" s="242">
        <f t="shared" si="138"/>
        <v>28457.999999999996</v>
      </c>
      <c r="R271" s="242">
        <f t="shared" si="138"/>
        <v>29406.6</v>
      </c>
      <c r="S271" s="242">
        <f t="shared" si="138"/>
        <v>28457.999999999996</v>
      </c>
      <c r="T271" s="242">
        <f t="shared" si="138"/>
        <v>29406.6</v>
      </c>
      <c r="U271" s="242">
        <f t="shared" si="138"/>
        <v>29406.6</v>
      </c>
      <c r="V271" s="242">
        <f t="shared" si="138"/>
        <v>28457.999999999996</v>
      </c>
      <c r="W271" s="242">
        <f t="shared" si="138"/>
        <v>29406.6</v>
      </c>
      <c r="X271" s="242">
        <f t="shared" si="138"/>
        <v>28457.999999999996</v>
      </c>
      <c r="Y271" s="242">
        <f t="shared" si="138"/>
        <v>29406.6</v>
      </c>
      <c r="AF271" s="375">
        <f>SUM(N271:Y271)</f>
        <v>346239</v>
      </c>
    </row>
    <row r="272" spans="1:32" ht="12.75" customHeight="1" x14ac:dyDescent="0.15">
      <c r="AF272" s="375">
        <f>SUM(N272:Y272)</f>
        <v>0</v>
      </c>
    </row>
    <row r="273" spans="1:32" ht="12.75" customHeight="1" x14ac:dyDescent="0.15">
      <c r="AF273" s="375">
        <f>SUM(N273:Y273)</f>
        <v>0</v>
      </c>
    </row>
    <row r="274" spans="1:32" s="254" customFormat="1" ht="12.75" customHeight="1" x14ac:dyDescent="0.15">
      <c r="E274" s="255"/>
      <c r="H274" s="255"/>
      <c r="I274" s="256"/>
      <c r="K274" s="257"/>
      <c r="M274" s="258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</row>
    <row r="275" spans="1:32" ht="12.75" customHeight="1" x14ac:dyDescent="0.15">
      <c r="N275" s="242">
        <f>SUM(N271:N274)</f>
        <v>29406.6</v>
      </c>
      <c r="O275" s="242">
        <f t="shared" ref="O275:Y275" si="139">SUM(O271:O274)</f>
        <v>26560.799999999999</v>
      </c>
      <c r="P275" s="242">
        <f t="shared" si="139"/>
        <v>29406.6</v>
      </c>
      <c r="Q275" s="242">
        <f t="shared" si="139"/>
        <v>28457.999999999996</v>
      </c>
      <c r="R275" s="242">
        <f t="shared" si="139"/>
        <v>29406.6</v>
      </c>
      <c r="S275" s="242">
        <f t="shared" si="139"/>
        <v>28457.999999999996</v>
      </c>
      <c r="T275" s="242">
        <f t="shared" si="139"/>
        <v>29406.6</v>
      </c>
      <c r="U275" s="242">
        <f t="shared" si="139"/>
        <v>29406.6</v>
      </c>
      <c r="V275" s="242">
        <f t="shared" si="139"/>
        <v>28457.999999999996</v>
      </c>
      <c r="W275" s="242">
        <f t="shared" si="139"/>
        <v>29406.6</v>
      </c>
      <c r="X275" s="242">
        <f t="shared" si="139"/>
        <v>28457.999999999996</v>
      </c>
      <c r="Y275" s="242">
        <f t="shared" si="139"/>
        <v>29406.6</v>
      </c>
      <c r="Z275" s="375">
        <f>SUM(N275:Y275)</f>
        <v>346239</v>
      </c>
      <c r="AE275" s="375">
        <f>Z275</f>
        <v>346239</v>
      </c>
    </row>
    <row r="276" spans="1:32" s="247" customFormat="1" ht="12.75" customHeight="1" x14ac:dyDescent="0.15">
      <c r="E276" s="248"/>
      <c r="H276" s="248"/>
      <c r="I276" s="249"/>
      <c r="K276" s="252"/>
      <c r="M276" s="250"/>
      <c r="N276" s="249"/>
      <c r="O276" s="249"/>
      <c r="P276" s="249"/>
      <c r="Q276" s="249"/>
      <c r="R276" s="249"/>
      <c r="S276" s="249"/>
      <c r="T276" s="249"/>
      <c r="U276" s="249"/>
      <c r="V276" s="249"/>
      <c r="W276" s="249"/>
      <c r="X276" s="249"/>
      <c r="Y276" s="249"/>
    </row>
    <row r="277" spans="1:32" s="254" customFormat="1" ht="12.75" customHeight="1" x14ac:dyDescent="0.15">
      <c r="E277" s="255"/>
      <c r="H277" s="255"/>
      <c r="I277" s="256"/>
      <c r="K277" s="257"/>
      <c r="M277" s="258"/>
      <c r="N277" s="256"/>
      <c r="O277" s="256"/>
      <c r="P277" s="256"/>
      <c r="Q277" s="256"/>
      <c r="R277" s="256"/>
      <c r="S277" s="256"/>
      <c r="T277" s="256"/>
      <c r="U277" s="256"/>
      <c r="V277" s="256"/>
      <c r="W277" s="256"/>
      <c r="X277" s="256"/>
      <c r="Y277" s="256"/>
    </row>
    <row r="278" spans="1:32" ht="12.75" customHeight="1" x14ac:dyDescent="0.15">
      <c r="A278" s="239" t="s">
        <v>258</v>
      </c>
      <c r="B278" s="239" t="s">
        <v>147</v>
      </c>
      <c r="C278" s="239" t="s">
        <v>228</v>
      </c>
      <c r="D278" s="239" t="s">
        <v>220</v>
      </c>
      <c r="E278" s="243">
        <v>20715</v>
      </c>
      <c r="F278" s="239" t="s">
        <v>231</v>
      </c>
      <c r="H278" s="253">
        <v>38656</v>
      </c>
      <c r="I278" s="242">
        <v>200000</v>
      </c>
      <c r="M278" s="241" t="s">
        <v>248</v>
      </c>
      <c r="N278" s="242">
        <f>$I278*N$1</f>
        <v>6200000</v>
      </c>
      <c r="O278" s="242">
        <f t="shared" ref="O278:Y278" si="140">$I278*O$1</f>
        <v>5600000</v>
      </c>
      <c r="P278" s="242">
        <f t="shared" si="140"/>
        <v>6200000</v>
      </c>
      <c r="Q278" s="242">
        <f t="shared" si="140"/>
        <v>6000000</v>
      </c>
      <c r="R278" s="242">
        <f t="shared" si="140"/>
        <v>6200000</v>
      </c>
      <c r="S278" s="242">
        <f t="shared" si="140"/>
        <v>6000000</v>
      </c>
      <c r="T278" s="242">
        <f t="shared" si="140"/>
        <v>6200000</v>
      </c>
      <c r="U278" s="242">
        <f t="shared" si="140"/>
        <v>6200000</v>
      </c>
      <c r="V278" s="242">
        <f t="shared" si="140"/>
        <v>6000000</v>
      </c>
      <c r="W278" s="242">
        <f t="shared" si="140"/>
        <v>6200000</v>
      </c>
      <c r="X278" s="242">
        <f t="shared" si="140"/>
        <v>6000000</v>
      </c>
      <c r="Y278" s="242">
        <f t="shared" si="140"/>
        <v>6200000</v>
      </c>
    </row>
    <row r="279" spans="1:32" ht="12.75" customHeight="1" x14ac:dyDescent="0.15">
      <c r="A279" s="239" t="s">
        <v>258</v>
      </c>
      <c r="B279" s="239" t="s">
        <v>147</v>
      </c>
      <c r="C279" s="239" t="s">
        <v>228</v>
      </c>
      <c r="D279" s="239" t="s">
        <v>220</v>
      </c>
      <c r="E279" s="243">
        <v>20834</v>
      </c>
      <c r="F279" s="239" t="s">
        <v>245</v>
      </c>
      <c r="H279" s="253">
        <v>39141</v>
      </c>
      <c r="I279" s="242">
        <v>25000</v>
      </c>
      <c r="M279" s="241" t="s">
        <v>248</v>
      </c>
      <c r="N279" s="242">
        <f t="shared" ref="N279:Y284" si="141">$I279*N$1</f>
        <v>775000</v>
      </c>
      <c r="O279" s="242">
        <f t="shared" si="141"/>
        <v>700000</v>
      </c>
      <c r="P279" s="242">
        <f t="shared" si="141"/>
        <v>775000</v>
      </c>
      <c r="Q279" s="242">
        <f t="shared" si="141"/>
        <v>750000</v>
      </c>
      <c r="R279" s="242">
        <f t="shared" si="141"/>
        <v>775000</v>
      </c>
      <c r="S279" s="242">
        <f t="shared" si="141"/>
        <v>750000</v>
      </c>
      <c r="T279" s="242">
        <f t="shared" si="141"/>
        <v>775000</v>
      </c>
      <c r="U279" s="242">
        <f t="shared" si="141"/>
        <v>775000</v>
      </c>
      <c r="V279" s="242">
        <f t="shared" si="141"/>
        <v>750000</v>
      </c>
      <c r="W279" s="242">
        <f t="shared" si="141"/>
        <v>775000</v>
      </c>
      <c r="X279" s="242">
        <f t="shared" si="141"/>
        <v>750000</v>
      </c>
      <c r="Y279" s="242">
        <f t="shared" si="141"/>
        <v>775000</v>
      </c>
    </row>
    <row r="280" spans="1:32" ht="12.75" customHeight="1" x14ac:dyDescent="0.15">
      <c r="A280" s="239" t="s">
        <v>258</v>
      </c>
      <c r="B280" s="239" t="s">
        <v>147</v>
      </c>
      <c r="C280" s="239" t="s">
        <v>228</v>
      </c>
      <c r="D280" s="239" t="s">
        <v>220</v>
      </c>
      <c r="E280" s="243">
        <v>20835</v>
      </c>
      <c r="F280" s="239" t="s">
        <v>244</v>
      </c>
      <c r="H280" s="253">
        <v>37315</v>
      </c>
      <c r="I280" s="242">
        <v>20000</v>
      </c>
      <c r="M280" s="241" t="s">
        <v>248</v>
      </c>
      <c r="N280" s="242">
        <f t="shared" si="141"/>
        <v>620000</v>
      </c>
      <c r="O280" s="242">
        <f t="shared" si="141"/>
        <v>560000</v>
      </c>
      <c r="P280" s="242">
        <f t="shared" si="141"/>
        <v>620000</v>
      </c>
      <c r="Q280" s="242">
        <f t="shared" si="141"/>
        <v>600000</v>
      </c>
      <c r="R280" s="242">
        <f t="shared" si="141"/>
        <v>620000</v>
      </c>
      <c r="S280" s="242">
        <f t="shared" si="141"/>
        <v>600000</v>
      </c>
      <c r="T280" s="242">
        <f t="shared" si="141"/>
        <v>620000</v>
      </c>
      <c r="U280" s="242">
        <f t="shared" si="141"/>
        <v>620000</v>
      </c>
      <c r="V280" s="242">
        <f t="shared" si="141"/>
        <v>600000</v>
      </c>
      <c r="W280" s="242">
        <f t="shared" si="141"/>
        <v>620000</v>
      </c>
      <c r="X280" s="242">
        <f t="shared" si="141"/>
        <v>600000</v>
      </c>
      <c r="Y280" s="242">
        <f t="shared" si="141"/>
        <v>620000</v>
      </c>
    </row>
    <row r="281" spans="1:32" ht="12.75" customHeight="1" x14ac:dyDescent="0.15">
      <c r="A281" s="239" t="s">
        <v>258</v>
      </c>
      <c r="B281" s="239" t="s">
        <v>147</v>
      </c>
      <c r="C281" s="239" t="s">
        <v>228</v>
      </c>
      <c r="D281" s="239" t="s">
        <v>220</v>
      </c>
      <c r="E281" s="243">
        <v>26677</v>
      </c>
      <c r="F281" s="239" t="s">
        <v>246</v>
      </c>
      <c r="H281" s="253">
        <v>39172</v>
      </c>
      <c r="I281" s="242">
        <v>25000</v>
      </c>
      <c r="M281" s="241" t="s">
        <v>260</v>
      </c>
      <c r="N281" s="242">
        <f t="shared" si="141"/>
        <v>775000</v>
      </c>
      <c r="O281" s="242">
        <f t="shared" si="141"/>
        <v>700000</v>
      </c>
      <c r="P281" s="242">
        <f t="shared" si="141"/>
        <v>775000</v>
      </c>
      <c r="Q281" s="242">
        <f t="shared" si="141"/>
        <v>750000</v>
      </c>
      <c r="R281" s="242">
        <f t="shared" si="141"/>
        <v>775000</v>
      </c>
      <c r="S281" s="242">
        <f t="shared" si="141"/>
        <v>750000</v>
      </c>
      <c r="T281" s="242">
        <f t="shared" si="141"/>
        <v>775000</v>
      </c>
      <c r="U281" s="242">
        <f t="shared" si="141"/>
        <v>775000</v>
      </c>
      <c r="V281" s="242">
        <f t="shared" si="141"/>
        <v>750000</v>
      </c>
      <c r="W281" s="242">
        <f t="shared" si="141"/>
        <v>775000</v>
      </c>
      <c r="X281" s="242">
        <f t="shared" si="141"/>
        <v>750000</v>
      </c>
      <c r="Y281" s="242">
        <f t="shared" si="141"/>
        <v>775000</v>
      </c>
    </row>
    <row r="282" spans="1:32" ht="12.75" customHeight="1" x14ac:dyDescent="0.15">
      <c r="A282" s="239" t="s">
        <v>258</v>
      </c>
      <c r="B282" s="239" t="s">
        <v>147</v>
      </c>
      <c r="C282" s="239" t="s">
        <v>228</v>
      </c>
      <c r="D282" s="239" t="s">
        <v>220</v>
      </c>
      <c r="E282" s="243">
        <v>26371</v>
      </c>
      <c r="F282" s="239" t="s">
        <v>247</v>
      </c>
      <c r="H282" s="253">
        <v>39172</v>
      </c>
      <c r="I282" s="242">
        <v>25000</v>
      </c>
      <c r="M282" s="241" t="s">
        <v>260</v>
      </c>
      <c r="N282" s="242">
        <f t="shared" si="141"/>
        <v>775000</v>
      </c>
      <c r="O282" s="242">
        <f t="shared" si="141"/>
        <v>700000</v>
      </c>
      <c r="P282" s="242">
        <f t="shared" si="141"/>
        <v>775000</v>
      </c>
      <c r="Q282" s="242">
        <f t="shared" si="141"/>
        <v>750000</v>
      </c>
      <c r="R282" s="242">
        <f t="shared" si="141"/>
        <v>775000</v>
      </c>
      <c r="S282" s="242">
        <f t="shared" si="141"/>
        <v>750000</v>
      </c>
      <c r="T282" s="242">
        <f t="shared" si="141"/>
        <v>775000</v>
      </c>
      <c r="U282" s="242">
        <f t="shared" si="141"/>
        <v>775000</v>
      </c>
      <c r="V282" s="242">
        <f t="shared" si="141"/>
        <v>750000</v>
      </c>
      <c r="W282" s="242">
        <f t="shared" si="141"/>
        <v>775000</v>
      </c>
      <c r="X282" s="242">
        <f t="shared" si="141"/>
        <v>750000</v>
      </c>
      <c r="Y282" s="242">
        <f t="shared" si="141"/>
        <v>775000</v>
      </c>
    </row>
    <row r="283" spans="1:32" ht="12.75" customHeight="1" x14ac:dyDescent="0.15">
      <c r="A283" s="239" t="s">
        <v>258</v>
      </c>
      <c r="B283" s="239" t="s">
        <v>147</v>
      </c>
      <c r="C283" s="239" t="s">
        <v>228</v>
      </c>
      <c r="D283" s="239" t="s">
        <v>220</v>
      </c>
      <c r="E283" s="243">
        <v>21175</v>
      </c>
      <c r="F283" s="239" t="s">
        <v>233</v>
      </c>
      <c r="H283" s="253">
        <v>39172</v>
      </c>
      <c r="I283" s="242">
        <v>150000</v>
      </c>
      <c r="M283" s="241" t="s">
        <v>260</v>
      </c>
      <c r="N283" s="242">
        <f t="shared" si="141"/>
        <v>4650000</v>
      </c>
      <c r="O283" s="242">
        <f t="shared" si="141"/>
        <v>4200000</v>
      </c>
      <c r="P283" s="242">
        <f t="shared" si="141"/>
        <v>4650000</v>
      </c>
      <c r="Q283" s="242">
        <f t="shared" si="141"/>
        <v>4500000</v>
      </c>
      <c r="R283" s="242">
        <f t="shared" si="141"/>
        <v>4650000</v>
      </c>
      <c r="S283" s="242">
        <f t="shared" si="141"/>
        <v>4500000</v>
      </c>
      <c r="T283" s="242">
        <f t="shared" si="141"/>
        <v>4650000</v>
      </c>
      <c r="U283" s="242">
        <f t="shared" si="141"/>
        <v>4650000</v>
      </c>
      <c r="V283" s="242">
        <f t="shared" si="141"/>
        <v>4500000</v>
      </c>
      <c r="W283" s="242">
        <f t="shared" si="141"/>
        <v>4650000</v>
      </c>
      <c r="X283" s="242">
        <f t="shared" si="141"/>
        <v>4500000</v>
      </c>
      <c r="Y283" s="242">
        <f t="shared" si="141"/>
        <v>4650000</v>
      </c>
    </row>
    <row r="284" spans="1:32" ht="12.75" customHeight="1" x14ac:dyDescent="0.15">
      <c r="A284" s="239" t="s">
        <v>258</v>
      </c>
      <c r="B284" s="239" t="s">
        <v>147</v>
      </c>
      <c r="C284" s="239" t="s">
        <v>228</v>
      </c>
      <c r="D284" s="239" t="s">
        <v>220</v>
      </c>
      <c r="E284" s="243">
        <v>21375</v>
      </c>
      <c r="F284" s="239" t="s">
        <v>259</v>
      </c>
      <c r="H284" s="253">
        <v>39141</v>
      </c>
      <c r="I284" s="242">
        <v>20000</v>
      </c>
      <c r="M284" s="241" t="s">
        <v>248</v>
      </c>
      <c r="N284" s="242">
        <f t="shared" si="141"/>
        <v>620000</v>
      </c>
      <c r="O284" s="242">
        <f t="shared" si="141"/>
        <v>560000</v>
      </c>
      <c r="P284" s="242">
        <f t="shared" si="141"/>
        <v>620000</v>
      </c>
      <c r="Q284" s="242">
        <f t="shared" si="141"/>
        <v>600000</v>
      </c>
      <c r="R284" s="242">
        <f t="shared" si="141"/>
        <v>620000</v>
      </c>
      <c r="S284" s="242">
        <f t="shared" si="141"/>
        <v>600000</v>
      </c>
      <c r="T284" s="242">
        <f t="shared" si="141"/>
        <v>620000</v>
      </c>
      <c r="U284" s="242">
        <f t="shared" si="141"/>
        <v>620000</v>
      </c>
      <c r="V284" s="242">
        <f t="shared" si="141"/>
        <v>600000</v>
      </c>
      <c r="W284" s="242">
        <f t="shared" si="141"/>
        <v>620000</v>
      </c>
      <c r="X284" s="242">
        <f t="shared" si="141"/>
        <v>600000</v>
      </c>
      <c r="Y284" s="242">
        <f t="shared" si="141"/>
        <v>620000</v>
      </c>
    </row>
    <row r="286" spans="1:32" ht="12.75" customHeight="1" x14ac:dyDescent="0.15">
      <c r="I286" s="245"/>
      <c r="N286" s="245"/>
      <c r="O286" s="245"/>
      <c r="P286" s="245"/>
      <c r="Q286" s="245"/>
      <c r="R286" s="245"/>
      <c r="S286" s="245"/>
      <c r="T286" s="245"/>
      <c r="U286" s="245"/>
      <c r="V286" s="245"/>
      <c r="W286" s="245"/>
      <c r="X286" s="245"/>
      <c r="Y286" s="245"/>
    </row>
    <row r="287" spans="1:32" ht="12.75" customHeight="1" x14ac:dyDescent="0.15">
      <c r="I287" s="242">
        <f>SUM(I278:I286)</f>
        <v>465000</v>
      </c>
      <c r="N287" s="242">
        <f>SUM(N278:N286)</f>
        <v>14415000</v>
      </c>
      <c r="O287" s="242">
        <f t="shared" ref="O287:Y287" si="142">SUM(O278:O286)</f>
        <v>13020000</v>
      </c>
      <c r="P287" s="242">
        <f t="shared" si="142"/>
        <v>14415000</v>
      </c>
      <c r="Q287" s="242">
        <f t="shared" si="142"/>
        <v>13950000</v>
      </c>
      <c r="R287" s="242">
        <f t="shared" si="142"/>
        <v>14415000</v>
      </c>
      <c r="S287" s="242">
        <f t="shared" si="142"/>
        <v>13950000</v>
      </c>
      <c r="T287" s="242">
        <f t="shared" si="142"/>
        <v>14415000</v>
      </c>
      <c r="U287" s="242">
        <f t="shared" si="142"/>
        <v>14415000</v>
      </c>
      <c r="V287" s="242">
        <f t="shared" si="142"/>
        <v>13950000</v>
      </c>
      <c r="W287" s="242">
        <f t="shared" si="142"/>
        <v>14415000</v>
      </c>
      <c r="X287" s="242">
        <f t="shared" si="142"/>
        <v>13950000</v>
      </c>
      <c r="Y287" s="242">
        <f t="shared" si="142"/>
        <v>14415000</v>
      </c>
    </row>
    <row r="289" spans="1:25" ht="12.75" customHeight="1" x14ac:dyDescent="0.15">
      <c r="A289" s="424" t="s">
        <v>355</v>
      </c>
      <c r="B289" s="425"/>
      <c r="C289" s="425"/>
      <c r="D289" s="425"/>
      <c r="E289" s="426"/>
      <c r="F289" s="425"/>
      <c r="G289" s="425"/>
      <c r="H289" s="426"/>
      <c r="I289" s="427"/>
      <c r="J289" s="425"/>
      <c r="K289" s="428"/>
      <c r="L289" s="425"/>
      <c r="M289" s="429"/>
      <c r="N289" s="430">
        <v>0.97</v>
      </c>
      <c r="O289" s="430">
        <v>1</v>
      </c>
      <c r="P289" s="430">
        <v>0.95</v>
      </c>
      <c r="Q289" s="430">
        <v>0.95</v>
      </c>
      <c r="R289" s="430">
        <v>0.95</v>
      </c>
      <c r="S289" s="430">
        <v>0.93</v>
      </c>
      <c r="T289" s="430">
        <v>0.92</v>
      </c>
      <c r="U289" s="430">
        <v>0.9</v>
      </c>
      <c r="V289" s="430">
        <v>0.91</v>
      </c>
      <c r="W289" s="430">
        <v>0.91500000000000004</v>
      </c>
      <c r="X289" s="430">
        <v>0.91300000000000003</v>
      </c>
      <c r="Y289" s="432">
        <v>0.92100000000000004</v>
      </c>
    </row>
    <row r="290" spans="1:25" ht="12.75" customHeight="1" x14ac:dyDescent="0.15">
      <c r="A290" s="239" t="s">
        <v>258</v>
      </c>
      <c r="B290" s="239" t="s">
        <v>147</v>
      </c>
      <c r="C290" s="239" t="s">
        <v>228</v>
      </c>
      <c r="D290" s="239" t="s">
        <v>223</v>
      </c>
      <c r="E290" s="243">
        <v>20715</v>
      </c>
      <c r="F290" s="239" t="s">
        <v>231</v>
      </c>
      <c r="H290" s="253">
        <v>38656</v>
      </c>
      <c r="I290" s="242">
        <v>200000</v>
      </c>
      <c r="M290" s="241" t="s">
        <v>248</v>
      </c>
      <c r="N290" s="242">
        <f t="shared" ref="N290:Y290" si="143">N278*N$289</f>
        <v>6014000</v>
      </c>
      <c r="O290" s="242">
        <f t="shared" si="143"/>
        <v>5600000</v>
      </c>
      <c r="P290" s="242">
        <f t="shared" si="143"/>
        <v>5890000</v>
      </c>
      <c r="Q290" s="242">
        <f t="shared" si="143"/>
        <v>5700000</v>
      </c>
      <c r="R290" s="242">
        <f t="shared" si="143"/>
        <v>5890000</v>
      </c>
      <c r="S290" s="242">
        <f t="shared" si="143"/>
        <v>5580000</v>
      </c>
      <c r="T290" s="242">
        <f t="shared" si="143"/>
        <v>5704000</v>
      </c>
      <c r="U290" s="242">
        <f t="shared" si="143"/>
        <v>5580000</v>
      </c>
      <c r="V290" s="242">
        <f t="shared" si="143"/>
        <v>5460000</v>
      </c>
      <c r="W290" s="242">
        <f t="shared" si="143"/>
        <v>5673000</v>
      </c>
      <c r="X290" s="242">
        <f t="shared" si="143"/>
        <v>5478000</v>
      </c>
      <c r="Y290" s="242">
        <f t="shared" si="143"/>
        <v>5710200</v>
      </c>
    </row>
    <row r="291" spans="1:25" ht="12.75" customHeight="1" x14ac:dyDescent="0.15">
      <c r="B291" s="558" t="s">
        <v>468</v>
      </c>
      <c r="C291" s="558" t="s">
        <v>228</v>
      </c>
      <c r="D291" s="558" t="s">
        <v>223</v>
      </c>
      <c r="H291" s="253"/>
      <c r="R291" s="562">
        <v>0</v>
      </c>
    </row>
    <row r="292" spans="1:25" ht="12.75" customHeight="1" x14ac:dyDescent="0.15">
      <c r="A292" s="239" t="s">
        <v>258</v>
      </c>
      <c r="B292" s="239" t="s">
        <v>147</v>
      </c>
      <c r="C292" s="239" t="s">
        <v>228</v>
      </c>
      <c r="D292" s="239" t="s">
        <v>223</v>
      </c>
      <c r="E292" s="243">
        <v>20834</v>
      </c>
      <c r="F292" s="239" t="s">
        <v>245</v>
      </c>
      <c r="H292" s="253">
        <v>39141</v>
      </c>
      <c r="I292" s="242">
        <v>25000</v>
      </c>
      <c r="M292" s="241" t="s">
        <v>248</v>
      </c>
      <c r="N292" s="242">
        <f t="shared" ref="N292:O297" si="144">N279*N$289</f>
        <v>751750</v>
      </c>
      <c r="O292" s="242">
        <f t="shared" si="144"/>
        <v>700000</v>
      </c>
      <c r="P292" s="242">
        <f t="shared" ref="P292:Y292" si="145">P279*P$289</f>
        <v>736250</v>
      </c>
      <c r="Q292" s="242">
        <f t="shared" si="145"/>
        <v>712500</v>
      </c>
      <c r="R292" s="242">
        <f t="shared" si="145"/>
        <v>736250</v>
      </c>
      <c r="S292" s="242">
        <f t="shared" si="145"/>
        <v>697500</v>
      </c>
      <c r="T292" s="242">
        <f t="shared" si="145"/>
        <v>713000</v>
      </c>
      <c r="U292" s="242">
        <f t="shared" si="145"/>
        <v>697500</v>
      </c>
      <c r="V292" s="242">
        <f t="shared" si="145"/>
        <v>682500</v>
      </c>
      <c r="W292" s="242">
        <f t="shared" si="145"/>
        <v>709125</v>
      </c>
      <c r="X292" s="242">
        <f t="shared" si="145"/>
        <v>684750</v>
      </c>
      <c r="Y292" s="242">
        <f t="shared" si="145"/>
        <v>713775</v>
      </c>
    </row>
    <row r="293" spans="1:25" ht="12.75" customHeight="1" x14ac:dyDescent="0.15">
      <c r="A293" s="239" t="s">
        <v>258</v>
      </c>
      <c r="B293" s="239" t="s">
        <v>147</v>
      </c>
      <c r="C293" s="239" t="s">
        <v>228</v>
      </c>
      <c r="D293" s="239" t="s">
        <v>223</v>
      </c>
      <c r="E293" s="243">
        <v>20835</v>
      </c>
      <c r="F293" s="239" t="s">
        <v>244</v>
      </c>
      <c r="H293" s="253">
        <v>37315</v>
      </c>
      <c r="I293" s="242">
        <v>20000</v>
      </c>
      <c r="M293" s="241" t="s">
        <v>248</v>
      </c>
      <c r="N293" s="242">
        <f t="shared" si="144"/>
        <v>601400</v>
      </c>
      <c r="O293" s="242">
        <f t="shared" si="144"/>
        <v>560000</v>
      </c>
      <c r="P293" s="242">
        <f t="shared" ref="P293:Y293" si="146">P280*P$289</f>
        <v>589000</v>
      </c>
      <c r="Q293" s="242">
        <f t="shared" si="146"/>
        <v>570000</v>
      </c>
      <c r="R293" s="242">
        <f t="shared" si="146"/>
        <v>589000</v>
      </c>
      <c r="S293" s="242">
        <f t="shared" si="146"/>
        <v>558000</v>
      </c>
      <c r="T293" s="242">
        <f t="shared" si="146"/>
        <v>570400</v>
      </c>
      <c r="U293" s="242">
        <f t="shared" si="146"/>
        <v>558000</v>
      </c>
      <c r="V293" s="242">
        <f t="shared" si="146"/>
        <v>546000</v>
      </c>
      <c r="W293" s="242">
        <f t="shared" si="146"/>
        <v>567300</v>
      </c>
      <c r="X293" s="242">
        <f t="shared" si="146"/>
        <v>547800</v>
      </c>
      <c r="Y293" s="242">
        <f t="shared" si="146"/>
        <v>571020</v>
      </c>
    </row>
    <row r="294" spans="1:25" ht="12.75" customHeight="1" x14ac:dyDescent="0.15">
      <c r="A294" s="239" t="s">
        <v>258</v>
      </c>
      <c r="B294" s="239" t="s">
        <v>147</v>
      </c>
      <c r="C294" s="239" t="s">
        <v>228</v>
      </c>
      <c r="D294" s="239" t="s">
        <v>223</v>
      </c>
      <c r="E294" s="243">
        <v>26677</v>
      </c>
      <c r="F294" s="239" t="s">
        <v>246</v>
      </c>
      <c r="H294" s="253">
        <v>39172</v>
      </c>
      <c r="I294" s="242">
        <v>25000</v>
      </c>
      <c r="M294" s="241" t="s">
        <v>260</v>
      </c>
      <c r="N294" s="242">
        <f t="shared" si="144"/>
        <v>751750</v>
      </c>
      <c r="O294" s="242">
        <f t="shared" si="144"/>
        <v>700000</v>
      </c>
      <c r="P294" s="242">
        <f t="shared" ref="P294:Y294" si="147">P281*P$289</f>
        <v>736250</v>
      </c>
      <c r="Q294" s="242">
        <f t="shared" si="147"/>
        <v>712500</v>
      </c>
      <c r="R294" s="242">
        <f t="shared" si="147"/>
        <v>736250</v>
      </c>
      <c r="S294" s="242">
        <f t="shared" si="147"/>
        <v>697500</v>
      </c>
      <c r="T294" s="242">
        <f t="shared" si="147"/>
        <v>713000</v>
      </c>
      <c r="U294" s="242">
        <f t="shared" si="147"/>
        <v>697500</v>
      </c>
      <c r="V294" s="242">
        <f t="shared" si="147"/>
        <v>682500</v>
      </c>
      <c r="W294" s="242">
        <f t="shared" si="147"/>
        <v>709125</v>
      </c>
      <c r="X294" s="242">
        <f t="shared" si="147"/>
        <v>684750</v>
      </c>
      <c r="Y294" s="242">
        <f t="shared" si="147"/>
        <v>713775</v>
      </c>
    </row>
    <row r="295" spans="1:25" ht="12.75" customHeight="1" x14ac:dyDescent="0.15">
      <c r="A295" s="239" t="s">
        <v>258</v>
      </c>
      <c r="B295" s="239" t="s">
        <v>147</v>
      </c>
      <c r="C295" s="239" t="s">
        <v>228</v>
      </c>
      <c r="D295" s="239" t="s">
        <v>223</v>
      </c>
      <c r="E295" s="243">
        <v>26371</v>
      </c>
      <c r="F295" s="239" t="s">
        <v>247</v>
      </c>
      <c r="H295" s="253">
        <v>39172</v>
      </c>
      <c r="I295" s="242">
        <v>25000</v>
      </c>
      <c r="M295" s="241" t="s">
        <v>260</v>
      </c>
      <c r="N295" s="242">
        <f t="shared" si="144"/>
        <v>751750</v>
      </c>
      <c r="O295" s="242">
        <f t="shared" si="144"/>
        <v>700000</v>
      </c>
      <c r="P295" s="242">
        <f t="shared" ref="P295:Y295" si="148">P282*P$289</f>
        <v>736250</v>
      </c>
      <c r="Q295" s="242">
        <f t="shared" si="148"/>
        <v>712500</v>
      </c>
      <c r="R295" s="242">
        <f t="shared" si="148"/>
        <v>736250</v>
      </c>
      <c r="S295" s="242">
        <f t="shared" si="148"/>
        <v>697500</v>
      </c>
      <c r="T295" s="242">
        <f t="shared" si="148"/>
        <v>713000</v>
      </c>
      <c r="U295" s="242">
        <f t="shared" si="148"/>
        <v>697500</v>
      </c>
      <c r="V295" s="242">
        <f t="shared" si="148"/>
        <v>682500</v>
      </c>
      <c r="W295" s="242">
        <f t="shared" si="148"/>
        <v>709125</v>
      </c>
      <c r="X295" s="242">
        <f t="shared" si="148"/>
        <v>684750</v>
      </c>
      <c r="Y295" s="242">
        <f t="shared" si="148"/>
        <v>713775</v>
      </c>
    </row>
    <row r="296" spans="1:25" ht="12.75" customHeight="1" x14ac:dyDescent="0.15">
      <c r="A296" s="239" t="s">
        <v>258</v>
      </c>
      <c r="B296" s="239" t="s">
        <v>147</v>
      </c>
      <c r="C296" s="239" t="s">
        <v>228</v>
      </c>
      <c r="D296" s="239" t="s">
        <v>223</v>
      </c>
      <c r="E296" s="243">
        <v>21175</v>
      </c>
      <c r="F296" s="239" t="s">
        <v>233</v>
      </c>
      <c r="H296" s="253">
        <v>39172</v>
      </c>
      <c r="I296" s="242">
        <v>150000</v>
      </c>
      <c r="M296" s="241" t="s">
        <v>260</v>
      </c>
      <c r="N296" s="242">
        <f t="shared" si="144"/>
        <v>4510500</v>
      </c>
      <c r="O296" s="242">
        <f t="shared" si="144"/>
        <v>4200000</v>
      </c>
      <c r="P296" s="242">
        <f t="shared" ref="P296:Y296" si="149">P283*P$289</f>
        <v>4417500</v>
      </c>
      <c r="Q296" s="242">
        <f t="shared" si="149"/>
        <v>4275000</v>
      </c>
      <c r="R296" s="242">
        <f t="shared" si="149"/>
        <v>4417500</v>
      </c>
      <c r="S296" s="242">
        <f t="shared" si="149"/>
        <v>4185000</v>
      </c>
      <c r="T296" s="242">
        <f t="shared" si="149"/>
        <v>4278000</v>
      </c>
      <c r="U296" s="242">
        <f t="shared" si="149"/>
        <v>4185000</v>
      </c>
      <c r="V296" s="242">
        <f t="shared" si="149"/>
        <v>4095000</v>
      </c>
      <c r="W296" s="242">
        <f t="shared" si="149"/>
        <v>4254750</v>
      </c>
      <c r="X296" s="242">
        <f t="shared" si="149"/>
        <v>4108500</v>
      </c>
      <c r="Y296" s="242">
        <f t="shared" si="149"/>
        <v>4282650</v>
      </c>
    </row>
    <row r="297" spans="1:25" ht="12.75" customHeight="1" x14ac:dyDescent="0.15">
      <c r="A297" s="239" t="s">
        <v>258</v>
      </c>
      <c r="B297" s="239" t="s">
        <v>147</v>
      </c>
      <c r="C297" s="239" t="s">
        <v>228</v>
      </c>
      <c r="D297" s="239" t="s">
        <v>223</v>
      </c>
      <c r="E297" s="243">
        <v>21375</v>
      </c>
      <c r="F297" s="239" t="s">
        <v>259</v>
      </c>
      <c r="H297" s="253">
        <v>39141</v>
      </c>
      <c r="I297" s="242">
        <v>20000</v>
      </c>
      <c r="M297" s="241" t="s">
        <v>248</v>
      </c>
      <c r="N297" s="242">
        <f t="shared" si="144"/>
        <v>601400</v>
      </c>
      <c r="O297" s="242">
        <f t="shared" si="144"/>
        <v>560000</v>
      </c>
      <c r="P297" s="242">
        <f t="shared" ref="P297:Y297" si="150">P284*P$289</f>
        <v>589000</v>
      </c>
      <c r="Q297" s="242">
        <f t="shared" si="150"/>
        <v>570000</v>
      </c>
      <c r="R297" s="242">
        <f t="shared" si="150"/>
        <v>589000</v>
      </c>
      <c r="S297" s="242">
        <f t="shared" si="150"/>
        <v>558000</v>
      </c>
      <c r="T297" s="242">
        <f t="shared" si="150"/>
        <v>570400</v>
      </c>
      <c r="U297" s="242">
        <f t="shared" si="150"/>
        <v>558000</v>
      </c>
      <c r="V297" s="242">
        <f t="shared" si="150"/>
        <v>546000</v>
      </c>
      <c r="W297" s="242">
        <f t="shared" si="150"/>
        <v>567300</v>
      </c>
      <c r="X297" s="242">
        <f t="shared" si="150"/>
        <v>547800</v>
      </c>
      <c r="Y297" s="242">
        <f t="shared" si="150"/>
        <v>571020</v>
      </c>
    </row>
    <row r="299" spans="1:25" ht="12.75" customHeight="1" x14ac:dyDescent="0.15">
      <c r="I299" s="245"/>
      <c r="N299" s="245"/>
      <c r="O299" s="245"/>
      <c r="P299" s="245"/>
      <c r="Q299" s="245"/>
      <c r="R299" s="245"/>
      <c r="S299" s="245"/>
      <c r="T299" s="245"/>
      <c r="U299" s="245"/>
      <c r="V299" s="245"/>
      <c r="W299" s="245"/>
      <c r="X299" s="245"/>
      <c r="Y299" s="245"/>
    </row>
    <row r="300" spans="1:25" ht="12.75" customHeight="1" x14ac:dyDescent="0.15">
      <c r="I300" s="242">
        <f>SUM(I290:I299)</f>
        <v>465000</v>
      </c>
      <c r="N300" s="246">
        <f>SUM(N290:N299)</f>
        <v>13982550</v>
      </c>
      <c r="O300" s="246">
        <f t="shared" ref="O300:Y300" si="151">SUM(O290:O299)</f>
        <v>13020000</v>
      </c>
      <c r="P300" s="246">
        <f t="shared" si="151"/>
        <v>13694250</v>
      </c>
      <c r="Q300" s="246">
        <f t="shared" si="151"/>
        <v>13252500</v>
      </c>
      <c r="R300" s="246">
        <f t="shared" si="151"/>
        <v>13694250</v>
      </c>
      <c r="S300" s="246">
        <f t="shared" si="151"/>
        <v>12973500</v>
      </c>
      <c r="T300" s="246">
        <f t="shared" si="151"/>
        <v>13261800</v>
      </c>
      <c r="U300" s="246">
        <f t="shared" si="151"/>
        <v>12973500</v>
      </c>
      <c r="V300" s="246">
        <f t="shared" si="151"/>
        <v>12694500</v>
      </c>
      <c r="W300" s="246">
        <f t="shared" si="151"/>
        <v>13189725</v>
      </c>
      <c r="X300" s="246">
        <f t="shared" si="151"/>
        <v>12736350</v>
      </c>
      <c r="Y300" s="246">
        <f t="shared" si="151"/>
        <v>13276215</v>
      </c>
    </row>
    <row r="303" spans="1:25" ht="12.75" customHeight="1" x14ac:dyDescent="0.15">
      <c r="A303" s="239" t="s">
        <v>258</v>
      </c>
      <c r="B303" s="239" t="s">
        <v>147</v>
      </c>
      <c r="C303" s="239" t="s">
        <v>229</v>
      </c>
      <c r="D303" s="239" t="s">
        <v>220</v>
      </c>
      <c r="E303" s="243">
        <v>20715</v>
      </c>
      <c r="F303" s="239" t="s">
        <v>231</v>
      </c>
      <c r="H303" s="253">
        <v>38656</v>
      </c>
      <c r="K303" s="251">
        <v>0.1052</v>
      </c>
      <c r="L303" s="239">
        <v>1.1000000000000001E-3</v>
      </c>
      <c r="M303" s="241" t="s">
        <v>248</v>
      </c>
      <c r="N303" s="242">
        <f t="shared" ref="N303:W303" si="152">N278*$K303</f>
        <v>652240</v>
      </c>
      <c r="O303" s="242">
        <f t="shared" si="152"/>
        <v>589120</v>
      </c>
      <c r="P303" s="242">
        <f t="shared" si="152"/>
        <v>652240</v>
      </c>
      <c r="Q303" s="242">
        <f t="shared" si="152"/>
        <v>631200</v>
      </c>
      <c r="R303" s="242">
        <f t="shared" si="152"/>
        <v>652240</v>
      </c>
      <c r="S303" s="242">
        <f t="shared" si="152"/>
        <v>631200</v>
      </c>
      <c r="T303" s="242">
        <f t="shared" si="152"/>
        <v>652240</v>
      </c>
      <c r="U303" s="242">
        <f t="shared" si="152"/>
        <v>652240</v>
      </c>
      <c r="V303" s="242">
        <f t="shared" si="152"/>
        <v>631200</v>
      </c>
      <c r="W303" s="242">
        <f t="shared" si="152"/>
        <v>652240</v>
      </c>
      <c r="X303" s="242">
        <f t="shared" ref="X303:Y309" si="153">X278*($K303+0.0022)</f>
        <v>644400</v>
      </c>
      <c r="Y303" s="242">
        <f t="shared" si="153"/>
        <v>665880</v>
      </c>
    </row>
    <row r="304" spans="1:25" ht="12.75" customHeight="1" x14ac:dyDescent="0.15">
      <c r="A304" s="239" t="s">
        <v>258</v>
      </c>
      <c r="B304" s="239" t="s">
        <v>147</v>
      </c>
      <c r="C304" s="239" t="s">
        <v>229</v>
      </c>
      <c r="D304" s="239" t="s">
        <v>220</v>
      </c>
      <c r="E304" s="243">
        <v>20834</v>
      </c>
      <c r="F304" s="239" t="s">
        <v>245</v>
      </c>
      <c r="H304" s="253">
        <v>39141</v>
      </c>
      <c r="K304" s="251">
        <v>0.1052</v>
      </c>
      <c r="L304" s="239">
        <v>1.1000000000000001E-3</v>
      </c>
      <c r="M304" s="241" t="s">
        <v>248</v>
      </c>
      <c r="N304" s="242">
        <f t="shared" ref="N304:O309" si="154">N279*$K304</f>
        <v>81530</v>
      </c>
      <c r="O304" s="242">
        <f t="shared" si="154"/>
        <v>73640</v>
      </c>
      <c r="P304" s="242">
        <f t="shared" ref="P304:W304" si="155">P279*$K304</f>
        <v>81530</v>
      </c>
      <c r="Q304" s="242">
        <f t="shared" si="155"/>
        <v>78900</v>
      </c>
      <c r="R304" s="242">
        <f t="shared" si="155"/>
        <v>81530</v>
      </c>
      <c r="S304" s="242">
        <f t="shared" si="155"/>
        <v>78900</v>
      </c>
      <c r="T304" s="242">
        <f t="shared" si="155"/>
        <v>81530</v>
      </c>
      <c r="U304" s="242">
        <f t="shared" si="155"/>
        <v>81530</v>
      </c>
      <c r="V304" s="242">
        <f t="shared" si="155"/>
        <v>78900</v>
      </c>
      <c r="W304" s="242">
        <f t="shared" si="155"/>
        <v>81530</v>
      </c>
      <c r="X304" s="242">
        <f t="shared" si="153"/>
        <v>80550</v>
      </c>
      <c r="Y304" s="242">
        <f t="shared" si="153"/>
        <v>83235</v>
      </c>
    </row>
    <row r="305" spans="1:26" ht="12.75" customHeight="1" x14ac:dyDescent="0.15">
      <c r="A305" s="239" t="s">
        <v>258</v>
      </c>
      <c r="B305" s="239" t="s">
        <v>147</v>
      </c>
      <c r="C305" s="239" t="s">
        <v>229</v>
      </c>
      <c r="D305" s="239" t="s">
        <v>220</v>
      </c>
      <c r="E305" s="243">
        <v>20835</v>
      </c>
      <c r="F305" s="239" t="s">
        <v>244</v>
      </c>
      <c r="H305" s="253">
        <v>37315</v>
      </c>
      <c r="K305" s="251">
        <v>0.1052</v>
      </c>
      <c r="L305" s="239">
        <v>1.1000000000000001E-3</v>
      </c>
      <c r="M305" s="241" t="s">
        <v>248</v>
      </c>
      <c r="N305" s="242">
        <f t="shared" si="154"/>
        <v>65224</v>
      </c>
      <c r="O305" s="242">
        <f t="shared" si="154"/>
        <v>58912</v>
      </c>
      <c r="P305" s="242">
        <f t="shared" ref="P305:W305" si="156">P280*$K305</f>
        <v>65224</v>
      </c>
      <c r="Q305" s="242">
        <f t="shared" si="156"/>
        <v>63120</v>
      </c>
      <c r="R305" s="242">
        <f t="shared" si="156"/>
        <v>65224</v>
      </c>
      <c r="S305" s="242">
        <f t="shared" si="156"/>
        <v>63120</v>
      </c>
      <c r="T305" s="242">
        <f t="shared" si="156"/>
        <v>65224</v>
      </c>
      <c r="U305" s="242">
        <f t="shared" si="156"/>
        <v>65224</v>
      </c>
      <c r="V305" s="242">
        <f t="shared" si="156"/>
        <v>63120</v>
      </c>
      <c r="W305" s="242">
        <f t="shared" si="156"/>
        <v>65224</v>
      </c>
      <c r="X305" s="242">
        <f t="shared" si="153"/>
        <v>64440</v>
      </c>
      <c r="Y305" s="242">
        <f t="shared" si="153"/>
        <v>66588</v>
      </c>
    </row>
    <row r="306" spans="1:26" ht="12.75" customHeight="1" x14ac:dyDescent="0.15">
      <c r="A306" s="239" t="s">
        <v>258</v>
      </c>
      <c r="B306" s="239" t="s">
        <v>147</v>
      </c>
      <c r="C306" s="239" t="s">
        <v>229</v>
      </c>
      <c r="D306" s="239" t="s">
        <v>220</v>
      </c>
      <c r="E306" s="243">
        <v>26677</v>
      </c>
      <c r="F306" s="239" t="s">
        <v>246</v>
      </c>
      <c r="H306" s="253">
        <v>39172</v>
      </c>
      <c r="K306" s="251">
        <v>0.1052</v>
      </c>
      <c r="L306" s="239">
        <v>1.1000000000000001E-3</v>
      </c>
      <c r="M306" s="241" t="s">
        <v>260</v>
      </c>
      <c r="N306" s="242">
        <f t="shared" si="154"/>
        <v>81530</v>
      </c>
      <c r="O306" s="242">
        <f t="shared" si="154"/>
        <v>73640</v>
      </c>
      <c r="P306" s="242">
        <f t="shared" ref="P306:W306" si="157">P281*$K306</f>
        <v>81530</v>
      </c>
      <c r="Q306" s="242">
        <f t="shared" si="157"/>
        <v>78900</v>
      </c>
      <c r="R306" s="242">
        <f t="shared" si="157"/>
        <v>81530</v>
      </c>
      <c r="S306" s="242">
        <f t="shared" si="157"/>
        <v>78900</v>
      </c>
      <c r="T306" s="242">
        <f t="shared" si="157"/>
        <v>81530</v>
      </c>
      <c r="U306" s="242">
        <f t="shared" si="157"/>
        <v>81530</v>
      </c>
      <c r="V306" s="242">
        <f t="shared" si="157"/>
        <v>78900</v>
      </c>
      <c r="W306" s="242">
        <f t="shared" si="157"/>
        <v>81530</v>
      </c>
      <c r="X306" s="242">
        <f t="shared" si="153"/>
        <v>80550</v>
      </c>
      <c r="Y306" s="242">
        <f t="shared" si="153"/>
        <v>83235</v>
      </c>
    </row>
    <row r="307" spans="1:26" ht="12.75" customHeight="1" x14ac:dyDescent="0.15">
      <c r="A307" s="239" t="s">
        <v>258</v>
      </c>
      <c r="B307" s="239" t="s">
        <v>147</v>
      </c>
      <c r="C307" s="239" t="s">
        <v>229</v>
      </c>
      <c r="D307" s="239" t="s">
        <v>220</v>
      </c>
      <c r="E307" s="243">
        <v>26371</v>
      </c>
      <c r="F307" s="239" t="s">
        <v>247</v>
      </c>
      <c r="H307" s="253">
        <v>39172</v>
      </c>
      <c r="K307" s="251">
        <v>0.1052</v>
      </c>
      <c r="L307" s="239">
        <v>1.1000000000000001E-3</v>
      </c>
      <c r="M307" s="241" t="s">
        <v>260</v>
      </c>
      <c r="N307" s="242">
        <f t="shared" si="154"/>
        <v>81530</v>
      </c>
      <c r="O307" s="242">
        <f t="shared" si="154"/>
        <v>73640</v>
      </c>
      <c r="P307" s="242">
        <f t="shared" ref="P307:W307" si="158">P282*$K307</f>
        <v>81530</v>
      </c>
      <c r="Q307" s="242">
        <f t="shared" si="158"/>
        <v>78900</v>
      </c>
      <c r="R307" s="242">
        <f t="shared" si="158"/>
        <v>81530</v>
      </c>
      <c r="S307" s="242">
        <f t="shared" si="158"/>
        <v>78900</v>
      </c>
      <c r="T307" s="242">
        <f t="shared" si="158"/>
        <v>81530</v>
      </c>
      <c r="U307" s="242">
        <f t="shared" si="158"/>
        <v>81530</v>
      </c>
      <c r="V307" s="242">
        <f t="shared" si="158"/>
        <v>78900</v>
      </c>
      <c r="W307" s="242">
        <f t="shared" si="158"/>
        <v>81530</v>
      </c>
      <c r="X307" s="242">
        <f t="shared" si="153"/>
        <v>80550</v>
      </c>
      <c r="Y307" s="242">
        <f t="shared" si="153"/>
        <v>83235</v>
      </c>
    </row>
    <row r="308" spans="1:26" ht="12.75" customHeight="1" x14ac:dyDescent="0.15">
      <c r="A308" s="239" t="s">
        <v>258</v>
      </c>
      <c r="B308" s="239" t="s">
        <v>147</v>
      </c>
      <c r="C308" s="239" t="s">
        <v>229</v>
      </c>
      <c r="D308" s="239" t="s">
        <v>220</v>
      </c>
      <c r="E308" s="243">
        <v>21175</v>
      </c>
      <c r="F308" s="239" t="s">
        <v>233</v>
      </c>
      <c r="H308" s="253">
        <v>39172</v>
      </c>
      <c r="K308" s="251">
        <v>0.1052</v>
      </c>
      <c r="L308" s="239">
        <v>1.1000000000000001E-3</v>
      </c>
      <c r="M308" s="241" t="s">
        <v>260</v>
      </c>
      <c r="N308" s="242">
        <f t="shared" si="154"/>
        <v>489180</v>
      </c>
      <c r="O308" s="242">
        <f t="shared" si="154"/>
        <v>441840</v>
      </c>
      <c r="P308" s="242">
        <f t="shared" ref="P308:W308" si="159">P283*$K308</f>
        <v>489180</v>
      </c>
      <c r="Q308" s="242">
        <f t="shared" si="159"/>
        <v>473400</v>
      </c>
      <c r="R308" s="242">
        <f t="shared" si="159"/>
        <v>489180</v>
      </c>
      <c r="S308" s="242">
        <f t="shared" si="159"/>
        <v>473400</v>
      </c>
      <c r="T308" s="242">
        <f t="shared" si="159"/>
        <v>489180</v>
      </c>
      <c r="U308" s="242">
        <f t="shared" si="159"/>
        <v>489180</v>
      </c>
      <c r="V308" s="242">
        <f t="shared" si="159"/>
        <v>473400</v>
      </c>
      <c r="W308" s="242">
        <f t="shared" si="159"/>
        <v>489180</v>
      </c>
      <c r="X308" s="242">
        <f t="shared" si="153"/>
        <v>483300</v>
      </c>
      <c r="Y308" s="242">
        <f t="shared" si="153"/>
        <v>499410</v>
      </c>
    </row>
    <row r="309" spans="1:26" ht="12.75" customHeight="1" x14ac:dyDescent="0.15">
      <c r="A309" s="239" t="s">
        <v>258</v>
      </c>
      <c r="B309" s="239" t="s">
        <v>147</v>
      </c>
      <c r="C309" s="239" t="s">
        <v>229</v>
      </c>
      <c r="D309" s="239" t="s">
        <v>220</v>
      </c>
      <c r="E309" s="243">
        <v>21375</v>
      </c>
      <c r="F309" s="239" t="s">
        <v>259</v>
      </c>
      <c r="H309" s="253">
        <v>39141</v>
      </c>
      <c r="K309" s="251">
        <v>0.1052</v>
      </c>
      <c r="L309" s="239">
        <v>1.1000000000000001E-3</v>
      </c>
      <c r="M309" s="241" t="s">
        <v>248</v>
      </c>
      <c r="N309" s="242">
        <f t="shared" si="154"/>
        <v>65224</v>
      </c>
      <c r="O309" s="242">
        <f t="shared" si="154"/>
        <v>58912</v>
      </c>
      <c r="P309" s="242">
        <f t="shared" ref="P309:W309" si="160">P284*$K309</f>
        <v>65224</v>
      </c>
      <c r="Q309" s="242">
        <f t="shared" si="160"/>
        <v>63120</v>
      </c>
      <c r="R309" s="242">
        <f t="shared" si="160"/>
        <v>65224</v>
      </c>
      <c r="S309" s="242">
        <f t="shared" si="160"/>
        <v>63120</v>
      </c>
      <c r="T309" s="242">
        <f t="shared" si="160"/>
        <v>65224</v>
      </c>
      <c r="U309" s="242">
        <f t="shared" si="160"/>
        <v>65224</v>
      </c>
      <c r="V309" s="242">
        <f t="shared" si="160"/>
        <v>63120</v>
      </c>
      <c r="W309" s="242">
        <f t="shared" si="160"/>
        <v>65224</v>
      </c>
      <c r="X309" s="242">
        <f t="shared" si="153"/>
        <v>64440</v>
      </c>
      <c r="Y309" s="242">
        <f t="shared" si="153"/>
        <v>66588</v>
      </c>
    </row>
    <row r="311" spans="1:26" ht="12.75" customHeight="1" x14ac:dyDescent="0.15">
      <c r="I311" s="245"/>
      <c r="N311" s="245"/>
      <c r="O311" s="245"/>
      <c r="P311" s="245"/>
      <c r="Q311" s="245"/>
      <c r="R311" s="245"/>
      <c r="S311" s="245"/>
      <c r="T311" s="245"/>
      <c r="U311" s="245"/>
      <c r="V311" s="245"/>
      <c r="W311" s="245"/>
      <c r="X311" s="245"/>
      <c r="Y311" s="245"/>
    </row>
    <row r="312" spans="1:26" ht="12.75" customHeight="1" x14ac:dyDescent="0.15">
      <c r="I312" s="242">
        <f>SUM(I303:I311)</f>
        <v>0</v>
      </c>
      <c r="N312" s="242">
        <f>SUM(N303:N311)</f>
        <v>1516458</v>
      </c>
      <c r="O312" s="242">
        <f t="shared" ref="O312:Y312" si="161">SUM(O303:O311)</f>
        <v>1369704</v>
      </c>
      <c r="P312" s="242">
        <f t="shared" si="161"/>
        <v>1516458</v>
      </c>
      <c r="Q312" s="242">
        <f t="shared" si="161"/>
        <v>1467540</v>
      </c>
      <c r="R312" s="242">
        <f t="shared" si="161"/>
        <v>1516458</v>
      </c>
      <c r="S312" s="242">
        <f t="shared" si="161"/>
        <v>1467540</v>
      </c>
      <c r="T312" s="242">
        <f t="shared" si="161"/>
        <v>1516458</v>
      </c>
      <c r="U312" s="242">
        <f t="shared" si="161"/>
        <v>1516458</v>
      </c>
      <c r="V312" s="242">
        <f t="shared" si="161"/>
        <v>1467540</v>
      </c>
      <c r="W312" s="242">
        <f t="shared" si="161"/>
        <v>1516458</v>
      </c>
      <c r="X312" s="242">
        <f t="shared" si="161"/>
        <v>1498230</v>
      </c>
      <c r="Y312" s="242">
        <f t="shared" si="161"/>
        <v>1548171</v>
      </c>
      <c r="Z312" s="375">
        <f>SUM(N312:Y312)</f>
        <v>17917473</v>
      </c>
    </row>
    <row r="315" spans="1:26" ht="12.75" customHeight="1" x14ac:dyDescent="0.15">
      <c r="A315" s="239" t="s">
        <v>258</v>
      </c>
      <c r="B315" s="239" t="s">
        <v>147</v>
      </c>
      <c r="C315" s="239" t="s">
        <v>229</v>
      </c>
      <c r="D315" s="239" t="s">
        <v>223</v>
      </c>
      <c r="E315" s="243">
        <v>20715</v>
      </c>
      <c r="F315" s="239" t="s">
        <v>231</v>
      </c>
      <c r="H315" s="253">
        <v>38656</v>
      </c>
      <c r="K315" s="251">
        <v>0.1052</v>
      </c>
      <c r="L315" s="239">
        <v>1.1000000000000001E-3</v>
      </c>
      <c r="M315" s="241" t="s">
        <v>248</v>
      </c>
      <c r="N315" s="242">
        <f>N290*$L315</f>
        <v>6615.4000000000005</v>
      </c>
      <c r="O315" s="242">
        <f>O290*$L315</f>
        <v>6160</v>
      </c>
      <c r="P315" s="242">
        <f t="shared" ref="P315:Y316" si="162">P290*$L315</f>
        <v>6479</v>
      </c>
      <c r="Q315" s="242">
        <f t="shared" si="162"/>
        <v>6270</v>
      </c>
      <c r="R315" s="242">
        <f t="shared" si="162"/>
        <v>6479</v>
      </c>
      <c r="S315" s="242">
        <f t="shared" si="162"/>
        <v>6138</v>
      </c>
      <c r="T315" s="242">
        <f t="shared" si="162"/>
        <v>6274.4000000000005</v>
      </c>
      <c r="U315" s="242">
        <f t="shared" si="162"/>
        <v>6138</v>
      </c>
      <c r="V315" s="242">
        <f t="shared" si="162"/>
        <v>6006</v>
      </c>
      <c r="W315" s="242">
        <f t="shared" si="162"/>
        <v>6240.3</v>
      </c>
      <c r="X315" s="242">
        <f t="shared" si="162"/>
        <v>6025.8</v>
      </c>
      <c r="Y315" s="242">
        <f t="shared" si="162"/>
        <v>6281.22</v>
      </c>
    </row>
    <row r="316" spans="1:26" ht="12.75" customHeight="1" x14ac:dyDescent="0.15">
      <c r="B316" s="558" t="s">
        <v>468</v>
      </c>
      <c r="C316" s="558" t="s">
        <v>228</v>
      </c>
      <c r="D316" s="558" t="s">
        <v>223</v>
      </c>
      <c r="H316" s="253"/>
      <c r="K316" s="251">
        <v>0.1052</v>
      </c>
      <c r="L316" s="558">
        <v>1.1000000000000001E-3</v>
      </c>
      <c r="R316" s="562">
        <f t="shared" si="162"/>
        <v>0</v>
      </c>
    </row>
    <row r="317" spans="1:26" ht="12.75" customHeight="1" x14ac:dyDescent="0.15">
      <c r="A317" s="239" t="s">
        <v>258</v>
      </c>
      <c r="B317" s="239" t="s">
        <v>147</v>
      </c>
      <c r="C317" s="239" t="s">
        <v>229</v>
      </c>
      <c r="D317" s="239" t="s">
        <v>223</v>
      </c>
      <c r="E317" s="243">
        <v>20834</v>
      </c>
      <c r="F317" s="239" t="s">
        <v>245</v>
      </c>
      <c r="H317" s="253">
        <v>39141</v>
      </c>
      <c r="K317" s="251">
        <v>0.1052</v>
      </c>
      <c r="L317" s="239">
        <v>1.1000000000000001E-3</v>
      </c>
      <c r="M317" s="241" t="s">
        <v>248</v>
      </c>
      <c r="N317" s="242">
        <f t="shared" ref="N317:O322" si="163">N292*$L317</f>
        <v>826.92500000000007</v>
      </c>
      <c r="O317" s="242">
        <f t="shared" si="163"/>
        <v>770</v>
      </c>
      <c r="P317" s="242">
        <f t="shared" ref="P317:Y317" si="164">P292*$L317</f>
        <v>809.875</v>
      </c>
      <c r="Q317" s="242">
        <f t="shared" si="164"/>
        <v>783.75</v>
      </c>
      <c r="R317" s="242">
        <f t="shared" si="164"/>
        <v>809.875</v>
      </c>
      <c r="S317" s="242">
        <f t="shared" si="164"/>
        <v>767.25</v>
      </c>
      <c r="T317" s="242">
        <f t="shared" si="164"/>
        <v>784.30000000000007</v>
      </c>
      <c r="U317" s="242">
        <f t="shared" si="164"/>
        <v>767.25</v>
      </c>
      <c r="V317" s="242">
        <f t="shared" si="164"/>
        <v>750.75</v>
      </c>
      <c r="W317" s="242">
        <f t="shared" si="164"/>
        <v>780.03750000000002</v>
      </c>
      <c r="X317" s="242">
        <f t="shared" si="164"/>
        <v>753.22500000000002</v>
      </c>
      <c r="Y317" s="242">
        <f t="shared" si="164"/>
        <v>785.15250000000003</v>
      </c>
    </row>
    <row r="318" spans="1:26" ht="12.75" customHeight="1" x14ac:dyDescent="0.15">
      <c r="A318" s="239" t="s">
        <v>258</v>
      </c>
      <c r="B318" s="239" t="s">
        <v>147</v>
      </c>
      <c r="C318" s="239" t="s">
        <v>229</v>
      </c>
      <c r="D318" s="239" t="s">
        <v>223</v>
      </c>
      <c r="E318" s="243">
        <v>20835</v>
      </c>
      <c r="F318" s="239" t="s">
        <v>244</v>
      </c>
      <c r="H318" s="253">
        <v>37315</v>
      </c>
      <c r="K318" s="251">
        <v>0.1052</v>
      </c>
      <c r="L318" s="239">
        <v>1.1000000000000001E-3</v>
      </c>
      <c r="M318" s="241" t="s">
        <v>248</v>
      </c>
      <c r="N318" s="242">
        <f t="shared" si="163"/>
        <v>661.54000000000008</v>
      </c>
      <c r="O318" s="242">
        <f t="shared" si="163"/>
        <v>616</v>
      </c>
      <c r="P318" s="242">
        <f t="shared" ref="P318:Y318" si="165">P293*$L318</f>
        <v>647.90000000000009</v>
      </c>
      <c r="Q318" s="242">
        <f t="shared" si="165"/>
        <v>627</v>
      </c>
      <c r="R318" s="242">
        <f t="shared" si="165"/>
        <v>647.90000000000009</v>
      </c>
      <c r="S318" s="242">
        <f t="shared" si="165"/>
        <v>613.80000000000007</v>
      </c>
      <c r="T318" s="242">
        <f t="shared" si="165"/>
        <v>627.44000000000005</v>
      </c>
      <c r="U318" s="242">
        <f t="shared" si="165"/>
        <v>613.80000000000007</v>
      </c>
      <c r="V318" s="242">
        <f t="shared" si="165"/>
        <v>600.6</v>
      </c>
      <c r="W318" s="242">
        <f t="shared" si="165"/>
        <v>624.03000000000009</v>
      </c>
      <c r="X318" s="242">
        <f t="shared" si="165"/>
        <v>602.58000000000004</v>
      </c>
      <c r="Y318" s="242">
        <f t="shared" si="165"/>
        <v>628.12200000000007</v>
      </c>
    </row>
    <row r="319" spans="1:26" ht="12.75" customHeight="1" x14ac:dyDescent="0.15">
      <c r="A319" s="239" t="s">
        <v>258</v>
      </c>
      <c r="B319" s="239" t="s">
        <v>147</v>
      </c>
      <c r="C319" s="239" t="s">
        <v>229</v>
      </c>
      <c r="D319" s="239" t="s">
        <v>223</v>
      </c>
      <c r="E319" s="243">
        <v>26677</v>
      </c>
      <c r="F319" s="239" t="s">
        <v>246</v>
      </c>
      <c r="H319" s="253">
        <v>39172</v>
      </c>
      <c r="K319" s="251">
        <v>0.1052</v>
      </c>
      <c r="L319" s="239">
        <v>1.1000000000000001E-3</v>
      </c>
      <c r="M319" s="241" t="s">
        <v>260</v>
      </c>
      <c r="N319" s="242">
        <f t="shared" si="163"/>
        <v>826.92500000000007</v>
      </c>
      <c r="O319" s="242">
        <f t="shared" si="163"/>
        <v>770</v>
      </c>
      <c r="P319" s="242">
        <f t="shared" ref="P319:Y319" si="166">P294*$L319</f>
        <v>809.875</v>
      </c>
      <c r="Q319" s="242">
        <f t="shared" si="166"/>
        <v>783.75</v>
      </c>
      <c r="R319" s="242">
        <f t="shared" si="166"/>
        <v>809.875</v>
      </c>
      <c r="S319" s="242">
        <f t="shared" si="166"/>
        <v>767.25</v>
      </c>
      <c r="T319" s="242">
        <f t="shared" si="166"/>
        <v>784.30000000000007</v>
      </c>
      <c r="U319" s="242">
        <f t="shared" si="166"/>
        <v>767.25</v>
      </c>
      <c r="V319" s="242">
        <f t="shared" si="166"/>
        <v>750.75</v>
      </c>
      <c r="W319" s="242">
        <f t="shared" si="166"/>
        <v>780.03750000000002</v>
      </c>
      <c r="X319" s="242">
        <f t="shared" si="166"/>
        <v>753.22500000000002</v>
      </c>
      <c r="Y319" s="242">
        <f t="shared" si="166"/>
        <v>785.15250000000003</v>
      </c>
    </row>
    <row r="320" spans="1:26" ht="12.75" customHeight="1" x14ac:dyDescent="0.15">
      <c r="A320" s="239" t="s">
        <v>258</v>
      </c>
      <c r="B320" s="239" t="s">
        <v>147</v>
      </c>
      <c r="C320" s="239" t="s">
        <v>229</v>
      </c>
      <c r="D320" s="239" t="s">
        <v>223</v>
      </c>
      <c r="E320" s="243">
        <v>26371</v>
      </c>
      <c r="F320" s="239" t="s">
        <v>247</v>
      </c>
      <c r="H320" s="253">
        <v>39172</v>
      </c>
      <c r="K320" s="251">
        <v>0.1052</v>
      </c>
      <c r="L320" s="239">
        <v>1.1000000000000001E-3</v>
      </c>
      <c r="M320" s="241" t="s">
        <v>260</v>
      </c>
      <c r="N320" s="242">
        <f t="shared" si="163"/>
        <v>826.92500000000007</v>
      </c>
      <c r="O320" s="242">
        <f t="shared" si="163"/>
        <v>770</v>
      </c>
      <c r="P320" s="242">
        <f t="shared" ref="P320:Y320" si="167">P295*$L320</f>
        <v>809.875</v>
      </c>
      <c r="Q320" s="242">
        <f t="shared" si="167"/>
        <v>783.75</v>
      </c>
      <c r="R320" s="242">
        <f t="shared" si="167"/>
        <v>809.875</v>
      </c>
      <c r="S320" s="242">
        <f t="shared" si="167"/>
        <v>767.25</v>
      </c>
      <c r="T320" s="242">
        <f t="shared" si="167"/>
        <v>784.30000000000007</v>
      </c>
      <c r="U320" s="242">
        <f t="shared" si="167"/>
        <v>767.25</v>
      </c>
      <c r="V320" s="242">
        <f t="shared" si="167"/>
        <v>750.75</v>
      </c>
      <c r="W320" s="242">
        <f t="shared" si="167"/>
        <v>780.03750000000002</v>
      </c>
      <c r="X320" s="242">
        <f t="shared" si="167"/>
        <v>753.22500000000002</v>
      </c>
      <c r="Y320" s="242">
        <f t="shared" si="167"/>
        <v>785.15250000000003</v>
      </c>
    </row>
    <row r="321" spans="1:31" ht="12.75" customHeight="1" x14ac:dyDescent="0.15">
      <c r="A321" s="239" t="s">
        <v>258</v>
      </c>
      <c r="B321" s="239" t="s">
        <v>147</v>
      </c>
      <c r="C321" s="239" t="s">
        <v>229</v>
      </c>
      <c r="D321" s="239" t="s">
        <v>223</v>
      </c>
      <c r="E321" s="243">
        <v>21175</v>
      </c>
      <c r="F321" s="239" t="s">
        <v>233</v>
      </c>
      <c r="H321" s="253">
        <v>39172</v>
      </c>
      <c r="K321" s="251">
        <v>0.1052</v>
      </c>
      <c r="L321" s="239">
        <v>1.1000000000000001E-3</v>
      </c>
      <c r="M321" s="241" t="s">
        <v>260</v>
      </c>
      <c r="N321" s="242">
        <f t="shared" si="163"/>
        <v>4961.55</v>
      </c>
      <c r="O321" s="242">
        <f t="shared" si="163"/>
        <v>4620</v>
      </c>
      <c r="P321" s="242">
        <f t="shared" ref="P321:Y321" si="168">P296*$L321</f>
        <v>4859.25</v>
      </c>
      <c r="Q321" s="242">
        <f t="shared" si="168"/>
        <v>4702.5</v>
      </c>
      <c r="R321" s="242">
        <f t="shared" si="168"/>
        <v>4859.25</v>
      </c>
      <c r="S321" s="242">
        <f t="shared" si="168"/>
        <v>4603.5</v>
      </c>
      <c r="T321" s="242">
        <f t="shared" si="168"/>
        <v>4705.8</v>
      </c>
      <c r="U321" s="242">
        <f t="shared" si="168"/>
        <v>4603.5</v>
      </c>
      <c r="V321" s="242">
        <f t="shared" si="168"/>
        <v>4504.5</v>
      </c>
      <c r="W321" s="242">
        <f t="shared" si="168"/>
        <v>4680.2250000000004</v>
      </c>
      <c r="X321" s="242">
        <f t="shared" si="168"/>
        <v>4519.3500000000004</v>
      </c>
      <c r="Y321" s="242">
        <f t="shared" si="168"/>
        <v>4710.915</v>
      </c>
    </row>
    <row r="322" spans="1:31" ht="12.75" customHeight="1" x14ac:dyDescent="0.15">
      <c r="A322" s="239" t="s">
        <v>258</v>
      </c>
      <c r="B322" s="239" t="s">
        <v>147</v>
      </c>
      <c r="C322" s="239" t="s">
        <v>229</v>
      </c>
      <c r="D322" s="239" t="s">
        <v>223</v>
      </c>
      <c r="E322" s="243">
        <v>21375</v>
      </c>
      <c r="F322" s="239" t="s">
        <v>259</v>
      </c>
      <c r="H322" s="253">
        <v>39141</v>
      </c>
      <c r="K322" s="251">
        <v>0.1052</v>
      </c>
      <c r="L322" s="239">
        <v>1.1000000000000001E-3</v>
      </c>
      <c r="M322" s="241" t="s">
        <v>248</v>
      </c>
      <c r="N322" s="242">
        <f t="shared" si="163"/>
        <v>661.54000000000008</v>
      </c>
      <c r="O322" s="242">
        <f t="shared" si="163"/>
        <v>616</v>
      </c>
      <c r="P322" s="242">
        <f t="shared" ref="P322:Y322" si="169">P297*$L322</f>
        <v>647.90000000000009</v>
      </c>
      <c r="Q322" s="242">
        <f t="shared" si="169"/>
        <v>627</v>
      </c>
      <c r="R322" s="242">
        <f t="shared" si="169"/>
        <v>647.90000000000009</v>
      </c>
      <c r="S322" s="242">
        <f t="shared" si="169"/>
        <v>613.80000000000007</v>
      </c>
      <c r="T322" s="242">
        <f t="shared" si="169"/>
        <v>627.44000000000005</v>
      </c>
      <c r="U322" s="242">
        <f t="shared" si="169"/>
        <v>613.80000000000007</v>
      </c>
      <c r="V322" s="242">
        <f t="shared" si="169"/>
        <v>600.6</v>
      </c>
      <c r="W322" s="242">
        <f t="shared" si="169"/>
        <v>624.03000000000009</v>
      </c>
      <c r="X322" s="242">
        <f t="shared" si="169"/>
        <v>602.58000000000004</v>
      </c>
      <c r="Y322" s="242">
        <f t="shared" si="169"/>
        <v>628.12200000000007</v>
      </c>
    </row>
    <row r="324" spans="1:31" ht="12.75" customHeight="1" x14ac:dyDescent="0.15">
      <c r="I324" s="245"/>
      <c r="N324" s="245"/>
      <c r="O324" s="245"/>
      <c r="P324" s="245"/>
      <c r="Q324" s="245"/>
      <c r="R324" s="245"/>
      <c r="S324" s="245"/>
      <c r="T324" s="245"/>
      <c r="U324" s="245"/>
      <c r="V324" s="245"/>
      <c r="W324" s="245"/>
      <c r="X324" s="245"/>
      <c r="Y324" s="245"/>
    </row>
    <row r="325" spans="1:31" ht="12.75" customHeight="1" x14ac:dyDescent="0.15">
      <c r="I325" s="242">
        <f>SUM(I315:I324)</f>
        <v>0</v>
      </c>
      <c r="N325" s="242">
        <f>SUM(N315:N324)</f>
        <v>15380.805</v>
      </c>
      <c r="O325" s="242">
        <f t="shared" ref="O325:Y325" si="170">SUM(O315:O324)</f>
        <v>14322</v>
      </c>
      <c r="P325" s="242">
        <f t="shared" si="170"/>
        <v>15063.674999999999</v>
      </c>
      <c r="Q325" s="242">
        <f t="shared" si="170"/>
        <v>14577.75</v>
      </c>
      <c r="R325" s="242">
        <f t="shared" si="170"/>
        <v>15063.674999999999</v>
      </c>
      <c r="S325" s="242">
        <f t="shared" si="170"/>
        <v>14270.849999999999</v>
      </c>
      <c r="T325" s="242">
        <f t="shared" si="170"/>
        <v>14587.980000000001</v>
      </c>
      <c r="U325" s="242">
        <f t="shared" si="170"/>
        <v>14270.849999999999</v>
      </c>
      <c r="V325" s="242">
        <f t="shared" si="170"/>
        <v>13963.95</v>
      </c>
      <c r="W325" s="242">
        <f t="shared" si="170"/>
        <v>14508.697500000002</v>
      </c>
      <c r="X325" s="242">
        <f t="shared" si="170"/>
        <v>14009.985000000001</v>
      </c>
      <c r="Y325" s="242">
        <f t="shared" si="170"/>
        <v>14603.836500000001</v>
      </c>
      <c r="Z325" s="375">
        <f>SUM(N325:Y325)</f>
        <v>174624.05400000003</v>
      </c>
      <c r="AE325" s="375">
        <f>Z325</f>
        <v>174624.05400000003</v>
      </c>
    </row>
    <row r="326" spans="1:31" s="247" customFormat="1" ht="12.75" customHeight="1" x14ac:dyDescent="0.15">
      <c r="E326" s="248"/>
      <c r="H326" s="248"/>
      <c r="I326" s="249"/>
      <c r="K326" s="252"/>
      <c r="M326" s="250"/>
      <c r="N326" s="249"/>
      <c r="O326" s="249"/>
      <c r="P326" s="249"/>
      <c r="Q326" s="249"/>
      <c r="R326" s="249"/>
      <c r="S326" s="249"/>
      <c r="T326" s="249"/>
      <c r="U326" s="249"/>
      <c r="V326" s="249"/>
      <c r="W326" s="249"/>
      <c r="X326" s="249"/>
      <c r="Y326" s="249"/>
    </row>
    <row r="329" spans="1:31" ht="12.75" customHeight="1" x14ac:dyDescent="0.15">
      <c r="A329" s="239" t="s">
        <v>261</v>
      </c>
      <c r="B329" s="239" t="s">
        <v>268</v>
      </c>
      <c r="C329" s="239" t="s">
        <v>228</v>
      </c>
      <c r="D329" s="239" t="s">
        <v>220</v>
      </c>
      <c r="E329" s="261">
        <v>25067</v>
      </c>
      <c r="F329" s="261" t="s">
        <v>262</v>
      </c>
      <c r="H329" s="253">
        <v>37225</v>
      </c>
      <c r="I329" s="242">
        <v>15000</v>
      </c>
      <c r="M329" s="241" t="s">
        <v>226</v>
      </c>
      <c r="N329" s="242">
        <f t="shared" ref="N329:Y329" si="171">$I$329*N$1</f>
        <v>465000</v>
      </c>
      <c r="O329" s="242">
        <f t="shared" si="171"/>
        <v>420000</v>
      </c>
      <c r="P329" s="242">
        <f t="shared" si="171"/>
        <v>465000</v>
      </c>
      <c r="Q329" s="242">
        <f t="shared" si="171"/>
        <v>450000</v>
      </c>
      <c r="R329" s="242">
        <f t="shared" si="171"/>
        <v>465000</v>
      </c>
      <c r="S329" s="242">
        <f t="shared" si="171"/>
        <v>450000</v>
      </c>
      <c r="T329" s="242">
        <f t="shared" si="171"/>
        <v>465000</v>
      </c>
      <c r="U329" s="242">
        <f t="shared" si="171"/>
        <v>465000</v>
      </c>
      <c r="V329" s="242">
        <f t="shared" si="171"/>
        <v>450000</v>
      </c>
      <c r="W329" s="242">
        <f t="shared" si="171"/>
        <v>465000</v>
      </c>
      <c r="X329" s="242">
        <f t="shared" si="171"/>
        <v>450000</v>
      </c>
      <c r="Y329" s="452">
        <f t="shared" si="171"/>
        <v>465000</v>
      </c>
    </row>
    <row r="330" spans="1:31" ht="12.75" customHeight="1" x14ac:dyDescent="0.15">
      <c r="A330" s="239" t="s">
        <v>261</v>
      </c>
      <c r="B330" s="239" t="s">
        <v>268</v>
      </c>
      <c r="C330" s="239" t="s">
        <v>228</v>
      </c>
      <c r="D330" s="239" t="s">
        <v>220</v>
      </c>
      <c r="E330" s="261">
        <v>26436</v>
      </c>
      <c r="F330" s="261" t="s">
        <v>263</v>
      </c>
      <c r="H330" s="253">
        <v>37925</v>
      </c>
      <c r="I330" s="242">
        <v>59000</v>
      </c>
      <c r="M330" s="241" t="s">
        <v>226</v>
      </c>
      <c r="N330" s="242">
        <f t="shared" ref="N330:Y330" si="172">$I$330*N$1</f>
        <v>1829000</v>
      </c>
      <c r="O330" s="242">
        <f t="shared" si="172"/>
        <v>1652000</v>
      </c>
      <c r="P330" s="242">
        <f t="shared" si="172"/>
        <v>1829000</v>
      </c>
      <c r="Q330" s="242">
        <f t="shared" si="172"/>
        <v>1770000</v>
      </c>
      <c r="R330" s="242">
        <f t="shared" si="172"/>
        <v>1829000</v>
      </c>
      <c r="S330" s="242">
        <f t="shared" si="172"/>
        <v>1770000</v>
      </c>
      <c r="T330" s="242">
        <f t="shared" si="172"/>
        <v>1829000</v>
      </c>
      <c r="U330" s="242">
        <f t="shared" si="172"/>
        <v>1829000</v>
      </c>
      <c r="V330" s="242">
        <f t="shared" si="172"/>
        <v>1770000</v>
      </c>
      <c r="W330" s="242">
        <f t="shared" si="172"/>
        <v>1829000</v>
      </c>
      <c r="X330" s="242">
        <f t="shared" si="172"/>
        <v>1770000</v>
      </c>
      <c r="Y330" s="242">
        <f t="shared" si="172"/>
        <v>1829000</v>
      </c>
    </row>
    <row r="331" spans="1:31" ht="12.75" customHeight="1" x14ac:dyDescent="0.15">
      <c r="A331" s="239" t="s">
        <v>261</v>
      </c>
      <c r="B331" s="239" t="s">
        <v>268</v>
      </c>
      <c r="C331" s="239" t="s">
        <v>228</v>
      </c>
      <c r="D331" s="239" t="s">
        <v>220</v>
      </c>
      <c r="E331" s="261">
        <v>24924</v>
      </c>
      <c r="F331" s="261" t="s">
        <v>264</v>
      </c>
      <c r="H331" s="253">
        <v>38017</v>
      </c>
      <c r="I331" s="242">
        <v>25000</v>
      </c>
      <c r="M331" s="241" t="s">
        <v>226</v>
      </c>
      <c r="N331" s="242">
        <f t="shared" ref="N331:Y331" si="173">$I$331*N$1</f>
        <v>775000</v>
      </c>
      <c r="O331" s="242">
        <f t="shared" si="173"/>
        <v>700000</v>
      </c>
      <c r="P331" s="242">
        <f t="shared" si="173"/>
        <v>775000</v>
      </c>
      <c r="Q331" s="242">
        <f t="shared" si="173"/>
        <v>750000</v>
      </c>
      <c r="R331" s="242">
        <f t="shared" si="173"/>
        <v>775000</v>
      </c>
      <c r="S331" s="242">
        <f t="shared" si="173"/>
        <v>750000</v>
      </c>
      <c r="T331" s="242">
        <f t="shared" si="173"/>
        <v>775000</v>
      </c>
      <c r="U331" s="242">
        <f t="shared" si="173"/>
        <v>775000</v>
      </c>
      <c r="V331" s="242">
        <f t="shared" si="173"/>
        <v>750000</v>
      </c>
      <c r="W331" s="242">
        <f t="shared" si="173"/>
        <v>775000</v>
      </c>
      <c r="X331" s="242">
        <f t="shared" si="173"/>
        <v>750000</v>
      </c>
      <c r="Y331" s="242">
        <f t="shared" si="173"/>
        <v>775000</v>
      </c>
    </row>
    <row r="332" spans="1:31" ht="12.75" customHeight="1" x14ac:dyDescent="0.15">
      <c r="A332" s="239" t="s">
        <v>261</v>
      </c>
      <c r="B332" s="239" t="s">
        <v>268</v>
      </c>
      <c r="C332" s="239" t="s">
        <v>228</v>
      </c>
      <c r="D332" s="239" t="s">
        <v>220</v>
      </c>
      <c r="E332" s="261">
        <v>26044</v>
      </c>
      <c r="F332" s="261" t="s">
        <v>265</v>
      </c>
      <c r="G332" s="260"/>
      <c r="H332" s="263">
        <v>37925</v>
      </c>
      <c r="I332" s="242">
        <v>85000</v>
      </c>
      <c r="M332" s="241" t="s">
        <v>226</v>
      </c>
      <c r="N332" s="242">
        <f t="shared" ref="N332:Y332" si="174">$I$332*N$1</f>
        <v>2635000</v>
      </c>
      <c r="O332" s="242">
        <f t="shared" si="174"/>
        <v>2380000</v>
      </c>
      <c r="P332" s="242">
        <f t="shared" si="174"/>
        <v>2635000</v>
      </c>
      <c r="Q332" s="242">
        <f t="shared" si="174"/>
        <v>2550000</v>
      </c>
      <c r="R332" s="242">
        <f t="shared" si="174"/>
        <v>2635000</v>
      </c>
      <c r="S332" s="242">
        <f t="shared" si="174"/>
        <v>2550000</v>
      </c>
      <c r="T332" s="242">
        <f t="shared" si="174"/>
        <v>2635000</v>
      </c>
      <c r="U332" s="242">
        <f t="shared" si="174"/>
        <v>2635000</v>
      </c>
      <c r="V332" s="242">
        <f t="shared" si="174"/>
        <v>2550000</v>
      </c>
      <c r="W332" s="242">
        <f t="shared" si="174"/>
        <v>2635000</v>
      </c>
      <c r="X332" s="242">
        <f t="shared" si="174"/>
        <v>2550000</v>
      </c>
      <c r="Y332" s="242">
        <f t="shared" si="174"/>
        <v>2635000</v>
      </c>
    </row>
    <row r="333" spans="1:31" ht="12.75" customHeight="1" x14ac:dyDescent="0.15">
      <c r="A333" s="239" t="s">
        <v>261</v>
      </c>
      <c r="B333" s="239" t="s">
        <v>268</v>
      </c>
      <c r="C333" s="239" t="s">
        <v>228</v>
      </c>
      <c r="D333" s="239" t="s">
        <v>220</v>
      </c>
      <c r="E333" s="262">
        <v>24925</v>
      </c>
      <c r="F333" s="262" t="s">
        <v>266</v>
      </c>
      <c r="G333" s="234"/>
      <c r="H333" s="264">
        <v>38017</v>
      </c>
      <c r="I333" s="242">
        <v>50000</v>
      </c>
      <c r="M333" s="241" t="s">
        <v>226</v>
      </c>
      <c r="N333" s="242">
        <f t="shared" ref="N333:Y333" si="175">$I$333*N$1</f>
        <v>1550000</v>
      </c>
      <c r="O333" s="242">
        <f t="shared" si="175"/>
        <v>1400000</v>
      </c>
      <c r="P333" s="242">
        <f t="shared" si="175"/>
        <v>1550000</v>
      </c>
      <c r="Q333" s="242">
        <f t="shared" si="175"/>
        <v>1500000</v>
      </c>
      <c r="R333" s="242">
        <f t="shared" si="175"/>
        <v>1550000</v>
      </c>
      <c r="S333" s="242">
        <f t="shared" si="175"/>
        <v>1500000</v>
      </c>
      <c r="T333" s="242">
        <f t="shared" si="175"/>
        <v>1550000</v>
      </c>
      <c r="U333" s="242">
        <f t="shared" si="175"/>
        <v>1550000</v>
      </c>
      <c r="V333" s="242">
        <f t="shared" si="175"/>
        <v>1500000</v>
      </c>
      <c r="W333" s="242">
        <f t="shared" si="175"/>
        <v>1550000</v>
      </c>
      <c r="X333" s="242">
        <f t="shared" si="175"/>
        <v>1500000</v>
      </c>
      <c r="Y333" s="242">
        <f t="shared" si="175"/>
        <v>1550000</v>
      </c>
    </row>
    <row r="334" spans="1:31" ht="12.75" customHeight="1" x14ac:dyDescent="0.15">
      <c r="A334" s="239" t="s">
        <v>261</v>
      </c>
      <c r="B334" s="239" t="s">
        <v>268</v>
      </c>
      <c r="C334" s="239" t="s">
        <v>228</v>
      </c>
      <c r="D334" s="239" t="s">
        <v>220</v>
      </c>
      <c r="E334" s="261">
        <v>25397</v>
      </c>
      <c r="F334" s="261" t="s">
        <v>267</v>
      </c>
      <c r="G334" s="261"/>
      <c r="H334" s="263">
        <v>37711</v>
      </c>
      <c r="I334" s="246">
        <v>10000</v>
      </c>
      <c r="K334" s="244"/>
      <c r="L334" s="243"/>
      <c r="M334" s="241" t="s">
        <v>226</v>
      </c>
      <c r="N334" s="242">
        <f t="shared" ref="N334:Y334" si="176">$I$334*N$1</f>
        <v>310000</v>
      </c>
      <c r="O334" s="242">
        <f t="shared" si="176"/>
        <v>280000</v>
      </c>
      <c r="P334" s="242">
        <f t="shared" si="176"/>
        <v>310000</v>
      </c>
      <c r="Q334" s="242">
        <f t="shared" si="176"/>
        <v>300000</v>
      </c>
      <c r="R334" s="242">
        <f t="shared" si="176"/>
        <v>310000</v>
      </c>
      <c r="S334" s="242">
        <f t="shared" si="176"/>
        <v>300000</v>
      </c>
      <c r="T334" s="242">
        <f t="shared" si="176"/>
        <v>310000</v>
      </c>
      <c r="U334" s="242">
        <f t="shared" si="176"/>
        <v>310000</v>
      </c>
      <c r="V334" s="242">
        <f t="shared" si="176"/>
        <v>300000</v>
      </c>
      <c r="W334" s="242">
        <f t="shared" si="176"/>
        <v>310000</v>
      </c>
      <c r="X334" s="242">
        <f t="shared" si="176"/>
        <v>300000</v>
      </c>
      <c r="Y334" s="242">
        <f t="shared" si="176"/>
        <v>310000</v>
      </c>
    </row>
    <row r="335" spans="1:31" ht="12.75" customHeight="1" x14ac:dyDescent="0.15">
      <c r="A335" s="471" t="s">
        <v>261</v>
      </c>
      <c r="B335" s="471" t="s">
        <v>268</v>
      </c>
      <c r="C335" s="471" t="s">
        <v>228</v>
      </c>
      <c r="D335" s="471" t="s">
        <v>220</v>
      </c>
      <c r="E335" s="530">
        <v>27342</v>
      </c>
      <c r="F335" s="523" t="s">
        <v>239</v>
      </c>
      <c r="G335" s="533">
        <v>36892</v>
      </c>
      <c r="H335" s="525">
        <v>37256</v>
      </c>
      <c r="I335" s="524">
        <v>30000</v>
      </c>
      <c r="J335" s="471"/>
      <c r="K335" s="474"/>
      <c r="L335" s="471"/>
      <c r="M335" s="475" t="s">
        <v>226</v>
      </c>
      <c r="N335" s="473">
        <f t="shared" ref="N335:Y335" si="177">$I$335*N$1</f>
        <v>930000</v>
      </c>
      <c r="O335" s="473">
        <f t="shared" si="177"/>
        <v>840000</v>
      </c>
      <c r="P335" s="473">
        <f t="shared" si="177"/>
        <v>930000</v>
      </c>
      <c r="Q335" s="473">
        <f t="shared" si="177"/>
        <v>900000</v>
      </c>
      <c r="R335" s="473">
        <f t="shared" si="177"/>
        <v>930000</v>
      </c>
      <c r="S335" s="473">
        <f t="shared" si="177"/>
        <v>900000</v>
      </c>
      <c r="T335" s="473">
        <f t="shared" si="177"/>
        <v>930000</v>
      </c>
      <c r="U335" s="473">
        <f t="shared" si="177"/>
        <v>930000</v>
      </c>
      <c r="V335" s="473">
        <f t="shared" si="177"/>
        <v>900000</v>
      </c>
      <c r="W335" s="473">
        <f t="shared" si="177"/>
        <v>930000</v>
      </c>
      <c r="X335" s="473">
        <f t="shared" si="177"/>
        <v>900000</v>
      </c>
      <c r="Y335" s="473">
        <f t="shared" si="177"/>
        <v>930000</v>
      </c>
    </row>
    <row r="336" spans="1:31" ht="12.75" customHeight="1" x14ac:dyDescent="0.15">
      <c r="A336" s="450" t="s">
        <v>261</v>
      </c>
      <c r="B336" s="450" t="s">
        <v>268</v>
      </c>
      <c r="C336" s="450" t="s">
        <v>228</v>
      </c>
      <c r="D336" s="450" t="s">
        <v>220</v>
      </c>
      <c r="E336" s="456">
        <v>26661</v>
      </c>
      <c r="F336" s="450" t="s">
        <v>236</v>
      </c>
      <c r="G336" s="450" t="s">
        <v>374</v>
      </c>
      <c r="H336" s="459"/>
      <c r="I336" s="464">
        <v>18000</v>
      </c>
      <c r="M336" s="454" t="s">
        <v>226</v>
      </c>
      <c r="N336" s="464">
        <v>0</v>
      </c>
      <c r="O336" s="464">
        <v>0</v>
      </c>
      <c r="P336" s="464">
        <v>0</v>
      </c>
      <c r="Q336" s="464">
        <v>0</v>
      </c>
      <c r="R336" s="464">
        <v>0</v>
      </c>
      <c r="S336" s="464">
        <v>0</v>
      </c>
      <c r="T336" s="464">
        <v>0</v>
      </c>
      <c r="U336" s="464">
        <v>0</v>
      </c>
      <c r="V336" s="464">
        <v>0</v>
      </c>
      <c r="W336" s="464">
        <v>0</v>
      </c>
      <c r="X336" s="464">
        <v>0</v>
      </c>
      <c r="Y336" s="464">
        <v>0</v>
      </c>
    </row>
    <row r="337" spans="1:73" ht="12.75" customHeight="1" x14ac:dyDescent="0.15">
      <c r="A337" s="450" t="s">
        <v>261</v>
      </c>
      <c r="B337" s="450" t="s">
        <v>268</v>
      </c>
      <c r="C337" s="450" t="s">
        <v>228</v>
      </c>
      <c r="D337" s="450" t="s">
        <v>220</v>
      </c>
      <c r="E337" s="456">
        <v>27651</v>
      </c>
      <c r="F337" s="450" t="s">
        <v>262</v>
      </c>
      <c r="G337" s="529">
        <v>37073</v>
      </c>
      <c r="H337" s="459">
        <v>37164</v>
      </c>
      <c r="I337" s="464">
        <v>33000</v>
      </c>
      <c r="M337" s="454" t="s">
        <v>226</v>
      </c>
      <c r="N337" s="460"/>
      <c r="O337" s="460"/>
      <c r="P337" s="460"/>
      <c r="Q337" s="460"/>
      <c r="R337" s="460"/>
      <c r="S337" s="460"/>
      <c r="T337" s="543">
        <f>$I$337*T$1</f>
        <v>1023000</v>
      </c>
      <c r="U337" s="543">
        <f>$I$337*U$1</f>
        <v>1023000</v>
      </c>
      <c r="V337" s="543">
        <f>15000*V$1</f>
        <v>450000</v>
      </c>
      <c r="W337" s="543">
        <v>0</v>
      </c>
      <c r="X337" s="543">
        <v>0</v>
      </c>
      <c r="Y337" s="543">
        <v>0</v>
      </c>
    </row>
    <row r="338" spans="1:73" ht="12.75" customHeight="1" x14ac:dyDescent="0.15">
      <c r="I338" s="242">
        <f>SUM(I329:I337)</f>
        <v>325000</v>
      </c>
      <c r="N338" s="242">
        <f t="shared" ref="N338:S338" si="178">SUM(N329:N336)</f>
        <v>8494000</v>
      </c>
      <c r="O338" s="242">
        <f t="shared" si="178"/>
        <v>7672000</v>
      </c>
      <c r="P338" s="242">
        <f t="shared" si="178"/>
        <v>8494000</v>
      </c>
      <c r="Q338" s="242">
        <f t="shared" si="178"/>
        <v>8220000</v>
      </c>
      <c r="R338" s="242">
        <f t="shared" si="178"/>
        <v>8494000</v>
      </c>
      <c r="S338" s="242">
        <f t="shared" si="178"/>
        <v>8220000</v>
      </c>
      <c r="T338" s="242">
        <f t="shared" ref="T338:Y338" si="179">SUM(T329:T337)</f>
        <v>9517000</v>
      </c>
      <c r="U338" s="242">
        <f t="shared" si="179"/>
        <v>9517000</v>
      </c>
      <c r="V338" s="242">
        <f t="shared" si="179"/>
        <v>8670000</v>
      </c>
      <c r="W338" s="242">
        <f t="shared" si="179"/>
        <v>8494000</v>
      </c>
      <c r="X338" s="242">
        <f t="shared" si="179"/>
        <v>8220000</v>
      </c>
      <c r="Y338" s="242">
        <f t="shared" si="179"/>
        <v>8494000</v>
      </c>
    </row>
    <row r="340" spans="1:73" ht="12.75" customHeight="1" x14ac:dyDescent="0.15">
      <c r="A340" s="424" t="s">
        <v>354</v>
      </c>
      <c r="B340" s="425"/>
      <c r="C340" s="425"/>
      <c r="D340" s="425"/>
      <c r="E340" s="426"/>
      <c r="F340" s="425"/>
      <c r="G340" s="425"/>
      <c r="H340" s="426"/>
      <c r="I340" s="427"/>
      <c r="J340" s="425"/>
      <c r="K340" s="428"/>
      <c r="L340" s="425"/>
      <c r="M340" s="429"/>
      <c r="N340" s="430">
        <v>0.746</v>
      </c>
      <c r="O340" s="430">
        <v>0.66300000000000003</v>
      </c>
      <c r="P340" s="430">
        <v>0.66500000000000004</v>
      </c>
      <c r="Q340" s="430">
        <v>0.78</v>
      </c>
      <c r="R340" s="430">
        <v>0.79300000000000004</v>
      </c>
      <c r="S340" s="430">
        <v>0.72</v>
      </c>
      <c r="T340" s="430">
        <v>0.92</v>
      </c>
      <c r="U340" s="430">
        <v>0.75600000000000001</v>
      </c>
      <c r="V340" s="430">
        <v>0.84599999999999997</v>
      </c>
      <c r="W340" s="430">
        <v>0.83599999999999997</v>
      </c>
      <c r="X340" s="430">
        <v>0.81699999999999995</v>
      </c>
      <c r="Y340" s="432">
        <v>0.66300000000000003</v>
      </c>
    </row>
    <row r="341" spans="1:73" ht="12.75" customHeight="1" x14ac:dyDescent="0.15">
      <c r="A341" s="239" t="s">
        <v>261</v>
      </c>
      <c r="B341" s="239" t="s">
        <v>268</v>
      </c>
      <c r="C341" s="239" t="s">
        <v>228</v>
      </c>
      <c r="D341" s="239" t="s">
        <v>223</v>
      </c>
      <c r="E341" s="261">
        <v>25067</v>
      </c>
      <c r="F341" s="261" t="s">
        <v>262</v>
      </c>
      <c r="H341" s="253">
        <v>37225</v>
      </c>
      <c r="I341" s="242">
        <v>15000</v>
      </c>
      <c r="M341" s="241" t="s">
        <v>226</v>
      </c>
      <c r="N341" s="242">
        <f t="shared" ref="N341:Y341" si="180">N329*N$340</f>
        <v>346890</v>
      </c>
      <c r="O341" s="242">
        <f t="shared" si="180"/>
        <v>278460</v>
      </c>
      <c r="P341" s="242">
        <f t="shared" si="180"/>
        <v>309225</v>
      </c>
      <c r="Q341" s="242">
        <f t="shared" si="180"/>
        <v>351000</v>
      </c>
      <c r="R341" s="242">
        <f t="shared" si="180"/>
        <v>368745</v>
      </c>
      <c r="S341" s="242">
        <f t="shared" si="180"/>
        <v>324000</v>
      </c>
      <c r="T341" s="242">
        <f t="shared" si="180"/>
        <v>427800</v>
      </c>
      <c r="U341" s="242">
        <f t="shared" si="180"/>
        <v>351540</v>
      </c>
      <c r="V341" s="242">
        <f t="shared" si="180"/>
        <v>380700</v>
      </c>
      <c r="W341" s="242">
        <f t="shared" si="180"/>
        <v>388740</v>
      </c>
      <c r="X341" s="242">
        <f t="shared" si="180"/>
        <v>367650</v>
      </c>
      <c r="Y341" s="452">
        <f t="shared" si="180"/>
        <v>308295</v>
      </c>
    </row>
    <row r="342" spans="1:73" ht="12.75" customHeight="1" x14ac:dyDescent="0.15">
      <c r="A342" s="239" t="s">
        <v>261</v>
      </c>
      <c r="B342" s="239" t="s">
        <v>268</v>
      </c>
      <c r="C342" s="239" t="s">
        <v>228</v>
      </c>
      <c r="D342" s="239" t="s">
        <v>223</v>
      </c>
      <c r="E342" s="261">
        <v>26436</v>
      </c>
      <c r="F342" s="261" t="s">
        <v>263</v>
      </c>
      <c r="H342" s="253">
        <v>37925</v>
      </c>
      <c r="I342" s="242">
        <v>59000</v>
      </c>
      <c r="M342" s="241" t="s">
        <v>226</v>
      </c>
      <c r="N342" s="242">
        <f t="shared" ref="N342:O346" si="181">N330*N$340</f>
        <v>1364434</v>
      </c>
      <c r="O342" s="242">
        <f t="shared" si="181"/>
        <v>1095276</v>
      </c>
      <c r="P342" s="242">
        <f t="shared" ref="P342:Y342" si="182">P330*P$340</f>
        <v>1216285</v>
      </c>
      <c r="Q342" s="242">
        <f t="shared" si="182"/>
        <v>1380600</v>
      </c>
      <c r="R342" s="242">
        <f t="shared" si="182"/>
        <v>1450397</v>
      </c>
      <c r="S342" s="242">
        <f t="shared" si="182"/>
        <v>1274400</v>
      </c>
      <c r="T342" s="242">
        <f t="shared" si="182"/>
        <v>1682680</v>
      </c>
      <c r="U342" s="242">
        <f t="shared" si="182"/>
        <v>1382724</v>
      </c>
      <c r="V342" s="242">
        <f t="shared" si="182"/>
        <v>1497420</v>
      </c>
      <c r="W342" s="242">
        <f t="shared" si="182"/>
        <v>1529044</v>
      </c>
      <c r="X342" s="242">
        <f t="shared" si="182"/>
        <v>1446090</v>
      </c>
      <c r="Y342" s="242">
        <f t="shared" si="182"/>
        <v>1212627</v>
      </c>
    </row>
    <row r="343" spans="1:73" ht="12.75" customHeight="1" x14ac:dyDescent="0.15">
      <c r="A343" s="239" t="s">
        <v>261</v>
      </c>
      <c r="B343" s="239" t="s">
        <v>268</v>
      </c>
      <c r="C343" s="239" t="s">
        <v>228</v>
      </c>
      <c r="D343" s="239" t="s">
        <v>223</v>
      </c>
      <c r="E343" s="261">
        <v>24924</v>
      </c>
      <c r="F343" s="261" t="s">
        <v>264</v>
      </c>
      <c r="H343" s="253">
        <v>38017</v>
      </c>
      <c r="I343" s="242">
        <v>25000</v>
      </c>
      <c r="M343" s="241" t="s">
        <v>226</v>
      </c>
      <c r="N343" s="242">
        <f t="shared" si="181"/>
        <v>578150</v>
      </c>
      <c r="O343" s="242">
        <f t="shared" si="181"/>
        <v>464100</v>
      </c>
      <c r="P343" s="242">
        <f t="shared" ref="P343:Y343" si="183">P331*P$340</f>
        <v>515375</v>
      </c>
      <c r="Q343" s="242">
        <f t="shared" si="183"/>
        <v>585000</v>
      </c>
      <c r="R343" s="242">
        <f t="shared" si="183"/>
        <v>614575</v>
      </c>
      <c r="S343" s="242">
        <f t="shared" si="183"/>
        <v>540000</v>
      </c>
      <c r="T343" s="242">
        <f t="shared" si="183"/>
        <v>713000</v>
      </c>
      <c r="U343" s="242">
        <f t="shared" si="183"/>
        <v>585900</v>
      </c>
      <c r="V343" s="242">
        <f t="shared" si="183"/>
        <v>634500</v>
      </c>
      <c r="W343" s="242">
        <f t="shared" si="183"/>
        <v>647900</v>
      </c>
      <c r="X343" s="242">
        <f t="shared" si="183"/>
        <v>612750</v>
      </c>
      <c r="Y343" s="242">
        <f t="shared" si="183"/>
        <v>513825</v>
      </c>
    </row>
    <row r="344" spans="1:73" ht="12.75" customHeight="1" x14ac:dyDescent="0.15">
      <c r="A344" s="239" t="s">
        <v>261</v>
      </c>
      <c r="B344" s="239" t="s">
        <v>268</v>
      </c>
      <c r="C344" s="239" t="s">
        <v>228</v>
      </c>
      <c r="D344" s="239" t="s">
        <v>223</v>
      </c>
      <c r="E344" s="261">
        <v>26044</v>
      </c>
      <c r="F344" s="261" t="s">
        <v>265</v>
      </c>
      <c r="G344" s="260"/>
      <c r="H344" s="263">
        <v>37925</v>
      </c>
      <c r="I344" s="242">
        <v>85000</v>
      </c>
      <c r="M344" s="241" t="s">
        <v>226</v>
      </c>
      <c r="N344" s="242">
        <f t="shared" si="181"/>
        <v>1965710</v>
      </c>
      <c r="O344" s="242">
        <f t="shared" si="181"/>
        <v>1577940</v>
      </c>
      <c r="P344" s="242">
        <f t="shared" ref="P344:Y344" si="184">P332*P$340</f>
        <v>1752275</v>
      </c>
      <c r="Q344" s="242">
        <f t="shared" si="184"/>
        <v>1989000</v>
      </c>
      <c r="R344" s="242">
        <f t="shared" si="184"/>
        <v>2089555</v>
      </c>
      <c r="S344" s="242">
        <f t="shared" si="184"/>
        <v>1836000</v>
      </c>
      <c r="T344" s="242">
        <f t="shared" si="184"/>
        <v>2424200</v>
      </c>
      <c r="U344" s="242">
        <f t="shared" si="184"/>
        <v>1992060</v>
      </c>
      <c r="V344" s="242">
        <f t="shared" si="184"/>
        <v>2157300</v>
      </c>
      <c r="W344" s="242">
        <f t="shared" si="184"/>
        <v>2202860</v>
      </c>
      <c r="X344" s="242">
        <f t="shared" si="184"/>
        <v>2083349.9999999998</v>
      </c>
      <c r="Y344" s="242">
        <f t="shared" si="184"/>
        <v>1747005</v>
      </c>
    </row>
    <row r="345" spans="1:73" ht="12.75" customHeight="1" x14ac:dyDescent="0.15">
      <c r="A345" s="239" t="s">
        <v>261</v>
      </c>
      <c r="B345" s="239" t="s">
        <v>268</v>
      </c>
      <c r="C345" s="239" t="s">
        <v>228</v>
      </c>
      <c r="D345" s="239" t="s">
        <v>223</v>
      </c>
      <c r="E345" s="262">
        <v>24925</v>
      </c>
      <c r="F345" s="262" t="s">
        <v>266</v>
      </c>
      <c r="G345" s="234"/>
      <c r="H345" s="264">
        <v>38017</v>
      </c>
      <c r="I345" s="242">
        <v>50000</v>
      </c>
      <c r="M345" s="241" t="s">
        <v>226</v>
      </c>
      <c r="N345" s="242">
        <f t="shared" si="181"/>
        <v>1156300</v>
      </c>
      <c r="O345" s="242">
        <f t="shared" si="181"/>
        <v>928200</v>
      </c>
      <c r="P345" s="242">
        <f t="shared" ref="P345:Y345" si="185">P333*P$340</f>
        <v>1030750</v>
      </c>
      <c r="Q345" s="242">
        <f t="shared" si="185"/>
        <v>1170000</v>
      </c>
      <c r="R345" s="242">
        <f t="shared" si="185"/>
        <v>1229150</v>
      </c>
      <c r="S345" s="242">
        <f t="shared" si="185"/>
        <v>1080000</v>
      </c>
      <c r="T345" s="242">
        <f t="shared" si="185"/>
        <v>1426000</v>
      </c>
      <c r="U345" s="242">
        <f t="shared" si="185"/>
        <v>1171800</v>
      </c>
      <c r="V345" s="242">
        <f t="shared" si="185"/>
        <v>1269000</v>
      </c>
      <c r="W345" s="242">
        <f t="shared" si="185"/>
        <v>1295800</v>
      </c>
      <c r="X345" s="242">
        <f t="shared" si="185"/>
        <v>1225500</v>
      </c>
      <c r="Y345" s="242">
        <f t="shared" si="185"/>
        <v>1027650</v>
      </c>
    </row>
    <row r="346" spans="1:73" ht="12.75" customHeight="1" x14ac:dyDescent="0.15">
      <c r="A346" s="239" t="s">
        <v>261</v>
      </c>
      <c r="B346" s="239" t="s">
        <v>268</v>
      </c>
      <c r="C346" s="239" t="s">
        <v>228</v>
      </c>
      <c r="D346" s="239" t="s">
        <v>223</v>
      </c>
      <c r="E346" s="261">
        <v>25397</v>
      </c>
      <c r="F346" s="261" t="s">
        <v>267</v>
      </c>
      <c r="G346" s="261"/>
      <c r="H346" s="263">
        <v>37711</v>
      </c>
      <c r="I346" s="246">
        <v>10000</v>
      </c>
      <c r="K346" s="244"/>
      <c r="L346" s="243"/>
      <c r="M346" s="241" t="s">
        <v>226</v>
      </c>
      <c r="N346" s="242">
        <f t="shared" si="181"/>
        <v>231260</v>
      </c>
      <c r="O346" s="242">
        <f t="shared" si="181"/>
        <v>185640</v>
      </c>
      <c r="P346" s="242">
        <f t="shared" ref="P346:Y346" si="186">P334*P$340</f>
        <v>206150</v>
      </c>
      <c r="Q346" s="242">
        <f t="shared" si="186"/>
        <v>234000</v>
      </c>
      <c r="R346" s="242">
        <f t="shared" si="186"/>
        <v>245830</v>
      </c>
      <c r="S346" s="242">
        <f t="shared" si="186"/>
        <v>216000</v>
      </c>
      <c r="T346" s="242">
        <f t="shared" si="186"/>
        <v>285200</v>
      </c>
      <c r="U346" s="242">
        <f t="shared" si="186"/>
        <v>234360</v>
      </c>
      <c r="V346" s="242">
        <f t="shared" si="186"/>
        <v>253800</v>
      </c>
      <c r="W346" s="242">
        <f t="shared" si="186"/>
        <v>259160</v>
      </c>
      <c r="X346" s="242">
        <f t="shared" si="186"/>
        <v>245099.99999999997</v>
      </c>
      <c r="Y346" s="242">
        <f t="shared" si="186"/>
        <v>205530</v>
      </c>
    </row>
    <row r="347" spans="1:73" ht="12.75" customHeight="1" x14ac:dyDescent="0.15">
      <c r="A347" s="471" t="s">
        <v>261</v>
      </c>
      <c r="B347" s="471" t="s">
        <v>268</v>
      </c>
      <c r="C347" s="471" t="s">
        <v>228</v>
      </c>
      <c r="D347" s="471" t="s">
        <v>223</v>
      </c>
      <c r="E347" s="530">
        <v>27342</v>
      </c>
      <c r="F347" s="523" t="s">
        <v>239</v>
      </c>
      <c r="G347" s="533">
        <v>36892</v>
      </c>
      <c r="H347" s="525">
        <v>37256</v>
      </c>
      <c r="I347" s="524">
        <v>30000</v>
      </c>
      <c r="J347" s="471"/>
      <c r="K347" s="474"/>
      <c r="L347" s="471"/>
      <c r="M347" s="475" t="s">
        <v>226</v>
      </c>
      <c r="N347" s="473">
        <f t="shared" ref="N347:Y349" si="187">N335*N$340</f>
        <v>693780</v>
      </c>
      <c r="O347" s="473">
        <f t="shared" si="187"/>
        <v>556920</v>
      </c>
      <c r="P347" s="473">
        <f t="shared" si="187"/>
        <v>618450</v>
      </c>
      <c r="Q347" s="473">
        <f t="shared" si="187"/>
        <v>702000</v>
      </c>
      <c r="R347" s="473">
        <f t="shared" si="187"/>
        <v>737490</v>
      </c>
      <c r="S347" s="473">
        <f t="shared" si="187"/>
        <v>648000</v>
      </c>
      <c r="T347" s="473">
        <f t="shared" si="187"/>
        <v>855600</v>
      </c>
      <c r="U347" s="473">
        <f t="shared" si="187"/>
        <v>703080</v>
      </c>
      <c r="V347" s="473">
        <f t="shared" si="187"/>
        <v>761400</v>
      </c>
      <c r="W347" s="473">
        <f t="shared" si="187"/>
        <v>777480</v>
      </c>
      <c r="X347" s="473">
        <f t="shared" si="187"/>
        <v>735300</v>
      </c>
      <c r="Y347" s="473">
        <f t="shared" si="187"/>
        <v>616590</v>
      </c>
    </row>
    <row r="348" spans="1:73" ht="12.75" customHeight="1" x14ac:dyDescent="0.15">
      <c r="A348" s="450" t="s">
        <v>261</v>
      </c>
      <c r="B348" s="450" t="s">
        <v>268</v>
      </c>
      <c r="C348" s="450" t="s">
        <v>228</v>
      </c>
      <c r="D348" s="450" t="s">
        <v>223</v>
      </c>
      <c r="E348" s="456">
        <v>26661</v>
      </c>
      <c r="F348" s="450" t="s">
        <v>236</v>
      </c>
      <c r="G348" s="450" t="s">
        <v>374</v>
      </c>
      <c r="H348" s="459"/>
      <c r="I348" s="464">
        <v>18000</v>
      </c>
      <c r="M348" s="454" t="s">
        <v>226</v>
      </c>
      <c r="N348" s="464">
        <f t="shared" ref="N348:Y348" si="188">N336*N$340</f>
        <v>0</v>
      </c>
      <c r="O348" s="464">
        <f t="shared" si="188"/>
        <v>0</v>
      </c>
      <c r="P348" s="464">
        <f t="shared" si="188"/>
        <v>0</v>
      </c>
      <c r="Q348" s="464">
        <f t="shared" si="188"/>
        <v>0</v>
      </c>
      <c r="R348" s="464">
        <f t="shared" si="188"/>
        <v>0</v>
      </c>
      <c r="S348" s="464">
        <f t="shared" si="188"/>
        <v>0</v>
      </c>
      <c r="T348" s="464">
        <f t="shared" si="188"/>
        <v>0</v>
      </c>
      <c r="U348" s="464">
        <f t="shared" si="188"/>
        <v>0</v>
      </c>
      <c r="V348" s="464">
        <f t="shared" si="188"/>
        <v>0</v>
      </c>
      <c r="W348" s="464">
        <f t="shared" si="188"/>
        <v>0</v>
      </c>
      <c r="X348" s="464">
        <f t="shared" si="188"/>
        <v>0</v>
      </c>
      <c r="Y348" s="464">
        <f t="shared" si="188"/>
        <v>0</v>
      </c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  <c r="BI348" s="298"/>
      <c r="BJ348" s="298"/>
      <c r="BK348" s="298"/>
      <c r="BL348" s="298"/>
      <c r="BM348" s="298"/>
      <c r="BN348" s="298"/>
      <c r="BO348" s="298"/>
      <c r="BP348" s="298"/>
      <c r="BQ348" s="298"/>
      <c r="BR348" s="298"/>
      <c r="BS348" s="298"/>
      <c r="BT348" s="298"/>
      <c r="BU348" s="298"/>
    </row>
    <row r="349" spans="1:73" ht="12.75" customHeight="1" x14ac:dyDescent="0.15">
      <c r="A349" s="450" t="s">
        <v>261</v>
      </c>
      <c r="B349" s="450" t="s">
        <v>268</v>
      </c>
      <c r="C349" s="450" t="s">
        <v>228</v>
      </c>
      <c r="D349" s="450" t="s">
        <v>223</v>
      </c>
      <c r="E349" s="456">
        <v>27651</v>
      </c>
      <c r="F349" s="450" t="s">
        <v>262</v>
      </c>
      <c r="G349" s="529">
        <v>37073</v>
      </c>
      <c r="H349" s="459">
        <v>37164</v>
      </c>
      <c r="I349" s="464">
        <v>33000</v>
      </c>
      <c r="M349" s="454"/>
      <c r="N349" s="460"/>
      <c r="O349" s="460"/>
      <c r="P349" s="460"/>
      <c r="Q349" s="460"/>
      <c r="R349" s="460"/>
      <c r="S349" s="460"/>
      <c r="T349" s="543">
        <f t="shared" si="187"/>
        <v>941160</v>
      </c>
      <c r="U349" s="543">
        <f t="shared" si="187"/>
        <v>773388</v>
      </c>
      <c r="V349" s="543">
        <f t="shared" si="187"/>
        <v>380700</v>
      </c>
      <c r="W349" s="543">
        <f t="shared" si="187"/>
        <v>0</v>
      </c>
      <c r="X349" s="543">
        <f t="shared" si="187"/>
        <v>0</v>
      </c>
      <c r="Y349" s="543">
        <f t="shared" si="187"/>
        <v>0</v>
      </c>
    </row>
    <row r="350" spans="1:73" ht="12.75" customHeight="1" x14ac:dyDescent="0.15">
      <c r="I350" s="242">
        <f>SUM(I341:I348)</f>
        <v>292000</v>
      </c>
      <c r="N350" s="242">
        <f t="shared" ref="N350:S350" si="189">SUM(N341:N348)</f>
        <v>6336524</v>
      </c>
      <c r="O350" s="242">
        <f t="shared" si="189"/>
        <v>5086536</v>
      </c>
      <c r="P350" s="242">
        <f t="shared" si="189"/>
        <v>5648510</v>
      </c>
      <c r="Q350" s="242">
        <f t="shared" si="189"/>
        <v>6411600</v>
      </c>
      <c r="R350" s="242">
        <f t="shared" si="189"/>
        <v>6735742</v>
      </c>
      <c r="S350" s="242">
        <f t="shared" si="189"/>
        <v>5918400</v>
      </c>
      <c r="T350" s="242">
        <f t="shared" ref="T350:Y350" si="190">SUM(T341:T349)</f>
        <v>8755640</v>
      </c>
      <c r="U350" s="242">
        <f t="shared" si="190"/>
        <v>7194852</v>
      </c>
      <c r="V350" s="242">
        <f t="shared" si="190"/>
        <v>7334820</v>
      </c>
      <c r="W350" s="242">
        <f t="shared" si="190"/>
        <v>7100984</v>
      </c>
      <c r="X350" s="242">
        <f t="shared" si="190"/>
        <v>6715740</v>
      </c>
      <c r="Y350" s="242">
        <f t="shared" si="190"/>
        <v>5631522</v>
      </c>
    </row>
    <row r="353" spans="1:32" ht="12.75" customHeight="1" x14ac:dyDescent="0.15">
      <c r="A353" s="239" t="s">
        <v>261</v>
      </c>
      <c r="B353" s="239" t="s">
        <v>268</v>
      </c>
      <c r="C353" s="239" t="s">
        <v>229</v>
      </c>
      <c r="D353" s="239" t="s">
        <v>220</v>
      </c>
      <c r="E353" s="261">
        <v>25067</v>
      </c>
      <c r="F353" s="261" t="s">
        <v>262</v>
      </c>
      <c r="H353" s="253">
        <v>37225</v>
      </c>
      <c r="K353" s="251">
        <v>4.3900000000000002E-2</v>
      </c>
      <c r="L353" s="239">
        <v>1.1000000000000001E-3</v>
      </c>
      <c r="M353" s="241" t="s">
        <v>226</v>
      </c>
      <c r="N353" s="242">
        <f t="shared" ref="N353:O358" si="191">N329*($K353+$L353)-N365</f>
        <v>20543.420999999998</v>
      </c>
      <c r="O353" s="242">
        <f t="shared" si="191"/>
        <v>18593.694</v>
      </c>
      <c r="P353" s="242">
        <f t="shared" ref="P353:Y353" si="192">P329*($K353+$L353)-P365</f>
        <v>20584.852500000001</v>
      </c>
      <c r="Q353" s="242">
        <f t="shared" si="192"/>
        <v>19863.900000000001</v>
      </c>
      <c r="R353" s="242">
        <f t="shared" si="192"/>
        <v>20519.380499999999</v>
      </c>
      <c r="S353" s="242">
        <f t="shared" si="192"/>
        <v>19893.599999999999</v>
      </c>
      <c r="T353" s="242">
        <f t="shared" si="192"/>
        <v>20454.419999999998</v>
      </c>
      <c r="U353" s="242">
        <f t="shared" si="192"/>
        <v>20538.306</v>
      </c>
      <c r="V353" s="242">
        <f t="shared" si="192"/>
        <v>19831.23</v>
      </c>
      <c r="W353" s="242">
        <f t="shared" si="192"/>
        <v>20497.385999999999</v>
      </c>
      <c r="X353" s="242">
        <f t="shared" si="192"/>
        <v>19845.584999999999</v>
      </c>
      <c r="Y353" s="452">
        <f t="shared" si="192"/>
        <v>20585.875499999998</v>
      </c>
      <c r="AC353" s="375">
        <f>Y353-2325</f>
        <v>18260.875499999998</v>
      </c>
    </row>
    <row r="354" spans="1:32" ht="12.75" customHeight="1" x14ac:dyDescent="0.15">
      <c r="A354" s="239" t="s">
        <v>261</v>
      </c>
      <c r="B354" s="239" t="s">
        <v>268</v>
      </c>
      <c r="C354" s="239" t="s">
        <v>229</v>
      </c>
      <c r="D354" s="239" t="s">
        <v>220</v>
      </c>
      <c r="E354" s="261">
        <v>26436</v>
      </c>
      <c r="F354" s="261" t="s">
        <v>263</v>
      </c>
      <c r="H354" s="253">
        <v>37925</v>
      </c>
      <c r="K354" s="251">
        <v>4.8899999999999999E-2</v>
      </c>
      <c r="L354" s="239">
        <v>1.1000000000000001E-3</v>
      </c>
      <c r="M354" s="241" t="s">
        <v>226</v>
      </c>
      <c r="N354" s="242">
        <f t="shared" si="191"/>
        <v>89949.122599999988</v>
      </c>
      <c r="O354" s="242">
        <f t="shared" si="191"/>
        <v>81395.196400000001</v>
      </c>
      <c r="P354" s="242">
        <f t="shared" ref="P354:W354" si="193">P330*($K354+$L354)-P366</f>
        <v>90112.08649999999</v>
      </c>
      <c r="Q354" s="242">
        <f t="shared" si="193"/>
        <v>86981.339999999982</v>
      </c>
      <c r="R354" s="242">
        <f t="shared" si="193"/>
        <v>89854.56329999998</v>
      </c>
      <c r="S354" s="242">
        <f t="shared" si="193"/>
        <v>87098.159999999989</v>
      </c>
      <c r="T354" s="242">
        <f t="shared" si="193"/>
        <v>89599.051999999981</v>
      </c>
      <c r="U354" s="242">
        <f t="shared" si="193"/>
        <v>89929.003599999982</v>
      </c>
      <c r="V354" s="242">
        <f t="shared" si="193"/>
        <v>86852.837999999989</v>
      </c>
      <c r="W354" s="242">
        <f t="shared" si="193"/>
        <v>89768.051599999992</v>
      </c>
      <c r="X354" s="242">
        <f>X330*(0.0589+$L354)-X366</f>
        <v>104609.30100000001</v>
      </c>
      <c r="Y354" s="242">
        <f>Y330*(0.0589+$L354)-Y366</f>
        <v>108406.1103</v>
      </c>
    </row>
    <row r="355" spans="1:32" ht="12.75" customHeight="1" x14ac:dyDescent="0.15">
      <c r="A355" s="239" t="s">
        <v>261</v>
      </c>
      <c r="B355" s="239" t="s">
        <v>268</v>
      </c>
      <c r="C355" s="239" t="s">
        <v>229</v>
      </c>
      <c r="D355" s="239" t="s">
        <v>220</v>
      </c>
      <c r="E355" s="261">
        <v>24924</v>
      </c>
      <c r="F355" s="261" t="s">
        <v>264</v>
      </c>
      <c r="H355" s="253">
        <v>38017</v>
      </c>
      <c r="K355" s="251">
        <v>5.67E-2</v>
      </c>
      <c r="L355" s="239">
        <v>3.3E-3</v>
      </c>
      <c r="M355" s="241" t="s">
        <v>226</v>
      </c>
      <c r="N355" s="242">
        <f t="shared" si="191"/>
        <v>44592.105000000003</v>
      </c>
      <c r="O355" s="242">
        <f t="shared" si="191"/>
        <v>40468.47</v>
      </c>
      <c r="P355" s="242">
        <f t="shared" ref="P355:Y355" si="194">P331*($K355+$L355)-P367</f>
        <v>44799.262499999997</v>
      </c>
      <c r="Q355" s="242">
        <f t="shared" si="194"/>
        <v>43069.5</v>
      </c>
      <c r="R355" s="242">
        <f t="shared" si="194"/>
        <v>44471.902499999997</v>
      </c>
      <c r="S355" s="242">
        <f t="shared" si="194"/>
        <v>43218</v>
      </c>
      <c r="T355" s="242">
        <f t="shared" si="194"/>
        <v>44147.1</v>
      </c>
      <c r="U355" s="242">
        <f t="shared" si="194"/>
        <v>44566.53</v>
      </c>
      <c r="V355" s="242">
        <f t="shared" si="194"/>
        <v>42906.15</v>
      </c>
      <c r="W355" s="242">
        <f t="shared" si="194"/>
        <v>44361.93</v>
      </c>
      <c r="X355" s="242">
        <f t="shared" si="194"/>
        <v>42977.925000000003</v>
      </c>
      <c r="Y355" s="242">
        <f t="shared" si="194"/>
        <v>44804.377500000002</v>
      </c>
    </row>
    <row r="356" spans="1:32" ht="12.75" customHeight="1" x14ac:dyDescent="0.15">
      <c r="A356" s="239" t="s">
        <v>261</v>
      </c>
      <c r="B356" s="239" t="s">
        <v>268</v>
      </c>
      <c r="C356" s="239" t="s">
        <v>229</v>
      </c>
      <c r="D356" s="239" t="s">
        <v>220</v>
      </c>
      <c r="E356" s="261">
        <v>26044</v>
      </c>
      <c r="F356" s="261" t="s">
        <v>265</v>
      </c>
      <c r="G356" s="260"/>
      <c r="H356" s="263">
        <v>37925</v>
      </c>
      <c r="K356" s="251">
        <v>2.8899999999999999E-2</v>
      </c>
      <c r="L356" s="239">
        <v>1.1000000000000001E-3</v>
      </c>
      <c r="M356" s="241" t="s">
        <v>226</v>
      </c>
      <c r="N356" s="242">
        <f t="shared" si="191"/>
        <v>76887.718999999997</v>
      </c>
      <c r="O356" s="242">
        <f t="shared" si="191"/>
        <v>69664.266000000003</v>
      </c>
      <c r="P356" s="242">
        <f t="shared" ref="P356:Y356" si="195">P332*($K356+$L356)-P368</f>
        <v>77122.497499999998</v>
      </c>
      <c r="Q356" s="242">
        <f t="shared" si="195"/>
        <v>74312.100000000006</v>
      </c>
      <c r="R356" s="242">
        <f t="shared" si="195"/>
        <v>76751.489499999996</v>
      </c>
      <c r="S356" s="242">
        <f t="shared" si="195"/>
        <v>74480.399999999994</v>
      </c>
      <c r="T356" s="242">
        <f t="shared" si="195"/>
        <v>76383.38</v>
      </c>
      <c r="U356" s="242">
        <f t="shared" si="195"/>
        <v>76858.733999999997</v>
      </c>
      <c r="V356" s="242">
        <f t="shared" si="195"/>
        <v>74126.97</v>
      </c>
      <c r="W356" s="242">
        <f t="shared" si="195"/>
        <v>76626.854000000007</v>
      </c>
      <c r="X356" s="242">
        <f t="shared" si="195"/>
        <v>74208.315000000002</v>
      </c>
      <c r="Y356" s="242">
        <f t="shared" si="195"/>
        <v>77128.294500000004</v>
      </c>
    </row>
    <row r="357" spans="1:32" ht="12.75" customHeight="1" x14ac:dyDescent="0.15">
      <c r="A357" s="239" t="s">
        <v>261</v>
      </c>
      <c r="B357" s="239" t="s">
        <v>268</v>
      </c>
      <c r="C357" s="239" t="s">
        <v>229</v>
      </c>
      <c r="D357" s="239" t="s">
        <v>220</v>
      </c>
      <c r="E357" s="262">
        <v>24925</v>
      </c>
      <c r="F357" s="262" t="s">
        <v>266</v>
      </c>
      <c r="G357" s="234"/>
      <c r="H357" s="264">
        <v>38017</v>
      </c>
      <c r="K357" s="251">
        <v>5.67E-2</v>
      </c>
      <c r="L357" s="239">
        <v>3.3E-3</v>
      </c>
      <c r="M357" s="241" t="s">
        <v>226</v>
      </c>
      <c r="N357" s="242">
        <f t="shared" si="191"/>
        <v>89184.21</v>
      </c>
      <c r="O357" s="242">
        <f t="shared" si="191"/>
        <v>80936.94</v>
      </c>
      <c r="P357" s="242">
        <f t="shared" ref="P357:Y357" si="196">P333*($K357+$L357)-P369</f>
        <v>89598.524999999994</v>
      </c>
      <c r="Q357" s="242">
        <f t="shared" si="196"/>
        <v>86139</v>
      </c>
      <c r="R357" s="242">
        <f t="shared" si="196"/>
        <v>88943.804999999993</v>
      </c>
      <c r="S357" s="242">
        <f t="shared" si="196"/>
        <v>86436</v>
      </c>
      <c r="T357" s="242">
        <f t="shared" si="196"/>
        <v>88294.2</v>
      </c>
      <c r="U357" s="242">
        <f t="shared" si="196"/>
        <v>89133.06</v>
      </c>
      <c r="V357" s="242">
        <f t="shared" si="196"/>
        <v>85812.3</v>
      </c>
      <c r="W357" s="242">
        <f t="shared" si="196"/>
        <v>88723.86</v>
      </c>
      <c r="X357" s="242">
        <f t="shared" si="196"/>
        <v>85955.85</v>
      </c>
      <c r="Y357" s="242">
        <f t="shared" si="196"/>
        <v>89608.755000000005</v>
      </c>
    </row>
    <row r="358" spans="1:32" ht="12.75" customHeight="1" x14ac:dyDescent="0.15">
      <c r="A358" s="239" t="s">
        <v>261</v>
      </c>
      <c r="B358" s="239" t="s">
        <v>268</v>
      </c>
      <c r="C358" s="239" t="s">
        <v>229</v>
      </c>
      <c r="D358" s="239" t="s">
        <v>220</v>
      </c>
      <c r="E358" s="261">
        <v>25397</v>
      </c>
      <c r="F358" s="261" t="s">
        <v>267</v>
      </c>
      <c r="G358" s="261"/>
      <c r="H358" s="263">
        <v>37711</v>
      </c>
      <c r="I358" s="246"/>
      <c r="K358" s="244">
        <v>2.8899999999999999E-2</v>
      </c>
      <c r="L358" s="243">
        <v>1.1000000000000001E-3</v>
      </c>
      <c r="M358" s="241" t="s">
        <v>226</v>
      </c>
      <c r="N358" s="242">
        <f t="shared" si="191"/>
        <v>9045.6139999999996</v>
      </c>
      <c r="O358" s="242">
        <f t="shared" si="191"/>
        <v>8195.7960000000003</v>
      </c>
      <c r="P358" s="242">
        <f t="shared" ref="P358:Y358" si="197">P334*($K358+$L358)-P370</f>
        <v>9073.2350000000006</v>
      </c>
      <c r="Q358" s="242">
        <f t="shared" si="197"/>
        <v>8742.6</v>
      </c>
      <c r="R358" s="242">
        <f t="shared" si="197"/>
        <v>9029.5869999999995</v>
      </c>
      <c r="S358" s="242">
        <f t="shared" si="197"/>
        <v>8762.4</v>
      </c>
      <c r="T358" s="242">
        <f t="shared" si="197"/>
        <v>8986.2800000000007</v>
      </c>
      <c r="U358" s="242">
        <f t="shared" si="197"/>
        <v>9042.2039999999997</v>
      </c>
      <c r="V358" s="242">
        <f t="shared" si="197"/>
        <v>8720.82</v>
      </c>
      <c r="W358" s="242">
        <f t="shared" si="197"/>
        <v>9014.9239999999991</v>
      </c>
      <c r="X358" s="242">
        <f t="shared" si="197"/>
        <v>8730.39</v>
      </c>
      <c r="Y358" s="242">
        <f t="shared" si="197"/>
        <v>9073.9169999999995</v>
      </c>
    </row>
    <row r="359" spans="1:32" ht="12.75" customHeight="1" x14ac:dyDescent="0.15">
      <c r="A359" s="471" t="s">
        <v>261</v>
      </c>
      <c r="B359" s="471" t="s">
        <v>268</v>
      </c>
      <c r="C359" s="471" t="s">
        <v>229</v>
      </c>
      <c r="D359" s="471" t="s">
        <v>220</v>
      </c>
      <c r="E359" s="530">
        <v>27342</v>
      </c>
      <c r="F359" s="523" t="s">
        <v>239</v>
      </c>
      <c r="G359" s="533">
        <v>36892</v>
      </c>
      <c r="H359" s="525">
        <v>37256</v>
      </c>
      <c r="I359" s="524"/>
      <c r="J359" s="471"/>
      <c r="K359" s="532">
        <v>5.8900000000000001E-2</v>
      </c>
      <c r="L359" s="523">
        <v>1.1000000000000001E-3</v>
      </c>
      <c r="M359" s="475" t="s">
        <v>226</v>
      </c>
      <c r="N359" s="473">
        <f>N335*($K359+$L359)-N371</f>
        <v>55036.841999999997</v>
      </c>
      <c r="O359" s="473">
        <f t="shared" ref="O359:Y361" si="198">O335*($K359+$L359)-O371</f>
        <v>49787.387999999999</v>
      </c>
      <c r="P359" s="473">
        <f t="shared" si="198"/>
        <v>55119.705000000002</v>
      </c>
      <c r="Q359" s="473">
        <f t="shared" si="198"/>
        <v>53227.8</v>
      </c>
      <c r="R359" s="473">
        <f t="shared" si="198"/>
        <v>54988.760999999999</v>
      </c>
      <c r="S359" s="473">
        <f t="shared" si="198"/>
        <v>53287.199999999997</v>
      </c>
      <c r="T359" s="473">
        <f t="shared" si="198"/>
        <v>54858.84</v>
      </c>
      <c r="U359" s="473">
        <f t="shared" si="198"/>
        <v>55026.612000000001</v>
      </c>
      <c r="V359" s="473">
        <f t="shared" si="198"/>
        <v>53162.46</v>
      </c>
      <c r="W359" s="473">
        <f t="shared" si="198"/>
        <v>54944.771999999997</v>
      </c>
      <c r="X359" s="473">
        <f t="shared" si="198"/>
        <v>53191.17</v>
      </c>
      <c r="Y359" s="473">
        <f t="shared" si="198"/>
        <v>55121.750999999997</v>
      </c>
      <c r="Z359" s="375"/>
      <c r="AC359" s="375">
        <f>SUM(N359:Y359)</f>
        <v>647753.30100000009</v>
      </c>
    </row>
    <row r="360" spans="1:32" ht="12.75" customHeight="1" x14ac:dyDescent="0.15">
      <c r="A360" s="450" t="s">
        <v>261</v>
      </c>
      <c r="B360" s="450" t="s">
        <v>268</v>
      </c>
      <c r="C360" s="450" t="s">
        <v>229</v>
      </c>
      <c r="D360" s="450" t="s">
        <v>220</v>
      </c>
      <c r="E360" s="456">
        <v>26661</v>
      </c>
      <c r="F360" s="450" t="s">
        <v>236</v>
      </c>
      <c r="G360" s="450" t="s">
        <v>374</v>
      </c>
      <c r="H360" s="459"/>
      <c r="I360" s="464"/>
      <c r="K360" s="251">
        <v>3.8899999999999997E-2</v>
      </c>
      <c r="L360" s="239">
        <v>1.1000000000000001E-3</v>
      </c>
      <c r="M360" s="454" t="s">
        <v>226</v>
      </c>
      <c r="N360" s="464">
        <f>N336*($K360+$L360)-N372</f>
        <v>0</v>
      </c>
      <c r="O360" s="464">
        <f t="shared" ref="O360:Y360" si="199">O336*($K360+$L360)-O372</f>
        <v>0</v>
      </c>
      <c r="P360" s="464">
        <f t="shared" si="199"/>
        <v>0</v>
      </c>
      <c r="Q360" s="464">
        <f t="shared" si="199"/>
        <v>0</v>
      </c>
      <c r="R360" s="464">
        <f t="shared" si="199"/>
        <v>0</v>
      </c>
      <c r="S360" s="464">
        <f t="shared" si="199"/>
        <v>0</v>
      </c>
      <c r="T360" s="464">
        <f t="shared" si="199"/>
        <v>0</v>
      </c>
      <c r="U360" s="464">
        <f t="shared" si="199"/>
        <v>0</v>
      </c>
      <c r="V360" s="464">
        <f t="shared" si="199"/>
        <v>0</v>
      </c>
      <c r="W360" s="464">
        <f t="shared" si="199"/>
        <v>0</v>
      </c>
      <c r="X360" s="464">
        <f t="shared" si="199"/>
        <v>0</v>
      </c>
      <c r="Y360" s="464">
        <f t="shared" si="199"/>
        <v>0</v>
      </c>
      <c r="AC360" s="375">
        <f>SUM(N360:Y360)</f>
        <v>0</v>
      </c>
    </row>
    <row r="361" spans="1:32" ht="12.75" customHeight="1" x14ac:dyDescent="0.15">
      <c r="A361" s="450" t="s">
        <v>261</v>
      </c>
      <c r="B361" s="450" t="s">
        <v>268</v>
      </c>
      <c r="C361" s="450" t="s">
        <v>229</v>
      </c>
      <c r="D361" s="450" t="s">
        <v>220</v>
      </c>
      <c r="E361" s="456">
        <v>27651</v>
      </c>
      <c r="F361" s="450" t="s">
        <v>262</v>
      </c>
      <c r="G361" s="529">
        <v>37073</v>
      </c>
      <c r="H361" s="459">
        <v>37164</v>
      </c>
      <c r="I361" s="464"/>
      <c r="K361" s="251">
        <v>0.10199999999999999</v>
      </c>
      <c r="L361" s="239">
        <v>1.1000000000000001E-3</v>
      </c>
      <c r="M361" s="454" t="s">
        <v>232</v>
      </c>
      <c r="N361" s="460"/>
      <c r="O361" s="460"/>
      <c r="P361" s="460"/>
      <c r="Q361" s="460"/>
      <c r="R361" s="460"/>
      <c r="S361" s="460"/>
      <c r="T361" s="543">
        <f t="shared" si="198"/>
        <v>104436.024</v>
      </c>
      <c r="U361" s="543">
        <f t="shared" si="198"/>
        <v>104620.5732</v>
      </c>
      <c r="V361" s="543">
        <f>V337*($K361)</f>
        <v>45900</v>
      </c>
      <c r="W361" s="543">
        <f t="shared" si="198"/>
        <v>0</v>
      </c>
      <c r="X361" s="543">
        <f t="shared" si="198"/>
        <v>0</v>
      </c>
      <c r="Y361" s="543">
        <f t="shared" si="198"/>
        <v>0</v>
      </c>
      <c r="AC361" s="375"/>
    </row>
    <row r="362" spans="1:32" ht="12.75" customHeight="1" x14ac:dyDescent="0.15">
      <c r="N362" s="242">
        <f t="shared" ref="N362:S362" si="200">SUM(N353:N360)</f>
        <v>385239.03360000002</v>
      </c>
      <c r="O362" s="242">
        <f t="shared" si="200"/>
        <v>349041.75039999996</v>
      </c>
      <c r="P362" s="242">
        <f t="shared" si="200"/>
        <v>386410.16399999993</v>
      </c>
      <c r="Q362" s="242">
        <f t="shared" si="200"/>
        <v>372336.23999999993</v>
      </c>
      <c r="R362" s="242">
        <f t="shared" si="200"/>
        <v>384559.48879999993</v>
      </c>
      <c r="S362" s="242">
        <f t="shared" si="200"/>
        <v>373175.76</v>
      </c>
      <c r="T362" s="242">
        <f t="shared" ref="T362:Y362" si="201">SUM(T353:T361)</f>
        <v>487159.29599999997</v>
      </c>
      <c r="U362" s="242">
        <f t="shared" si="201"/>
        <v>489715.02279999998</v>
      </c>
      <c r="V362" s="242">
        <f t="shared" si="201"/>
        <v>417312.76800000004</v>
      </c>
      <c r="W362" s="242">
        <f t="shared" si="201"/>
        <v>383937.77759999997</v>
      </c>
      <c r="X362" s="242">
        <f t="shared" si="201"/>
        <v>389518.53600000002</v>
      </c>
      <c r="Y362" s="242">
        <f t="shared" si="201"/>
        <v>404729.0808</v>
      </c>
      <c r="Z362" s="375">
        <f>SUM(N362:Y362)</f>
        <v>4823134.9179999996</v>
      </c>
    </row>
    <row r="364" spans="1:32" ht="12.75" customHeight="1" x14ac:dyDescent="0.15">
      <c r="AC364" s="375">
        <f>Y365</f>
        <v>339.12450000000001</v>
      </c>
      <c r="AD364" s="375">
        <f>AC364</f>
        <v>339.12450000000001</v>
      </c>
    </row>
    <row r="365" spans="1:32" ht="12.75" customHeight="1" x14ac:dyDescent="0.15">
      <c r="A365" s="239" t="s">
        <v>261</v>
      </c>
      <c r="B365" s="239" t="s">
        <v>268</v>
      </c>
      <c r="C365" s="239" t="s">
        <v>229</v>
      </c>
      <c r="D365" s="239" t="s">
        <v>223</v>
      </c>
      <c r="E365" s="261">
        <v>25067</v>
      </c>
      <c r="F365" s="261" t="s">
        <v>262</v>
      </c>
      <c r="H365" s="253">
        <v>37225</v>
      </c>
      <c r="K365" s="251">
        <v>4.3900000000000002E-2</v>
      </c>
      <c r="L365" s="239">
        <v>1.1000000000000001E-3</v>
      </c>
      <c r="M365" s="241" t="s">
        <v>226</v>
      </c>
      <c r="N365" s="242">
        <f t="shared" ref="N365:N372" si="202">N341*$L365</f>
        <v>381.57900000000001</v>
      </c>
      <c r="O365" s="242">
        <f t="shared" ref="O365:Y365" si="203">O341*$L365</f>
        <v>306.30600000000004</v>
      </c>
      <c r="P365" s="242">
        <f t="shared" si="203"/>
        <v>340.14750000000004</v>
      </c>
      <c r="Q365" s="242">
        <f t="shared" si="203"/>
        <v>386.1</v>
      </c>
      <c r="R365" s="242">
        <f t="shared" si="203"/>
        <v>405.61950000000002</v>
      </c>
      <c r="S365" s="242">
        <f t="shared" si="203"/>
        <v>356.40000000000003</v>
      </c>
      <c r="T365" s="242">
        <f t="shared" si="203"/>
        <v>470.58000000000004</v>
      </c>
      <c r="U365" s="242">
        <f t="shared" si="203"/>
        <v>386.69400000000002</v>
      </c>
      <c r="V365" s="242">
        <f t="shared" si="203"/>
        <v>418.77000000000004</v>
      </c>
      <c r="W365" s="242">
        <f t="shared" si="203"/>
        <v>427.61400000000003</v>
      </c>
      <c r="X365" s="242">
        <f t="shared" si="203"/>
        <v>404.41500000000002</v>
      </c>
      <c r="Y365" s="452">
        <f t="shared" si="203"/>
        <v>339.12450000000001</v>
      </c>
      <c r="AD365" s="375">
        <f t="shared" ref="AD365:AD374" si="204">AC365</f>
        <v>0</v>
      </c>
      <c r="AF365" s="375">
        <f>SUM(N365:Y365)-Y365</f>
        <v>4284.2250000000004</v>
      </c>
    </row>
    <row r="366" spans="1:32" ht="12.75" customHeight="1" x14ac:dyDescent="0.15">
      <c r="A366" s="239" t="s">
        <v>261</v>
      </c>
      <c r="B366" s="239" t="s">
        <v>268</v>
      </c>
      <c r="C366" s="239" t="s">
        <v>229</v>
      </c>
      <c r="D366" s="239" t="s">
        <v>223</v>
      </c>
      <c r="E366" s="261">
        <v>26436</v>
      </c>
      <c r="F366" s="261" t="s">
        <v>263</v>
      </c>
      <c r="H366" s="253">
        <v>37925</v>
      </c>
      <c r="K366" s="251">
        <v>4.8899999999999999E-2</v>
      </c>
      <c r="L366" s="239">
        <v>1.1000000000000001E-3</v>
      </c>
      <c r="M366" s="241" t="s">
        <v>226</v>
      </c>
      <c r="N366" s="242">
        <f t="shared" si="202"/>
        <v>1500.8774000000001</v>
      </c>
      <c r="O366" s="242">
        <f t="shared" ref="O366:Y366" si="205">O342*$L366</f>
        <v>1204.8036</v>
      </c>
      <c r="P366" s="242">
        <f t="shared" si="205"/>
        <v>1337.9135000000001</v>
      </c>
      <c r="Q366" s="242">
        <f t="shared" si="205"/>
        <v>1518.66</v>
      </c>
      <c r="R366" s="242">
        <f t="shared" si="205"/>
        <v>1595.4367000000002</v>
      </c>
      <c r="S366" s="242">
        <f t="shared" si="205"/>
        <v>1401.8400000000001</v>
      </c>
      <c r="T366" s="242">
        <f t="shared" si="205"/>
        <v>1850.9480000000001</v>
      </c>
      <c r="U366" s="242">
        <f t="shared" si="205"/>
        <v>1520.9964</v>
      </c>
      <c r="V366" s="242">
        <f t="shared" si="205"/>
        <v>1647.162</v>
      </c>
      <c r="W366" s="242">
        <f t="shared" si="205"/>
        <v>1681.9484</v>
      </c>
      <c r="X366" s="242">
        <f t="shared" si="205"/>
        <v>1590.6990000000001</v>
      </c>
      <c r="Y366" s="242">
        <f t="shared" si="205"/>
        <v>1333.8897000000002</v>
      </c>
      <c r="AD366" s="375">
        <f t="shared" si="204"/>
        <v>0</v>
      </c>
      <c r="AF366" s="375">
        <f>SUM(N366:Y366)</f>
        <v>18185.1747</v>
      </c>
    </row>
    <row r="367" spans="1:32" ht="12.75" customHeight="1" x14ac:dyDescent="0.15">
      <c r="A367" s="239" t="s">
        <v>261</v>
      </c>
      <c r="B367" s="239" t="s">
        <v>268</v>
      </c>
      <c r="C367" s="239" t="s">
        <v>229</v>
      </c>
      <c r="D367" s="239" t="s">
        <v>223</v>
      </c>
      <c r="E367" s="261">
        <v>24924</v>
      </c>
      <c r="F367" s="261" t="s">
        <v>264</v>
      </c>
      <c r="H367" s="253">
        <v>38017</v>
      </c>
      <c r="K367" s="251">
        <v>5.67E-2</v>
      </c>
      <c r="L367" s="239">
        <v>3.3E-3</v>
      </c>
      <c r="M367" s="241" t="s">
        <v>226</v>
      </c>
      <c r="N367" s="242">
        <f t="shared" si="202"/>
        <v>1907.895</v>
      </c>
      <c r="O367" s="242">
        <f t="shared" ref="O367:Y367" si="206">O343*$L367</f>
        <v>1531.53</v>
      </c>
      <c r="P367" s="242">
        <f t="shared" si="206"/>
        <v>1700.7375</v>
      </c>
      <c r="Q367" s="242">
        <f t="shared" si="206"/>
        <v>1930.5</v>
      </c>
      <c r="R367" s="242">
        <f t="shared" si="206"/>
        <v>2028.0975000000001</v>
      </c>
      <c r="S367" s="242">
        <f t="shared" si="206"/>
        <v>1782</v>
      </c>
      <c r="T367" s="242">
        <f t="shared" si="206"/>
        <v>2352.9</v>
      </c>
      <c r="U367" s="242">
        <f t="shared" si="206"/>
        <v>1933.47</v>
      </c>
      <c r="V367" s="242">
        <f t="shared" si="206"/>
        <v>2093.85</v>
      </c>
      <c r="W367" s="242">
        <f t="shared" si="206"/>
        <v>2138.0700000000002</v>
      </c>
      <c r="X367" s="242">
        <f t="shared" si="206"/>
        <v>2022.075</v>
      </c>
      <c r="Y367" s="242">
        <f t="shared" si="206"/>
        <v>1695.6224999999999</v>
      </c>
      <c r="AD367" s="375">
        <f t="shared" si="204"/>
        <v>0</v>
      </c>
      <c r="AF367" s="375">
        <f>SUM(N367:Y367)</f>
        <v>23116.747500000001</v>
      </c>
    </row>
    <row r="368" spans="1:32" ht="12.75" customHeight="1" x14ac:dyDescent="0.15">
      <c r="A368" s="239" t="s">
        <v>261</v>
      </c>
      <c r="B368" s="239" t="s">
        <v>268</v>
      </c>
      <c r="C368" s="239" t="s">
        <v>229</v>
      </c>
      <c r="D368" s="239" t="s">
        <v>223</v>
      </c>
      <c r="E368" s="261">
        <v>26044</v>
      </c>
      <c r="F368" s="261" t="s">
        <v>265</v>
      </c>
      <c r="G368" s="260"/>
      <c r="H368" s="263">
        <v>37925</v>
      </c>
      <c r="K368" s="251">
        <v>2.8899999999999999E-2</v>
      </c>
      <c r="L368" s="239">
        <v>1.1000000000000001E-3</v>
      </c>
      <c r="M368" s="241" t="s">
        <v>226</v>
      </c>
      <c r="N368" s="242">
        <f t="shared" si="202"/>
        <v>2162.2809999999999</v>
      </c>
      <c r="O368" s="242">
        <f t="shared" ref="O368:Y368" si="207">O344*$L368</f>
        <v>1735.7340000000002</v>
      </c>
      <c r="P368" s="242">
        <f t="shared" si="207"/>
        <v>1927.5025000000001</v>
      </c>
      <c r="Q368" s="242">
        <f t="shared" si="207"/>
        <v>2187.9</v>
      </c>
      <c r="R368" s="242">
        <f t="shared" si="207"/>
        <v>2298.5105000000003</v>
      </c>
      <c r="S368" s="242">
        <f t="shared" si="207"/>
        <v>2019.6000000000001</v>
      </c>
      <c r="T368" s="242">
        <f t="shared" si="207"/>
        <v>2666.6200000000003</v>
      </c>
      <c r="U368" s="242">
        <f t="shared" si="207"/>
        <v>2191.2660000000001</v>
      </c>
      <c r="V368" s="242">
        <f t="shared" si="207"/>
        <v>2373.0300000000002</v>
      </c>
      <c r="W368" s="242">
        <f t="shared" si="207"/>
        <v>2423.1460000000002</v>
      </c>
      <c r="X368" s="242">
        <f t="shared" si="207"/>
        <v>2291.6849999999999</v>
      </c>
      <c r="Y368" s="242">
        <f t="shared" si="207"/>
        <v>1921.7055</v>
      </c>
      <c r="AD368" s="375">
        <f t="shared" si="204"/>
        <v>0</v>
      </c>
      <c r="AF368" s="375">
        <f>SUM(N368:Y368)</f>
        <v>26198.980500000001</v>
      </c>
    </row>
    <row r="369" spans="1:58" ht="12.75" customHeight="1" x14ac:dyDescent="0.15">
      <c r="A369" s="239" t="s">
        <v>261</v>
      </c>
      <c r="B369" s="239" t="s">
        <v>268</v>
      </c>
      <c r="C369" s="239" t="s">
        <v>229</v>
      </c>
      <c r="D369" s="239" t="s">
        <v>223</v>
      </c>
      <c r="E369" s="262">
        <v>24925</v>
      </c>
      <c r="F369" s="262" t="s">
        <v>266</v>
      </c>
      <c r="G369" s="234"/>
      <c r="H369" s="264">
        <v>38017</v>
      </c>
      <c r="K369" s="251">
        <v>5.67E-2</v>
      </c>
      <c r="L369" s="239">
        <v>3.3E-3</v>
      </c>
      <c r="M369" s="241" t="s">
        <v>226</v>
      </c>
      <c r="N369" s="242">
        <f t="shared" si="202"/>
        <v>3815.79</v>
      </c>
      <c r="O369" s="242">
        <f t="shared" ref="O369:Y369" si="208">O345*$L369</f>
        <v>3063.06</v>
      </c>
      <c r="P369" s="242">
        <f t="shared" si="208"/>
        <v>3401.4749999999999</v>
      </c>
      <c r="Q369" s="242">
        <f t="shared" si="208"/>
        <v>3861</v>
      </c>
      <c r="R369" s="242">
        <f t="shared" si="208"/>
        <v>4056.1950000000002</v>
      </c>
      <c r="S369" s="242">
        <f t="shared" si="208"/>
        <v>3564</v>
      </c>
      <c r="T369" s="242">
        <f t="shared" si="208"/>
        <v>4705.8</v>
      </c>
      <c r="U369" s="242">
        <f t="shared" si="208"/>
        <v>3866.94</v>
      </c>
      <c r="V369" s="242">
        <f t="shared" si="208"/>
        <v>4187.7</v>
      </c>
      <c r="W369" s="242">
        <f t="shared" si="208"/>
        <v>4276.1400000000003</v>
      </c>
      <c r="X369" s="242">
        <f t="shared" si="208"/>
        <v>4044.15</v>
      </c>
      <c r="Y369" s="242">
        <f t="shared" si="208"/>
        <v>3391.2449999999999</v>
      </c>
      <c r="AD369" s="375">
        <f t="shared" si="204"/>
        <v>0</v>
      </c>
      <c r="AF369" s="375">
        <f>SUM(N369:Y369)</f>
        <v>46233.495000000003</v>
      </c>
    </row>
    <row r="370" spans="1:58" ht="12.75" customHeight="1" x14ac:dyDescent="0.15">
      <c r="A370" s="239" t="s">
        <v>261</v>
      </c>
      <c r="B370" s="239" t="s">
        <v>268</v>
      </c>
      <c r="C370" s="239" t="s">
        <v>229</v>
      </c>
      <c r="D370" s="239" t="s">
        <v>223</v>
      </c>
      <c r="E370" s="261">
        <v>25397</v>
      </c>
      <c r="F370" s="261" t="s">
        <v>267</v>
      </c>
      <c r="G370" s="261"/>
      <c r="H370" s="263">
        <v>37711</v>
      </c>
      <c r="I370" s="246"/>
      <c r="K370" s="244">
        <v>2.8899999999999999E-2</v>
      </c>
      <c r="L370" s="243">
        <v>1.1000000000000001E-3</v>
      </c>
      <c r="M370" s="241" t="s">
        <v>226</v>
      </c>
      <c r="N370" s="242">
        <f t="shared" si="202"/>
        <v>254.38600000000002</v>
      </c>
      <c r="O370" s="242">
        <f t="shared" ref="O370:Y370" si="209">O346*$L370</f>
        <v>204.20400000000001</v>
      </c>
      <c r="P370" s="242">
        <f t="shared" si="209"/>
        <v>226.76500000000001</v>
      </c>
      <c r="Q370" s="242">
        <f t="shared" si="209"/>
        <v>257.40000000000003</v>
      </c>
      <c r="R370" s="242">
        <f t="shared" si="209"/>
        <v>270.41300000000001</v>
      </c>
      <c r="S370" s="242">
        <f t="shared" si="209"/>
        <v>237.60000000000002</v>
      </c>
      <c r="T370" s="242">
        <f t="shared" si="209"/>
        <v>313.72000000000003</v>
      </c>
      <c r="U370" s="242">
        <f t="shared" si="209"/>
        <v>257.79599999999999</v>
      </c>
      <c r="V370" s="242">
        <f t="shared" si="209"/>
        <v>279.18</v>
      </c>
      <c r="W370" s="242">
        <f t="shared" si="209"/>
        <v>285.07600000000002</v>
      </c>
      <c r="X370" s="242">
        <f t="shared" si="209"/>
        <v>269.60999999999996</v>
      </c>
      <c r="Y370" s="242">
        <f t="shared" si="209"/>
        <v>226.08300000000003</v>
      </c>
      <c r="AD370" s="375">
        <f t="shared" si="204"/>
        <v>0</v>
      </c>
      <c r="AF370" s="375">
        <f>SUM(N370:Y370)</f>
        <v>3082.2330000000002</v>
      </c>
    </row>
    <row r="371" spans="1:58" ht="12.75" customHeight="1" x14ac:dyDescent="0.15">
      <c r="A371" s="450" t="s">
        <v>261</v>
      </c>
      <c r="B371" s="450" t="s">
        <v>268</v>
      </c>
      <c r="C371" s="471" t="s">
        <v>229</v>
      </c>
      <c r="D371" s="471" t="s">
        <v>223</v>
      </c>
      <c r="E371" s="530">
        <v>27342</v>
      </c>
      <c r="F371" s="523" t="s">
        <v>239</v>
      </c>
      <c r="G371" s="533">
        <v>36892</v>
      </c>
      <c r="H371" s="525">
        <v>37256</v>
      </c>
      <c r="I371" s="473"/>
      <c r="J371" s="471"/>
      <c r="K371" s="532">
        <v>5.8900000000000001E-2</v>
      </c>
      <c r="L371" s="523">
        <v>1.1000000000000001E-3</v>
      </c>
      <c r="M371" s="475" t="s">
        <v>226</v>
      </c>
      <c r="N371" s="473">
        <f t="shared" si="202"/>
        <v>763.15800000000002</v>
      </c>
      <c r="O371" s="473">
        <f t="shared" ref="O371:Y373" si="210">O347*$L371</f>
        <v>612.61200000000008</v>
      </c>
      <c r="P371" s="473">
        <f t="shared" si="210"/>
        <v>680.29500000000007</v>
      </c>
      <c r="Q371" s="473">
        <f t="shared" si="210"/>
        <v>772.2</v>
      </c>
      <c r="R371" s="473">
        <f t="shared" si="210"/>
        <v>811.23900000000003</v>
      </c>
      <c r="S371" s="473">
        <f t="shared" si="210"/>
        <v>712.80000000000007</v>
      </c>
      <c r="T371" s="473">
        <f t="shared" si="210"/>
        <v>941.16000000000008</v>
      </c>
      <c r="U371" s="473">
        <f t="shared" si="210"/>
        <v>773.38800000000003</v>
      </c>
      <c r="V371" s="473">
        <f t="shared" si="210"/>
        <v>837.54000000000008</v>
      </c>
      <c r="W371" s="473">
        <f t="shared" si="210"/>
        <v>855.22800000000007</v>
      </c>
      <c r="X371" s="473">
        <f t="shared" si="210"/>
        <v>808.83</v>
      </c>
      <c r="Y371" s="473">
        <f t="shared" si="210"/>
        <v>678.24900000000002</v>
      </c>
      <c r="AC371" s="375">
        <f>SUM(N371:Y371)</f>
        <v>9246.6990000000005</v>
      </c>
      <c r="AD371" s="375">
        <f t="shared" si="204"/>
        <v>9246.6990000000005</v>
      </c>
      <c r="AF371" s="375"/>
    </row>
    <row r="372" spans="1:58" ht="12.75" customHeight="1" x14ac:dyDescent="0.15">
      <c r="A372" s="450" t="s">
        <v>261</v>
      </c>
      <c r="B372" s="450" t="s">
        <v>268</v>
      </c>
      <c r="C372" s="450" t="s">
        <v>229</v>
      </c>
      <c r="D372" s="450" t="s">
        <v>223</v>
      </c>
      <c r="E372" s="456">
        <v>26661</v>
      </c>
      <c r="F372" s="450" t="s">
        <v>236</v>
      </c>
      <c r="G372" s="450" t="s">
        <v>374</v>
      </c>
      <c r="H372" s="459"/>
      <c r="I372" s="246"/>
      <c r="K372" s="251">
        <v>3.8899999999999997E-2</v>
      </c>
      <c r="L372" s="239">
        <v>1.1000000000000001E-3</v>
      </c>
      <c r="M372" s="454" t="s">
        <v>226</v>
      </c>
      <c r="N372" s="464">
        <f t="shared" si="202"/>
        <v>0</v>
      </c>
      <c r="O372" s="464">
        <f t="shared" ref="O372:Y372" si="211">O348*$L372</f>
        <v>0</v>
      </c>
      <c r="P372" s="464">
        <f t="shared" si="211"/>
        <v>0</v>
      </c>
      <c r="Q372" s="464">
        <f t="shared" si="211"/>
        <v>0</v>
      </c>
      <c r="R372" s="464">
        <f t="shared" si="211"/>
        <v>0</v>
      </c>
      <c r="S372" s="464">
        <f t="shared" si="211"/>
        <v>0</v>
      </c>
      <c r="T372" s="464">
        <f t="shared" si="211"/>
        <v>0</v>
      </c>
      <c r="U372" s="464">
        <f t="shared" si="211"/>
        <v>0</v>
      </c>
      <c r="V372" s="464">
        <f t="shared" si="211"/>
        <v>0</v>
      </c>
      <c r="W372" s="464">
        <f t="shared" si="211"/>
        <v>0</v>
      </c>
      <c r="X372" s="464">
        <f t="shared" si="211"/>
        <v>0</v>
      </c>
      <c r="Y372" s="464">
        <f t="shared" si="211"/>
        <v>0</v>
      </c>
      <c r="Z372" s="298"/>
      <c r="AA372" s="298"/>
      <c r="AB372" s="298"/>
      <c r="AC372" s="610">
        <f>SUM(N372:Y372)</f>
        <v>0</v>
      </c>
      <c r="AD372" s="610">
        <f t="shared" si="204"/>
        <v>0</v>
      </c>
      <c r="AE372" s="298"/>
      <c r="AF372" s="610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</row>
    <row r="373" spans="1:58" ht="12.75" customHeight="1" x14ac:dyDescent="0.15">
      <c r="A373" s="450" t="s">
        <v>261</v>
      </c>
      <c r="B373" s="450" t="s">
        <v>268</v>
      </c>
      <c r="C373" s="450" t="s">
        <v>229</v>
      </c>
      <c r="D373" s="450" t="s">
        <v>223</v>
      </c>
      <c r="E373" s="456">
        <v>27651</v>
      </c>
      <c r="F373" s="450" t="s">
        <v>262</v>
      </c>
      <c r="G373" s="529">
        <v>37073</v>
      </c>
      <c r="H373" s="459">
        <v>37164</v>
      </c>
      <c r="I373" s="246"/>
      <c r="K373" s="251">
        <v>0.10199999999999999</v>
      </c>
      <c r="L373" s="239">
        <v>1.1000000000000001E-3</v>
      </c>
      <c r="M373" s="454" t="s">
        <v>232</v>
      </c>
      <c r="N373" s="460"/>
      <c r="O373" s="460"/>
      <c r="P373" s="460"/>
      <c r="Q373" s="460"/>
      <c r="R373" s="460"/>
      <c r="S373" s="460"/>
      <c r="T373" s="543">
        <f t="shared" si="210"/>
        <v>1035.2760000000001</v>
      </c>
      <c r="U373" s="543">
        <f t="shared" si="210"/>
        <v>850.72680000000003</v>
      </c>
      <c r="V373" s="543">
        <f>V349*$L373</f>
        <v>418.77000000000004</v>
      </c>
      <c r="W373" s="543">
        <f t="shared" si="210"/>
        <v>0</v>
      </c>
      <c r="X373" s="543">
        <f t="shared" si="210"/>
        <v>0</v>
      </c>
      <c r="Y373" s="543">
        <f t="shared" si="210"/>
        <v>0</v>
      </c>
      <c r="Z373" s="298"/>
      <c r="AA373" s="298"/>
      <c r="AB373" s="298"/>
      <c r="AC373" s="610"/>
      <c r="AD373" s="610"/>
      <c r="AE373" s="298"/>
      <c r="AF373" s="610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</row>
    <row r="374" spans="1:58" ht="12.75" customHeight="1" x14ac:dyDescent="0.15">
      <c r="I374" s="242">
        <f>SUM(I365:I370)</f>
        <v>0</v>
      </c>
      <c r="N374" s="242">
        <f t="shared" ref="N374:S374" si="212">SUM(N365:N372)</f>
        <v>10785.966399999999</v>
      </c>
      <c r="O374" s="242">
        <f t="shared" si="212"/>
        <v>8658.2495999999992</v>
      </c>
      <c r="P374" s="242">
        <f t="shared" si="212"/>
        <v>9614.8359999999993</v>
      </c>
      <c r="Q374" s="242">
        <f t="shared" si="212"/>
        <v>10913.76</v>
      </c>
      <c r="R374" s="242">
        <f t="shared" si="212"/>
        <v>11465.511200000001</v>
      </c>
      <c r="S374" s="242">
        <f t="shared" si="212"/>
        <v>10074.24</v>
      </c>
      <c r="T374" s="242">
        <f t="shared" ref="T374:Y374" si="213">SUM(T365:T373)</f>
        <v>14337.004000000001</v>
      </c>
      <c r="U374" s="242">
        <f t="shared" si="213"/>
        <v>11781.277200000002</v>
      </c>
      <c r="V374" s="242">
        <f t="shared" si="213"/>
        <v>12256.002</v>
      </c>
      <c r="W374" s="242">
        <f t="shared" si="213"/>
        <v>12087.222400000002</v>
      </c>
      <c r="X374" s="242">
        <f t="shared" si="213"/>
        <v>11431.464</v>
      </c>
      <c r="Y374" s="242">
        <f t="shared" si="213"/>
        <v>9585.9192000000003</v>
      </c>
      <c r="Z374" s="375">
        <f>SUM(N374:Y374)</f>
        <v>132991.45199999999</v>
      </c>
      <c r="AD374" s="375">
        <f t="shared" si="204"/>
        <v>0</v>
      </c>
      <c r="AE374" s="375">
        <f>Z374</f>
        <v>132991.45199999999</v>
      </c>
    </row>
    <row r="376" spans="1:58" ht="12.75" customHeight="1" x14ac:dyDescent="0.15">
      <c r="A376" s="239" t="s">
        <v>261</v>
      </c>
      <c r="B376" s="239" t="s">
        <v>268</v>
      </c>
      <c r="C376" s="239" t="s">
        <v>228</v>
      </c>
      <c r="D376" s="239" t="s">
        <v>362</v>
      </c>
      <c r="N376" s="242">
        <v>8700</v>
      </c>
      <c r="O376" s="242">
        <v>6700</v>
      </c>
      <c r="P376" s="242">
        <v>14100</v>
      </c>
      <c r="Q376" s="242">
        <v>12800</v>
      </c>
      <c r="R376" s="242">
        <v>29400</v>
      </c>
      <c r="S376" s="242">
        <v>22700</v>
      </c>
      <c r="T376" s="242">
        <v>5000</v>
      </c>
      <c r="U376" s="242">
        <v>7600</v>
      </c>
      <c r="V376" s="242">
        <v>7200</v>
      </c>
      <c r="W376" s="242">
        <v>43000</v>
      </c>
      <c r="X376" s="242">
        <v>43000</v>
      </c>
      <c r="Y376" s="242">
        <v>11700</v>
      </c>
    </row>
    <row r="377" spans="1:58" ht="12.75" customHeight="1" x14ac:dyDescent="0.15">
      <c r="A377" s="239" t="s">
        <v>261</v>
      </c>
      <c r="B377" s="239" t="s">
        <v>268</v>
      </c>
      <c r="C377" s="239" t="s">
        <v>157</v>
      </c>
      <c r="D377" s="239" t="s">
        <v>362</v>
      </c>
      <c r="N377" s="251">
        <v>0.03</v>
      </c>
      <c r="O377" s="251">
        <v>2.9899999999999999E-2</v>
      </c>
      <c r="P377" s="251">
        <v>0.03</v>
      </c>
      <c r="Q377" s="251">
        <v>2.9899999999999999E-2</v>
      </c>
      <c r="R377" s="251">
        <v>3.0099999999999998E-2</v>
      </c>
      <c r="S377" s="251">
        <v>0.03</v>
      </c>
      <c r="T377" s="251">
        <v>0.03</v>
      </c>
      <c r="U377" s="251">
        <v>0.03</v>
      </c>
      <c r="V377" s="251">
        <v>0.03</v>
      </c>
      <c r="W377" s="251">
        <v>0.03</v>
      </c>
      <c r="X377" s="251">
        <v>0.03</v>
      </c>
      <c r="Y377" s="251">
        <v>0.03</v>
      </c>
    </row>
    <row r="378" spans="1:58" ht="12.75" customHeight="1" x14ac:dyDescent="0.15">
      <c r="A378" s="239" t="s">
        <v>261</v>
      </c>
      <c r="B378" s="239" t="s">
        <v>268</v>
      </c>
      <c r="C378" s="239" t="s">
        <v>229</v>
      </c>
      <c r="D378" s="239" t="s">
        <v>362</v>
      </c>
      <c r="N378" s="242">
        <f t="shared" ref="N378:Y378" si="214">N376*N377*N1</f>
        <v>8091</v>
      </c>
      <c r="O378" s="242">
        <f t="shared" si="214"/>
        <v>5609.24</v>
      </c>
      <c r="P378" s="242">
        <f t="shared" si="214"/>
        <v>13113</v>
      </c>
      <c r="Q378" s="242">
        <f t="shared" si="214"/>
        <v>11481.599999999999</v>
      </c>
      <c r="R378" s="242">
        <f t="shared" si="214"/>
        <v>27433.14</v>
      </c>
      <c r="S378" s="242">
        <f t="shared" si="214"/>
        <v>20430</v>
      </c>
      <c r="T378" s="242">
        <f t="shared" si="214"/>
        <v>4650</v>
      </c>
      <c r="U378" s="242">
        <f t="shared" si="214"/>
        <v>7068</v>
      </c>
      <c r="V378" s="242">
        <f t="shared" si="214"/>
        <v>6480</v>
      </c>
      <c r="W378" s="242">
        <f t="shared" si="214"/>
        <v>39990</v>
      </c>
      <c r="X378" s="242">
        <f t="shared" si="214"/>
        <v>38700</v>
      </c>
      <c r="Y378" s="242">
        <f t="shared" si="214"/>
        <v>10881</v>
      </c>
      <c r="Z378" s="375">
        <f>SUM(N378:Y378)</f>
        <v>193926.97999999998</v>
      </c>
    </row>
    <row r="383" spans="1:58" s="247" customFormat="1" ht="12.75" customHeight="1" x14ac:dyDescent="0.15">
      <c r="E383" s="248"/>
      <c r="H383" s="248"/>
      <c r="I383" s="249"/>
      <c r="K383" s="252"/>
      <c r="M383" s="250"/>
      <c r="N383" s="249"/>
      <c r="O383" s="249"/>
      <c r="P383" s="249"/>
      <c r="Q383" s="249"/>
      <c r="R383" s="249"/>
      <c r="S383" s="249"/>
      <c r="T383" s="249"/>
      <c r="U383" s="249"/>
      <c r="V383" s="249"/>
      <c r="W383" s="249"/>
      <c r="X383" s="249"/>
      <c r="Y383" s="249"/>
    </row>
    <row r="385" spans="1:25" ht="12.75" customHeight="1" x14ac:dyDescent="0.2">
      <c r="A385" s="239" t="s">
        <v>261</v>
      </c>
      <c r="B385" s="239" t="s">
        <v>269</v>
      </c>
      <c r="C385" s="239" t="s">
        <v>228</v>
      </c>
      <c r="D385" s="239" t="s">
        <v>220</v>
      </c>
      <c r="E385" s="262">
        <v>24927</v>
      </c>
      <c r="F385" s="262" t="s">
        <v>270</v>
      </c>
      <c r="H385" s="253">
        <v>38748</v>
      </c>
      <c r="I385" s="242">
        <v>30000</v>
      </c>
      <c r="K385" s="265"/>
      <c r="L385" s="265"/>
      <c r="M385" s="241" t="s">
        <v>226</v>
      </c>
      <c r="N385" s="242">
        <f t="shared" ref="N385:Y385" si="215">$I$385*N$1</f>
        <v>930000</v>
      </c>
      <c r="O385" s="242">
        <f t="shared" si="215"/>
        <v>840000</v>
      </c>
      <c r="P385" s="242">
        <f t="shared" si="215"/>
        <v>930000</v>
      </c>
      <c r="Q385" s="242">
        <f t="shared" si="215"/>
        <v>900000</v>
      </c>
      <c r="R385" s="242">
        <f t="shared" si="215"/>
        <v>930000</v>
      </c>
      <c r="S385" s="242">
        <f t="shared" si="215"/>
        <v>900000</v>
      </c>
      <c r="T385" s="242">
        <f t="shared" si="215"/>
        <v>930000</v>
      </c>
      <c r="U385" s="242">
        <f t="shared" si="215"/>
        <v>930000</v>
      </c>
      <c r="V385" s="242">
        <f t="shared" si="215"/>
        <v>900000</v>
      </c>
      <c r="W385" s="242">
        <f t="shared" si="215"/>
        <v>930000</v>
      </c>
      <c r="X385" s="242">
        <f t="shared" si="215"/>
        <v>900000</v>
      </c>
      <c r="Y385" s="242">
        <f t="shared" si="215"/>
        <v>930000</v>
      </c>
    </row>
    <row r="386" spans="1:25" ht="12.75" customHeight="1" x14ac:dyDescent="0.2">
      <c r="A386" s="239" t="s">
        <v>261</v>
      </c>
      <c r="B386" s="239" t="s">
        <v>269</v>
      </c>
      <c r="C386" s="239" t="s">
        <v>228</v>
      </c>
      <c r="D386" s="239" t="s">
        <v>220</v>
      </c>
      <c r="E386" s="262">
        <v>24926</v>
      </c>
      <c r="F386" s="262" t="s">
        <v>271</v>
      </c>
      <c r="H386" s="253">
        <v>36922</v>
      </c>
      <c r="I386" s="242">
        <v>30000</v>
      </c>
      <c r="K386" s="265"/>
      <c r="L386" s="265"/>
      <c r="M386" s="241" t="s">
        <v>226</v>
      </c>
      <c r="N386" s="242">
        <f>$I$386*N$1</f>
        <v>930000</v>
      </c>
    </row>
    <row r="387" spans="1:25" ht="12.75" customHeight="1" x14ac:dyDescent="0.2">
      <c r="A387" s="239" t="s">
        <v>261</v>
      </c>
      <c r="B387" s="239" t="s">
        <v>269</v>
      </c>
      <c r="C387" s="239" t="s">
        <v>228</v>
      </c>
      <c r="D387" s="239" t="s">
        <v>220</v>
      </c>
      <c r="E387" s="262">
        <v>24925</v>
      </c>
      <c r="F387" s="262" t="s">
        <v>272</v>
      </c>
      <c r="H387" s="253">
        <v>38017</v>
      </c>
      <c r="I387" s="242">
        <v>50000</v>
      </c>
      <c r="K387" s="265"/>
      <c r="L387" s="265"/>
      <c r="M387" s="241" t="s">
        <v>226</v>
      </c>
      <c r="N387" s="242">
        <f t="shared" ref="N387:Y387" si="216">$I$387*N$1</f>
        <v>1550000</v>
      </c>
      <c r="O387" s="242">
        <f t="shared" si="216"/>
        <v>1400000</v>
      </c>
      <c r="P387" s="242">
        <f t="shared" si="216"/>
        <v>1550000</v>
      </c>
      <c r="Q387" s="242">
        <f t="shared" si="216"/>
        <v>1500000</v>
      </c>
      <c r="R387" s="242">
        <f t="shared" si="216"/>
        <v>1550000</v>
      </c>
      <c r="S387" s="242">
        <f t="shared" si="216"/>
        <v>1500000</v>
      </c>
      <c r="T387" s="242">
        <f t="shared" si="216"/>
        <v>1550000</v>
      </c>
      <c r="U387" s="242">
        <f t="shared" si="216"/>
        <v>1550000</v>
      </c>
      <c r="V387" s="242">
        <f t="shared" si="216"/>
        <v>1500000</v>
      </c>
      <c r="W387" s="242">
        <f t="shared" si="216"/>
        <v>1550000</v>
      </c>
      <c r="X387" s="242">
        <f t="shared" si="216"/>
        <v>1500000</v>
      </c>
      <c r="Y387" s="242">
        <f t="shared" si="216"/>
        <v>1550000</v>
      </c>
    </row>
    <row r="388" spans="1:25" ht="12.75" customHeight="1" x14ac:dyDescent="0.2">
      <c r="A388" s="450" t="s">
        <v>261</v>
      </c>
      <c r="B388" s="450" t="s">
        <v>269</v>
      </c>
      <c r="C388" s="450" t="s">
        <v>228</v>
      </c>
      <c r="D388" s="450" t="s">
        <v>220</v>
      </c>
      <c r="E388" s="531">
        <v>27370</v>
      </c>
      <c r="F388" s="531" t="s">
        <v>432</v>
      </c>
      <c r="G388" s="533">
        <v>36892</v>
      </c>
      <c r="H388" s="525">
        <v>37256</v>
      </c>
      <c r="I388" s="524">
        <v>22000</v>
      </c>
      <c r="K388" s="265"/>
      <c r="L388" s="265"/>
      <c r="N388" s="524">
        <f t="shared" ref="N388:Y388" si="217">$I$388*N$1</f>
        <v>682000</v>
      </c>
      <c r="O388" s="452">
        <f t="shared" si="217"/>
        <v>616000</v>
      </c>
      <c r="P388" s="452">
        <f t="shared" si="217"/>
        <v>682000</v>
      </c>
      <c r="Q388" s="452">
        <f t="shared" si="217"/>
        <v>660000</v>
      </c>
      <c r="R388" s="452">
        <f t="shared" si="217"/>
        <v>682000</v>
      </c>
      <c r="S388" s="452">
        <f t="shared" si="217"/>
        <v>660000</v>
      </c>
      <c r="T388" s="452">
        <f t="shared" si="217"/>
        <v>682000</v>
      </c>
      <c r="U388" s="452">
        <f t="shared" si="217"/>
        <v>682000</v>
      </c>
      <c r="V388" s="452">
        <f t="shared" si="217"/>
        <v>660000</v>
      </c>
      <c r="W388" s="452">
        <f t="shared" si="217"/>
        <v>682000</v>
      </c>
      <c r="X388" s="452">
        <f t="shared" si="217"/>
        <v>660000</v>
      </c>
      <c r="Y388" s="452">
        <f t="shared" si="217"/>
        <v>682000</v>
      </c>
    </row>
    <row r="389" spans="1:25" ht="12.75" customHeight="1" x14ac:dyDescent="0.2">
      <c r="A389" s="450" t="s">
        <v>261</v>
      </c>
      <c r="B389" s="450" t="s">
        <v>269</v>
      </c>
      <c r="C389" s="450" t="s">
        <v>228</v>
      </c>
      <c r="D389" s="450" t="s">
        <v>220</v>
      </c>
      <c r="E389" s="531">
        <v>27371</v>
      </c>
      <c r="F389" s="531" t="s">
        <v>432</v>
      </c>
      <c r="G389" s="533">
        <v>36923</v>
      </c>
      <c r="H389" s="525">
        <v>37256</v>
      </c>
      <c r="I389" s="524">
        <v>21200</v>
      </c>
      <c r="K389" s="265"/>
      <c r="L389" s="265"/>
      <c r="N389" s="524"/>
      <c r="O389" s="452">
        <f t="shared" ref="O389:Y389" si="218">$I$389*O$1</f>
        <v>593600</v>
      </c>
      <c r="P389" s="452">
        <f t="shared" si="218"/>
        <v>657200</v>
      </c>
      <c r="Q389" s="452">
        <f t="shared" si="218"/>
        <v>636000</v>
      </c>
      <c r="R389" s="452">
        <f t="shared" si="218"/>
        <v>657200</v>
      </c>
      <c r="S389" s="452">
        <f t="shared" si="218"/>
        <v>636000</v>
      </c>
      <c r="T389" s="452">
        <f t="shared" si="218"/>
        <v>657200</v>
      </c>
      <c r="U389" s="452">
        <f t="shared" si="218"/>
        <v>657200</v>
      </c>
      <c r="V389" s="452">
        <f t="shared" si="218"/>
        <v>636000</v>
      </c>
      <c r="W389" s="452">
        <f t="shared" si="218"/>
        <v>657200</v>
      </c>
      <c r="X389" s="452">
        <f t="shared" si="218"/>
        <v>636000</v>
      </c>
      <c r="Y389" s="452">
        <f t="shared" si="218"/>
        <v>657200</v>
      </c>
    </row>
    <row r="390" spans="1:25" ht="12.75" customHeight="1" x14ac:dyDescent="0.2">
      <c r="A390" s="450" t="s">
        <v>261</v>
      </c>
      <c r="B390" s="450" t="s">
        <v>269</v>
      </c>
      <c r="C390" s="450" t="s">
        <v>228</v>
      </c>
      <c r="D390" s="450" t="s">
        <v>220</v>
      </c>
      <c r="E390" s="465"/>
      <c r="F390" s="465" t="s">
        <v>383</v>
      </c>
      <c r="G390" s="450" t="s">
        <v>374</v>
      </c>
      <c r="H390" s="459"/>
      <c r="I390" s="452"/>
      <c r="K390" s="265"/>
      <c r="L390" s="265"/>
      <c r="N390" s="452">
        <f t="shared" ref="N390:Y390" si="219">$I$390*N$1</f>
        <v>0</v>
      </c>
      <c r="O390" s="452">
        <f t="shared" si="219"/>
        <v>0</v>
      </c>
      <c r="P390" s="452">
        <f t="shared" si="219"/>
        <v>0</v>
      </c>
      <c r="Q390" s="452">
        <f t="shared" si="219"/>
        <v>0</v>
      </c>
      <c r="R390" s="452">
        <f t="shared" si="219"/>
        <v>0</v>
      </c>
      <c r="S390" s="452">
        <f t="shared" si="219"/>
        <v>0</v>
      </c>
      <c r="T390" s="452">
        <f t="shared" si="219"/>
        <v>0</v>
      </c>
      <c r="U390" s="452">
        <f t="shared" si="219"/>
        <v>0</v>
      </c>
      <c r="V390" s="452">
        <f t="shared" si="219"/>
        <v>0</v>
      </c>
      <c r="W390" s="452">
        <f t="shared" si="219"/>
        <v>0</v>
      </c>
      <c r="X390" s="452">
        <f t="shared" si="219"/>
        <v>0</v>
      </c>
      <c r="Y390" s="452">
        <f t="shared" si="219"/>
        <v>0</v>
      </c>
    </row>
    <row r="391" spans="1:25" ht="12.75" customHeight="1" x14ac:dyDescent="0.2">
      <c r="A391" s="471" t="s">
        <v>261</v>
      </c>
      <c r="B391" s="471" t="s">
        <v>269</v>
      </c>
      <c r="C391" s="471" t="s">
        <v>228</v>
      </c>
      <c r="D391" s="471" t="s">
        <v>220</v>
      </c>
      <c r="E391" s="482">
        <v>25569</v>
      </c>
      <c r="F391" s="482" t="s">
        <v>318</v>
      </c>
      <c r="G391" s="523" t="s">
        <v>381</v>
      </c>
      <c r="H391" s="525">
        <v>37621</v>
      </c>
      <c r="I391" s="473">
        <v>13500</v>
      </c>
      <c r="J391" s="471"/>
      <c r="K391" s="483"/>
      <c r="L391" s="483"/>
      <c r="M391" s="475"/>
      <c r="N391" s="473">
        <f t="shared" ref="N391:Y391" si="220">$I$391*N$1</f>
        <v>418500</v>
      </c>
      <c r="O391" s="473">
        <f t="shared" si="220"/>
        <v>378000</v>
      </c>
      <c r="P391" s="473">
        <f t="shared" si="220"/>
        <v>418500</v>
      </c>
      <c r="Q391" s="473">
        <f t="shared" si="220"/>
        <v>405000</v>
      </c>
      <c r="R391" s="473">
        <f t="shared" si="220"/>
        <v>418500</v>
      </c>
      <c r="S391" s="473">
        <f t="shared" si="220"/>
        <v>405000</v>
      </c>
      <c r="T391" s="473">
        <f t="shared" si="220"/>
        <v>418500</v>
      </c>
      <c r="U391" s="473">
        <f t="shared" si="220"/>
        <v>418500</v>
      </c>
      <c r="V391" s="473">
        <f t="shared" si="220"/>
        <v>405000</v>
      </c>
      <c r="W391" s="473">
        <f t="shared" si="220"/>
        <v>418500</v>
      </c>
      <c r="X391" s="473">
        <f t="shared" si="220"/>
        <v>405000</v>
      </c>
      <c r="Y391" s="473">
        <f t="shared" si="220"/>
        <v>418500</v>
      </c>
    </row>
    <row r="392" spans="1:25" ht="12.75" customHeight="1" x14ac:dyDescent="0.15">
      <c r="A392" s="471" t="s">
        <v>261</v>
      </c>
      <c r="B392" s="471" t="s">
        <v>269</v>
      </c>
      <c r="C392" s="471" t="s">
        <v>228</v>
      </c>
      <c r="D392" s="471" t="s">
        <v>220</v>
      </c>
      <c r="E392" s="472">
        <v>27047</v>
      </c>
      <c r="F392" s="471" t="s">
        <v>319</v>
      </c>
      <c r="G392" s="523" t="s">
        <v>381</v>
      </c>
      <c r="H392" s="525">
        <v>38717</v>
      </c>
      <c r="I392" s="473">
        <v>125000</v>
      </c>
      <c r="J392" s="471"/>
      <c r="K392" s="474"/>
      <c r="L392" s="471"/>
      <c r="M392" s="475"/>
      <c r="N392" s="473">
        <f t="shared" ref="N392:Y392" si="221">$I$392*N$1</f>
        <v>3875000</v>
      </c>
      <c r="O392" s="473">
        <f t="shared" si="221"/>
        <v>3500000</v>
      </c>
      <c r="P392" s="473">
        <f t="shared" si="221"/>
        <v>3875000</v>
      </c>
      <c r="Q392" s="473">
        <f t="shared" si="221"/>
        <v>3750000</v>
      </c>
      <c r="R392" s="473">
        <f t="shared" si="221"/>
        <v>3875000</v>
      </c>
      <c r="S392" s="473">
        <f t="shared" si="221"/>
        <v>3750000</v>
      </c>
      <c r="T392" s="473">
        <f t="shared" si="221"/>
        <v>3875000</v>
      </c>
      <c r="U392" s="473">
        <f t="shared" si="221"/>
        <v>3875000</v>
      </c>
      <c r="V392" s="473">
        <f t="shared" si="221"/>
        <v>3750000</v>
      </c>
      <c r="W392" s="473">
        <f t="shared" si="221"/>
        <v>3875000</v>
      </c>
      <c r="X392" s="473">
        <f t="shared" si="221"/>
        <v>3750000</v>
      </c>
      <c r="Y392" s="473">
        <f t="shared" si="221"/>
        <v>3875000</v>
      </c>
    </row>
    <row r="393" spans="1:25" ht="12.75" customHeight="1" x14ac:dyDescent="0.15">
      <c r="A393" s="450"/>
      <c r="B393" s="450"/>
      <c r="C393" s="450"/>
      <c r="D393" s="450"/>
      <c r="E393" s="456"/>
      <c r="F393" s="450"/>
      <c r="G393" s="450"/>
      <c r="H393" s="451"/>
      <c r="I393" s="452"/>
      <c r="N393" s="452">
        <f t="shared" ref="N393:Y393" si="222">$I$393*N$1</f>
        <v>0</v>
      </c>
      <c r="O393" s="452">
        <f t="shared" si="222"/>
        <v>0</v>
      </c>
      <c r="P393" s="452">
        <f t="shared" si="222"/>
        <v>0</v>
      </c>
      <c r="Q393" s="452">
        <f t="shared" si="222"/>
        <v>0</v>
      </c>
      <c r="R393" s="452">
        <f t="shared" si="222"/>
        <v>0</v>
      </c>
      <c r="S393" s="452">
        <f t="shared" si="222"/>
        <v>0</v>
      </c>
      <c r="T393" s="452">
        <f t="shared" si="222"/>
        <v>0</v>
      </c>
      <c r="U393" s="452">
        <f t="shared" si="222"/>
        <v>0</v>
      </c>
      <c r="V393" s="452">
        <f t="shared" si="222"/>
        <v>0</v>
      </c>
      <c r="W393" s="452">
        <f t="shared" si="222"/>
        <v>0</v>
      </c>
      <c r="X393" s="452">
        <f t="shared" si="222"/>
        <v>0</v>
      </c>
      <c r="Y393" s="452">
        <f t="shared" si="222"/>
        <v>0</v>
      </c>
    </row>
    <row r="394" spans="1:25" ht="12.75" customHeight="1" x14ac:dyDescent="0.15">
      <c r="A394" s="450"/>
      <c r="B394" s="450"/>
      <c r="C394" s="450"/>
      <c r="D394" s="450"/>
      <c r="E394" s="466"/>
      <c r="F394" s="450"/>
      <c r="G394" s="450"/>
      <c r="H394" s="451"/>
      <c r="I394" s="460"/>
      <c r="J394" s="450"/>
      <c r="K394" s="453"/>
      <c r="L394" s="450"/>
      <c r="M394" s="454"/>
      <c r="N394" s="460">
        <f t="shared" ref="N394:Y394" si="223">$I$394*N$1</f>
        <v>0</v>
      </c>
      <c r="O394" s="460">
        <f t="shared" si="223"/>
        <v>0</v>
      </c>
      <c r="P394" s="460">
        <f t="shared" si="223"/>
        <v>0</v>
      </c>
      <c r="Q394" s="460">
        <f t="shared" si="223"/>
        <v>0</v>
      </c>
      <c r="R394" s="460">
        <f t="shared" si="223"/>
        <v>0</v>
      </c>
      <c r="S394" s="460">
        <f t="shared" si="223"/>
        <v>0</v>
      </c>
      <c r="T394" s="460">
        <f t="shared" si="223"/>
        <v>0</v>
      </c>
      <c r="U394" s="460">
        <f t="shared" si="223"/>
        <v>0</v>
      </c>
      <c r="V394" s="460">
        <f t="shared" si="223"/>
        <v>0</v>
      </c>
      <c r="W394" s="460">
        <f t="shared" si="223"/>
        <v>0</v>
      </c>
      <c r="X394" s="460">
        <f t="shared" si="223"/>
        <v>0</v>
      </c>
      <c r="Y394" s="460">
        <f t="shared" si="223"/>
        <v>0</v>
      </c>
    </row>
    <row r="395" spans="1:25" ht="12.75" customHeight="1" x14ac:dyDescent="0.15">
      <c r="E395" s="262"/>
      <c r="F395" s="262"/>
      <c r="G395" s="450"/>
      <c r="I395" s="242">
        <f>SUM(I385:I394)</f>
        <v>291700</v>
      </c>
      <c r="N395" s="242">
        <f>SUM(N385:N394)</f>
        <v>8385500</v>
      </c>
      <c r="O395" s="242">
        <f t="shared" ref="O395:Y395" si="224">SUM(O385:O394)</f>
        <v>7327600</v>
      </c>
      <c r="P395" s="242">
        <f t="shared" si="224"/>
        <v>8112700</v>
      </c>
      <c r="Q395" s="242">
        <f t="shared" si="224"/>
        <v>7851000</v>
      </c>
      <c r="R395" s="242">
        <f t="shared" si="224"/>
        <v>8112700</v>
      </c>
      <c r="S395" s="242">
        <f t="shared" si="224"/>
        <v>7851000</v>
      </c>
      <c r="T395" s="242">
        <f t="shared" si="224"/>
        <v>8112700</v>
      </c>
      <c r="U395" s="242">
        <f t="shared" si="224"/>
        <v>8112700</v>
      </c>
      <c r="V395" s="242">
        <f t="shared" si="224"/>
        <v>7851000</v>
      </c>
      <c r="W395" s="242">
        <f t="shared" si="224"/>
        <v>8112700</v>
      </c>
      <c r="X395" s="242">
        <f t="shared" si="224"/>
        <v>7851000</v>
      </c>
      <c r="Y395" s="242">
        <f t="shared" si="224"/>
        <v>8112700</v>
      </c>
    </row>
    <row r="396" spans="1:25" ht="12.75" customHeight="1" x14ac:dyDescent="0.15">
      <c r="E396" s="261"/>
      <c r="F396" s="261"/>
    </row>
    <row r="397" spans="1:25" ht="12.75" customHeight="1" x14ac:dyDescent="0.15">
      <c r="A397" s="424" t="s">
        <v>354</v>
      </c>
      <c r="B397" s="425"/>
      <c r="C397" s="425"/>
      <c r="D397" s="425"/>
      <c r="E397" s="426"/>
      <c r="F397" s="425"/>
      <c r="G397" s="425"/>
      <c r="H397" s="426"/>
      <c r="I397" s="427"/>
      <c r="J397" s="425"/>
      <c r="K397" s="428"/>
      <c r="L397" s="425"/>
      <c r="M397" s="429"/>
      <c r="N397" s="430">
        <v>0.89300000000000002</v>
      </c>
      <c r="O397" s="430">
        <v>1.1000000000000001</v>
      </c>
      <c r="P397" s="430">
        <v>1.2669999999999999</v>
      </c>
      <c r="Q397" s="430">
        <v>0.88300000000000001</v>
      </c>
      <c r="R397" s="430">
        <v>0.96</v>
      </c>
      <c r="S397" s="430">
        <v>1.17</v>
      </c>
      <c r="T397" s="430">
        <v>0.7</v>
      </c>
      <c r="U397" s="430">
        <v>0.96499999999999997</v>
      </c>
      <c r="V397" s="430">
        <v>0.70499999999999996</v>
      </c>
      <c r="W397" s="430">
        <v>0.745</v>
      </c>
      <c r="X397" s="430">
        <v>0.92500000000000004</v>
      </c>
      <c r="Y397" s="432">
        <v>1.2050000000000001</v>
      </c>
    </row>
    <row r="398" spans="1:25" ht="12.75" customHeight="1" x14ac:dyDescent="0.2">
      <c r="A398" s="239" t="s">
        <v>261</v>
      </c>
      <c r="B398" s="239" t="s">
        <v>269</v>
      </c>
      <c r="C398" s="239" t="s">
        <v>228</v>
      </c>
      <c r="D398" s="239" t="s">
        <v>223</v>
      </c>
      <c r="E398" s="262">
        <v>24927</v>
      </c>
      <c r="F398" s="262" t="s">
        <v>270</v>
      </c>
      <c r="H398" s="253">
        <v>38748</v>
      </c>
      <c r="I398" s="242">
        <v>30000</v>
      </c>
      <c r="K398" s="265"/>
      <c r="L398" s="265"/>
      <c r="M398" s="241" t="s">
        <v>226</v>
      </c>
      <c r="N398" s="242">
        <f t="shared" ref="N398:N407" si="225">N385*N$397</f>
        <v>830490</v>
      </c>
      <c r="O398" s="242">
        <f t="shared" ref="O398:Y398" si="226">O385*O$397</f>
        <v>924000.00000000012</v>
      </c>
      <c r="P398" s="242">
        <f t="shared" si="226"/>
        <v>1178310</v>
      </c>
      <c r="Q398" s="242">
        <f t="shared" si="226"/>
        <v>794700</v>
      </c>
      <c r="R398" s="242">
        <f t="shared" si="226"/>
        <v>892800</v>
      </c>
      <c r="S398" s="242">
        <f t="shared" si="226"/>
        <v>1053000</v>
      </c>
      <c r="T398" s="242">
        <f t="shared" si="226"/>
        <v>651000</v>
      </c>
      <c r="U398" s="242">
        <f t="shared" si="226"/>
        <v>897450</v>
      </c>
      <c r="V398" s="242">
        <f t="shared" si="226"/>
        <v>634500</v>
      </c>
      <c r="W398" s="242">
        <f t="shared" si="226"/>
        <v>692850</v>
      </c>
      <c r="X398" s="242">
        <f t="shared" si="226"/>
        <v>832500</v>
      </c>
      <c r="Y398" s="242">
        <f t="shared" si="226"/>
        <v>1120650</v>
      </c>
    </row>
    <row r="399" spans="1:25" ht="12.75" customHeight="1" x14ac:dyDescent="0.2">
      <c r="A399" s="239" t="s">
        <v>261</v>
      </c>
      <c r="B399" s="239" t="s">
        <v>269</v>
      </c>
      <c r="C399" s="239" t="s">
        <v>228</v>
      </c>
      <c r="D399" s="239" t="s">
        <v>223</v>
      </c>
      <c r="E399" s="262">
        <v>24926</v>
      </c>
      <c r="F399" s="262" t="s">
        <v>271</v>
      </c>
      <c r="H399" s="253">
        <v>36922</v>
      </c>
      <c r="I399" s="242">
        <v>30000</v>
      </c>
      <c r="K399" s="265"/>
      <c r="L399" s="265"/>
      <c r="M399" s="241" t="s">
        <v>226</v>
      </c>
      <c r="N399" s="242">
        <f t="shared" si="225"/>
        <v>830490</v>
      </c>
      <c r="O399" s="242">
        <f t="shared" ref="O399:Y399" si="227">O386*O$397</f>
        <v>0</v>
      </c>
      <c r="P399" s="242">
        <f t="shared" si="227"/>
        <v>0</v>
      </c>
      <c r="Q399" s="242">
        <f t="shared" si="227"/>
        <v>0</v>
      </c>
      <c r="R399" s="242">
        <f t="shared" si="227"/>
        <v>0</v>
      </c>
      <c r="S399" s="242">
        <f t="shared" si="227"/>
        <v>0</v>
      </c>
      <c r="T399" s="242">
        <f t="shared" si="227"/>
        <v>0</v>
      </c>
      <c r="U399" s="242">
        <f t="shared" si="227"/>
        <v>0</v>
      </c>
      <c r="V399" s="242">
        <f t="shared" si="227"/>
        <v>0</v>
      </c>
      <c r="W399" s="242">
        <f t="shared" si="227"/>
        <v>0</v>
      </c>
      <c r="X399" s="242">
        <f t="shared" si="227"/>
        <v>0</v>
      </c>
      <c r="Y399" s="242">
        <f t="shared" si="227"/>
        <v>0</v>
      </c>
    </row>
    <row r="400" spans="1:25" ht="12.75" customHeight="1" x14ac:dyDescent="0.2">
      <c r="A400" s="239" t="s">
        <v>261</v>
      </c>
      <c r="B400" s="239" t="s">
        <v>269</v>
      </c>
      <c r="C400" s="239" t="s">
        <v>228</v>
      </c>
      <c r="D400" s="239" t="s">
        <v>223</v>
      </c>
      <c r="E400" s="262">
        <v>24925</v>
      </c>
      <c r="F400" s="262" t="s">
        <v>272</v>
      </c>
      <c r="H400" s="253">
        <v>38017</v>
      </c>
      <c r="I400" s="242">
        <v>50000</v>
      </c>
      <c r="K400" s="265"/>
      <c r="L400" s="265"/>
      <c r="M400" s="241" t="s">
        <v>226</v>
      </c>
      <c r="N400" s="242">
        <f t="shared" si="225"/>
        <v>1384150</v>
      </c>
      <c r="O400" s="242">
        <f t="shared" ref="O400:Y400" si="228">O387*O$397</f>
        <v>1540000.0000000002</v>
      </c>
      <c r="P400" s="242">
        <f t="shared" si="228"/>
        <v>1963849.9999999998</v>
      </c>
      <c r="Q400" s="242">
        <f t="shared" si="228"/>
        <v>1324500</v>
      </c>
      <c r="R400" s="242">
        <f t="shared" si="228"/>
        <v>1488000</v>
      </c>
      <c r="S400" s="242">
        <f t="shared" si="228"/>
        <v>1755000</v>
      </c>
      <c r="T400" s="242">
        <f t="shared" si="228"/>
        <v>1085000</v>
      </c>
      <c r="U400" s="242">
        <f t="shared" si="228"/>
        <v>1495750</v>
      </c>
      <c r="V400" s="242">
        <f t="shared" si="228"/>
        <v>1057500</v>
      </c>
      <c r="W400" s="242">
        <f t="shared" si="228"/>
        <v>1154750</v>
      </c>
      <c r="X400" s="242">
        <f t="shared" si="228"/>
        <v>1387500</v>
      </c>
      <c r="Y400" s="242">
        <f t="shared" si="228"/>
        <v>1867750</v>
      </c>
    </row>
    <row r="401" spans="1:29" ht="12.75" customHeight="1" x14ac:dyDescent="0.2">
      <c r="A401" s="450" t="s">
        <v>261</v>
      </c>
      <c r="B401" s="450" t="s">
        <v>269</v>
      </c>
      <c r="C401" s="450" t="s">
        <v>228</v>
      </c>
      <c r="D401" s="450" t="s">
        <v>223</v>
      </c>
      <c r="E401" s="531">
        <v>27370</v>
      </c>
      <c r="F401" s="531" t="s">
        <v>432</v>
      </c>
      <c r="G401" s="533">
        <v>36892</v>
      </c>
      <c r="H401" s="525">
        <v>37256</v>
      </c>
      <c r="I401" s="524">
        <v>22000</v>
      </c>
      <c r="K401" s="265"/>
      <c r="L401" s="265"/>
      <c r="N401" s="242">
        <f t="shared" si="225"/>
        <v>609026</v>
      </c>
      <c r="O401" s="452">
        <f>O388*O$397</f>
        <v>677600</v>
      </c>
      <c r="P401" s="452">
        <f t="shared" ref="P401:Y401" si="229">P388*P$397</f>
        <v>864093.99999999988</v>
      </c>
      <c r="Q401" s="452">
        <f t="shared" si="229"/>
        <v>582780</v>
      </c>
      <c r="R401" s="452">
        <f t="shared" si="229"/>
        <v>654720</v>
      </c>
      <c r="S401" s="452">
        <f t="shared" si="229"/>
        <v>772200</v>
      </c>
      <c r="T401" s="452">
        <f t="shared" si="229"/>
        <v>477399.99999999994</v>
      </c>
      <c r="U401" s="452">
        <f t="shared" si="229"/>
        <v>658130</v>
      </c>
      <c r="V401" s="452">
        <f t="shared" si="229"/>
        <v>465300</v>
      </c>
      <c r="W401" s="452">
        <f t="shared" si="229"/>
        <v>508090</v>
      </c>
      <c r="X401" s="452">
        <f t="shared" si="229"/>
        <v>610500</v>
      </c>
      <c r="Y401" s="452">
        <f t="shared" si="229"/>
        <v>821810</v>
      </c>
    </row>
    <row r="402" spans="1:29" ht="12.75" customHeight="1" x14ac:dyDescent="0.2">
      <c r="A402" s="450" t="s">
        <v>261</v>
      </c>
      <c r="B402" s="450" t="s">
        <v>269</v>
      </c>
      <c r="C402" s="450" t="s">
        <v>228</v>
      </c>
      <c r="D402" s="450" t="s">
        <v>223</v>
      </c>
      <c r="E402" s="531">
        <v>27371</v>
      </c>
      <c r="F402" s="531" t="s">
        <v>432</v>
      </c>
      <c r="G402" s="533">
        <v>36923</v>
      </c>
      <c r="H402" s="525">
        <v>37256</v>
      </c>
      <c r="I402" s="524">
        <v>21200</v>
      </c>
      <c r="K402" s="265"/>
      <c r="L402" s="265"/>
      <c r="N402" s="242">
        <f t="shared" si="225"/>
        <v>0</v>
      </c>
      <c r="O402" s="452">
        <f>O389*O$397</f>
        <v>652960</v>
      </c>
      <c r="P402" s="452">
        <f t="shared" ref="P402:Y402" si="230">P389*P$397</f>
        <v>832672.39999999991</v>
      </c>
      <c r="Q402" s="452">
        <f t="shared" si="230"/>
        <v>561588</v>
      </c>
      <c r="R402" s="452">
        <f t="shared" si="230"/>
        <v>630912</v>
      </c>
      <c r="S402" s="452">
        <f t="shared" si="230"/>
        <v>744120</v>
      </c>
      <c r="T402" s="452">
        <f t="shared" si="230"/>
        <v>460039.99999999994</v>
      </c>
      <c r="U402" s="452">
        <f t="shared" si="230"/>
        <v>634198</v>
      </c>
      <c r="V402" s="452">
        <f t="shared" si="230"/>
        <v>448380</v>
      </c>
      <c r="W402" s="452">
        <f t="shared" si="230"/>
        <v>489614</v>
      </c>
      <c r="X402" s="452">
        <f t="shared" si="230"/>
        <v>588300</v>
      </c>
      <c r="Y402" s="452">
        <f t="shared" si="230"/>
        <v>791926</v>
      </c>
    </row>
    <row r="403" spans="1:29" ht="12.75" customHeight="1" x14ac:dyDescent="0.2">
      <c r="A403" s="450" t="s">
        <v>261</v>
      </c>
      <c r="B403" s="450" t="s">
        <v>269</v>
      </c>
      <c r="C403" s="450" t="s">
        <v>228</v>
      </c>
      <c r="D403" s="450" t="s">
        <v>223</v>
      </c>
      <c r="E403" s="465"/>
      <c r="F403" s="465" t="s">
        <v>383</v>
      </c>
      <c r="G403" s="450" t="s">
        <v>374</v>
      </c>
      <c r="H403" s="459"/>
      <c r="I403" s="452"/>
      <c r="K403" s="265"/>
      <c r="L403" s="265"/>
      <c r="N403" s="452">
        <f t="shared" si="225"/>
        <v>0</v>
      </c>
      <c r="O403" s="452">
        <f t="shared" ref="O403:Y403" si="231">O390*O$397</f>
        <v>0</v>
      </c>
      <c r="P403" s="452">
        <f t="shared" si="231"/>
        <v>0</v>
      </c>
      <c r="Q403" s="452">
        <f t="shared" si="231"/>
        <v>0</v>
      </c>
      <c r="R403" s="452">
        <f t="shared" si="231"/>
        <v>0</v>
      </c>
      <c r="S403" s="452">
        <f t="shared" si="231"/>
        <v>0</v>
      </c>
      <c r="T403" s="452">
        <f t="shared" si="231"/>
        <v>0</v>
      </c>
      <c r="U403" s="452">
        <f t="shared" si="231"/>
        <v>0</v>
      </c>
      <c r="V403" s="452">
        <f t="shared" si="231"/>
        <v>0</v>
      </c>
      <c r="W403" s="452">
        <f t="shared" si="231"/>
        <v>0</v>
      </c>
      <c r="X403" s="452">
        <f t="shared" si="231"/>
        <v>0</v>
      </c>
      <c r="Y403" s="452">
        <f t="shared" si="231"/>
        <v>0</v>
      </c>
    </row>
    <row r="404" spans="1:29" ht="12.75" customHeight="1" x14ac:dyDescent="0.2">
      <c r="A404" s="450" t="s">
        <v>261</v>
      </c>
      <c r="B404" s="471" t="s">
        <v>269</v>
      </c>
      <c r="C404" s="471" t="s">
        <v>228</v>
      </c>
      <c r="D404" s="471" t="s">
        <v>223</v>
      </c>
      <c r="E404" s="482">
        <v>25569</v>
      </c>
      <c r="F404" s="482" t="s">
        <v>318</v>
      </c>
      <c r="G404" s="523" t="s">
        <v>381</v>
      </c>
      <c r="H404" s="525">
        <v>37621</v>
      </c>
      <c r="I404" s="473">
        <v>13500</v>
      </c>
      <c r="J404" s="471"/>
      <c r="K404" s="483"/>
      <c r="L404" s="483"/>
      <c r="M404" s="475"/>
      <c r="N404" s="477">
        <f t="shared" si="225"/>
        <v>373720.5</v>
      </c>
      <c r="O404" s="477">
        <f>O391*O$397</f>
        <v>415800.00000000006</v>
      </c>
      <c r="P404" s="477">
        <f t="shared" ref="P404:Y404" si="232">P391*P$397</f>
        <v>530239.5</v>
      </c>
      <c r="Q404" s="477">
        <f t="shared" si="232"/>
        <v>357615</v>
      </c>
      <c r="R404" s="477">
        <f t="shared" si="232"/>
        <v>401760</v>
      </c>
      <c r="S404" s="477">
        <f t="shared" si="232"/>
        <v>473850</v>
      </c>
      <c r="T404" s="477">
        <f t="shared" si="232"/>
        <v>292950</v>
      </c>
      <c r="U404" s="477">
        <f t="shared" si="232"/>
        <v>403852.5</v>
      </c>
      <c r="V404" s="477">
        <f t="shared" si="232"/>
        <v>285525</v>
      </c>
      <c r="W404" s="477">
        <f t="shared" si="232"/>
        <v>311782.5</v>
      </c>
      <c r="X404" s="477">
        <f t="shared" si="232"/>
        <v>374625</v>
      </c>
      <c r="Y404" s="477">
        <f t="shared" si="232"/>
        <v>504292.50000000006</v>
      </c>
    </row>
    <row r="405" spans="1:29" ht="12.75" customHeight="1" x14ac:dyDescent="0.15">
      <c r="A405" s="471" t="s">
        <v>261</v>
      </c>
      <c r="B405" s="471" t="s">
        <v>269</v>
      </c>
      <c r="C405" s="471" t="s">
        <v>228</v>
      </c>
      <c r="D405" s="471" t="s">
        <v>223</v>
      </c>
      <c r="E405" s="472">
        <v>27047</v>
      </c>
      <c r="F405" s="471" t="s">
        <v>319</v>
      </c>
      <c r="G405" s="523" t="s">
        <v>381</v>
      </c>
      <c r="H405" s="525">
        <v>38717</v>
      </c>
      <c r="I405" s="473">
        <v>125000</v>
      </c>
      <c r="J405" s="471"/>
      <c r="K405" s="474"/>
      <c r="L405" s="471"/>
      <c r="M405" s="475"/>
      <c r="N405" s="477">
        <f t="shared" si="225"/>
        <v>3460375</v>
      </c>
      <c r="O405" s="477">
        <f>O392*O$397</f>
        <v>3850000.0000000005</v>
      </c>
      <c r="P405" s="477">
        <f t="shared" ref="P405:Y405" si="233">P392*P$397</f>
        <v>4909625</v>
      </c>
      <c r="Q405" s="477">
        <f t="shared" si="233"/>
        <v>3311250</v>
      </c>
      <c r="R405" s="477">
        <f t="shared" si="233"/>
        <v>3720000</v>
      </c>
      <c r="S405" s="477">
        <f t="shared" si="233"/>
        <v>4387500</v>
      </c>
      <c r="T405" s="477">
        <f t="shared" si="233"/>
        <v>2712500</v>
      </c>
      <c r="U405" s="477">
        <f t="shared" si="233"/>
        <v>3739375</v>
      </c>
      <c r="V405" s="477">
        <f t="shared" si="233"/>
        <v>2643750</v>
      </c>
      <c r="W405" s="477">
        <f t="shared" si="233"/>
        <v>2886875</v>
      </c>
      <c r="X405" s="477">
        <f t="shared" si="233"/>
        <v>3468750</v>
      </c>
      <c r="Y405" s="477">
        <f t="shared" si="233"/>
        <v>4669375</v>
      </c>
    </row>
    <row r="406" spans="1:29" ht="12.75" customHeight="1" x14ac:dyDescent="0.15">
      <c r="A406" s="450"/>
      <c r="B406" s="450"/>
      <c r="C406" s="450"/>
      <c r="D406" s="450"/>
      <c r="E406" s="456"/>
      <c r="F406" s="450"/>
      <c r="G406" s="450"/>
      <c r="H406" s="451"/>
      <c r="I406" s="452"/>
      <c r="N406" s="464">
        <f t="shared" si="225"/>
        <v>0</v>
      </c>
      <c r="O406" s="464">
        <f t="shared" ref="O406:Y406" si="234">O393*O$397</f>
        <v>0</v>
      </c>
      <c r="P406" s="464">
        <f t="shared" si="234"/>
        <v>0</v>
      </c>
      <c r="Q406" s="464">
        <f t="shared" si="234"/>
        <v>0</v>
      </c>
      <c r="R406" s="464">
        <f t="shared" si="234"/>
        <v>0</v>
      </c>
      <c r="S406" s="464">
        <f t="shared" si="234"/>
        <v>0</v>
      </c>
      <c r="T406" s="464">
        <f t="shared" si="234"/>
        <v>0</v>
      </c>
      <c r="U406" s="464">
        <f t="shared" si="234"/>
        <v>0</v>
      </c>
      <c r="V406" s="464">
        <f t="shared" si="234"/>
        <v>0</v>
      </c>
      <c r="W406" s="464">
        <f t="shared" si="234"/>
        <v>0</v>
      </c>
      <c r="X406" s="464">
        <f t="shared" si="234"/>
        <v>0</v>
      </c>
      <c r="Y406" s="464">
        <f t="shared" si="234"/>
        <v>0</v>
      </c>
    </row>
    <row r="407" spans="1:29" ht="12.75" customHeight="1" x14ac:dyDescent="0.15">
      <c r="A407" s="450"/>
      <c r="B407" s="450"/>
      <c r="C407" s="450"/>
      <c r="D407" s="450"/>
      <c r="E407" s="466"/>
      <c r="F407" s="450"/>
      <c r="G407" s="450"/>
      <c r="H407" s="451"/>
      <c r="I407" s="460"/>
      <c r="N407" s="460">
        <f t="shared" si="225"/>
        <v>0</v>
      </c>
      <c r="O407" s="460">
        <f>O394*O$397</f>
        <v>0</v>
      </c>
      <c r="P407" s="460">
        <f t="shared" ref="P407:Y407" si="235">P394*P$397</f>
        <v>0</v>
      </c>
      <c r="Q407" s="460">
        <f t="shared" si="235"/>
        <v>0</v>
      </c>
      <c r="R407" s="460">
        <f t="shared" si="235"/>
        <v>0</v>
      </c>
      <c r="S407" s="460">
        <f t="shared" si="235"/>
        <v>0</v>
      </c>
      <c r="T407" s="460">
        <f t="shared" si="235"/>
        <v>0</v>
      </c>
      <c r="U407" s="460">
        <f t="shared" si="235"/>
        <v>0</v>
      </c>
      <c r="V407" s="460">
        <f t="shared" si="235"/>
        <v>0</v>
      </c>
      <c r="W407" s="460">
        <f t="shared" si="235"/>
        <v>0</v>
      </c>
      <c r="X407" s="460">
        <f t="shared" si="235"/>
        <v>0</v>
      </c>
      <c r="Y407" s="460">
        <f t="shared" si="235"/>
        <v>0</v>
      </c>
    </row>
    <row r="408" spans="1:29" ht="12.75" customHeight="1" x14ac:dyDescent="0.15">
      <c r="I408" s="242">
        <f>SUM(I398:I407)</f>
        <v>291700</v>
      </c>
      <c r="N408" s="242">
        <f>SUM(N398:N407)</f>
        <v>7488251.5</v>
      </c>
      <c r="O408" s="242">
        <f t="shared" ref="O408:Y408" si="236">SUM(O398:O407)</f>
        <v>8060360.0000000019</v>
      </c>
      <c r="P408" s="242">
        <f t="shared" si="236"/>
        <v>10278790.9</v>
      </c>
      <c r="Q408" s="242">
        <f t="shared" si="236"/>
        <v>6932433</v>
      </c>
      <c r="R408" s="242">
        <f t="shared" si="236"/>
        <v>7788192</v>
      </c>
      <c r="S408" s="242">
        <f t="shared" si="236"/>
        <v>9185670</v>
      </c>
      <c r="T408" s="242">
        <f t="shared" si="236"/>
        <v>5678890</v>
      </c>
      <c r="U408" s="242">
        <f t="shared" si="236"/>
        <v>7828755.5</v>
      </c>
      <c r="V408" s="242">
        <f t="shared" si="236"/>
        <v>5534955</v>
      </c>
      <c r="W408" s="242">
        <f t="shared" si="236"/>
        <v>6043961.5</v>
      </c>
      <c r="X408" s="242">
        <f t="shared" si="236"/>
        <v>7262175</v>
      </c>
      <c r="Y408" s="242">
        <f t="shared" si="236"/>
        <v>9775803.5</v>
      </c>
    </row>
    <row r="411" spans="1:29" ht="12.75" customHeight="1" x14ac:dyDescent="0.2">
      <c r="A411" s="239" t="s">
        <v>261</v>
      </c>
      <c r="B411" s="239" t="s">
        <v>269</v>
      </c>
      <c r="C411" s="239" t="s">
        <v>229</v>
      </c>
      <c r="D411" s="239" t="s">
        <v>220</v>
      </c>
      <c r="E411" s="262">
        <v>24927</v>
      </c>
      <c r="F411" s="262" t="s">
        <v>270</v>
      </c>
      <c r="H411" s="253">
        <v>38748</v>
      </c>
      <c r="K411" s="265">
        <v>3.6700000000000003E-2</v>
      </c>
      <c r="L411" s="265">
        <v>3.3E-3</v>
      </c>
      <c r="M411" s="241" t="s">
        <v>226</v>
      </c>
      <c r="N411" s="242">
        <f>N385*($K411+$L411)-N424</f>
        <v>34459.383000000002</v>
      </c>
      <c r="O411" s="242">
        <f>O385*(0.0317+$L411)-O424</f>
        <v>26350.799999999996</v>
      </c>
      <c r="P411" s="242">
        <f>P385*(0.0317+$L411)-P424</f>
        <v>28661.576999999997</v>
      </c>
      <c r="Q411" s="242">
        <f>Q385*(0.0367+$L411)-Q424</f>
        <v>33377.49</v>
      </c>
      <c r="R411" s="242">
        <f t="shared" ref="R411:W411" si="237">R385*(0.0367+$L411)-R424</f>
        <v>34253.760000000002</v>
      </c>
      <c r="S411" s="242">
        <f t="shared" si="237"/>
        <v>32525.1</v>
      </c>
      <c r="T411" s="242">
        <f t="shared" si="237"/>
        <v>35051.699999999997</v>
      </c>
      <c r="U411" s="242">
        <f t="shared" si="237"/>
        <v>34238.415000000001</v>
      </c>
      <c r="V411" s="242">
        <f t="shared" si="237"/>
        <v>33906.15</v>
      </c>
      <c r="W411" s="242">
        <f t="shared" si="237"/>
        <v>34913.595000000001</v>
      </c>
      <c r="X411" s="242">
        <f>X385*(0.0317+$L411)-X424</f>
        <v>28752.749999999996</v>
      </c>
      <c r="Y411" s="242">
        <f>Y385*(0.0317+$L411)-Y424</f>
        <v>28851.854999999996</v>
      </c>
    </row>
    <row r="412" spans="1:29" ht="12.75" customHeight="1" x14ac:dyDescent="0.2">
      <c r="A412" s="239" t="s">
        <v>261</v>
      </c>
      <c r="B412" s="239" t="s">
        <v>269</v>
      </c>
      <c r="C412" s="239" t="s">
        <v>229</v>
      </c>
      <c r="D412" s="239" t="s">
        <v>220</v>
      </c>
      <c r="E412" s="262">
        <v>24926</v>
      </c>
      <c r="F412" s="262" t="s">
        <v>271</v>
      </c>
      <c r="H412" s="253">
        <v>36922</v>
      </c>
      <c r="K412" s="265">
        <v>5.67E-2</v>
      </c>
      <c r="L412" s="265">
        <v>3.3E-3</v>
      </c>
      <c r="M412" s="241" t="s">
        <v>226</v>
      </c>
      <c r="N412" s="242">
        <f>N386*($K412+$L412)-N425</f>
        <v>53059.383000000002</v>
      </c>
      <c r="O412" s="242">
        <f t="shared" ref="O412:Y412" si="238">O386*($K412+$L412)-O425</f>
        <v>0</v>
      </c>
      <c r="P412" s="242">
        <f t="shared" si="238"/>
        <v>0</v>
      </c>
      <c r="Q412" s="242">
        <f t="shared" si="238"/>
        <v>0</v>
      </c>
      <c r="R412" s="242">
        <f t="shared" si="238"/>
        <v>0</v>
      </c>
      <c r="S412" s="242">
        <f t="shared" si="238"/>
        <v>0</v>
      </c>
      <c r="T412" s="242">
        <f t="shared" si="238"/>
        <v>0</v>
      </c>
      <c r="U412" s="242">
        <f t="shared" si="238"/>
        <v>0</v>
      </c>
      <c r="V412" s="242">
        <f t="shared" si="238"/>
        <v>0</v>
      </c>
      <c r="W412" s="242">
        <f t="shared" si="238"/>
        <v>0</v>
      </c>
      <c r="X412" s="242">
        <f t="shared" si="238"/>
        <v>0</v>
      </c>
      <c r="Y412" s="242">
        <f t="shared" si="238"/>
        <v>0</v>
      </c>
    </row>
    <row r="413" spans="1:29" ht="12.75" customHeight="1" x14ac:dyDescent="0.2">
      <c r="A413" s="239" t="s">
        <v>261</v>
      </c>
      <c r="B413" s="239" t="s">
        <v>269</v>
      </c>
      <c r="C413" s="239" t="s">
        <v>229</v>
      </c>
      <c r="D413" s="239" t="s">
        <v>220</v>
      </c>
      <c r="E413" s="262">
        <v>24925</v>
      </c>
      <c r="F413" s="262" t="s">
        <v>272</v>
      </c>
      <c r="H413" s="253">
        <v>38017</v>
      </c>
      <c r="K413" s="265">
        <v>5.67E-2</v>
      </c>
      <c r="L413" s="265">
        <v>3.3E-3</v>
      </c>
      <c r="M413" s="241" t="s">
        <v>226</v>
      </c>
      <c r="N413" s="242">
        <f>N387*($K413+$L413)-N426</f>
        <v>88432.304999999993</v>
      </c>
      <c r="O413" s="242">
        <f t="shared" ref="O413:Y413" si="239">O387*($K413+$L413)-O426</f>
        <v>78918</v>
      </c>
      <c r="P413" s="242">
        <f t="shared" si="239"/>
        <v>86519.294999999998</v>
      </c>
      <c r="Q413" s="242">
        <f t="shared" si="239"/>
        <v>85629.15</v>
      </c>
      <c r="R413" s="242">
        <f t="shared" si="239"/>
        <v>88089.600000000006</v>
      </c>
      <c r="S413" s="242">
        <f t="shared" si="239"/>
        <v>84208.5</v>
      </c>
      <c r="T413" s="242">
        <f t="shared" si="239"/>
        <v>89419.5</v>
      </c>
      <c r="U413" s="242">
        <f t="shared" si="239"/>
        <v>88064.024999999994</v>
      </c>
      <c r="V413" s="242">
        <f t="shared" si="239"/>
        <v>86510.25</v>
      </c>
      <c r="W413" s="242">
        <f t="shared" si="239"/>
        <v>89189.324999999997</v>
      </c>
      <c r="X413" s="242">
        <f t="shared" si="239"/>
        <v>85421.25</v>
      </c>
      <c r="Y413" s="242">
        <f t="shared" si="239"/>
        <v>86836.425000000003</v>
      </c>
    </row>
    <row r="414" spans="1:29" ht="12.75" customHeight="1" x14ac:dyDescent="0.2">
      <c r="A414" s="450" t="s">
        <v>261</v>
      </c>
      <c r="B414" s="450" t="s">
        <v>269</v>
      </c>
      <c r="C414" s="450" t="s">
        <v>229</v>
      </c>
      <c r="D414" s="450" t="s">
        <v>220</v>
      </c>
      <c r="E414" s="531">
        <v>27370</v>
      </c>
      <c r="F414" s="531" t="s">
        <v>432</v>
      </c>
      <c r="G414" s="523"/>
      <c r="H414" s="525">
        <v>37256</v>
      </c>
      <c r="K414" s="534">
        <v>6.6699999999999995E-2</v>
      </c>
      <c r="L414" s="534">
        <v>3.3E-3</v>
      </c>
      <c r="N414" s="452">
        <f>N388*($K414+$L414)-N427</f>
        <v>45730.214199999995</v>
      </c>
      <c r="O414" s="452">
        <f>O388*($K414+$L414)-O427</f>
        <v>40883.919999999991</v>
      </c>
      <c r="P414" s="452">
        <f t="shared" ref="P414:Y414" si="240">P388*($K414+$L414)-P427</f>
        <v>44888.489799999996</v>
      </c>
      <c r="Q414" s="452">
        <f t="shared" si="240"/>
        <v>44276.825999999994</v>
      </c>
      <c r="R414" s="452">
        <f t="shared" si="240"/>
        <v>45579.423999999992</v>
      </c>
      <c r="S414" s="452">
        <f t="shared" si="240"/>
        <v>43651.739999999991</v>
      </c>
      <c r="T414" s="452">
        <f t="shared" si="240"/>
        <v>46164.579999999994</v>
      </c>
      <c r="U414" s="452">
        <f t="shared" si="240"/>
        <v>45568.170999999995</v>
      </c>
      <c r="V414" s="452">
        <f t="shared" si="240"/>
        <v>44664.509999999995</v>
      </c>
      <c r="W414" s="452">
        <f t="shared" si="240"/>
        <v>46063.302999999993</v>
      </c>
      <c r="X414" s="452">
        <f t="shared" si="240"/>
        <v>44185.349999999991</v>
      </c>
      <c r="Y414" s="452">
        <f t="shared" si="240"/>
        <v>45028.026999999995</v>
      </c>
      <c r="AC414" s="375">
        <f>SUM(N414:Y414)</f>
        <v>536684.55499999993</v>
      </c>
    </row>
    <row r="415" spans="1:29" ht="12.75" customHeight="1" x14ac:dyDescent="0.2">
      <c r="A415" s="450" t="s">
        <v>261</v>
      </c>
      <c r="B415" s="450" t="s">
        <v>269</v>
      </c>
      <c r="C415" s="450" t="s">
        <v>228</v>
      </c>
      <c r="D415" s="450" t="s">
        <v>223</v>
      </c>
      <c r="E415" s="531">
        <v>27371</v>
      </c>
      <c r="F415" s="531" t="s">
        <v>432</v>
      </c>
      <c r="G415" s="523"/>
      <c r="H415" s="525">
        <v>37256</v>
      </c>
      <c r="K415" s="534">
        <v>4.1700000000000001E-2</v>
      </c>
      <c r="L415" s="534">
        <v>3.3E-3</v>
      </c>
      <c r="O415" s="452">
        <f>O389*($K415+$L415)-O428</f>
        <v>24557.232</v>
      </c>
      <c r="P415" s="452">
        <f t="shared" ref="P415:Y415" si="241">P389*($K415+$L415)-P428</f>
        <v>26826.181080000002</v>
      </c>
      <c r="Q415" s="452">
        <f t="shared" si="241"/>
        <v>26766.759600000001</v>
      </c>
      <c r="R415" s="452">
        <f t="shared" si="241"/>
        <v>27491.990399999999</v>
      </c>
      <c r="S415" s="452">
        <f t="shared" si="241"/>
        <v>26164.403999999999</v>
      </c>
      <c r="T415" s="452">
        <f t="shared" si="241"/>
        <v>28055.867999999999</v>
      </c>
      <c r="U415" s="452">
        <f t="shared" si="241"/>
        <v>27481.1466</v>
      </c>
      <c r="V415" s="452">
        <f t="shared" si="241"/>
        <v>27140.346000000001</v>
      </c>
      <c r="W415" s="452">
        <f t="shared" si="241"/>
        <v>27958.273799999999</v>
      </c>
      <c r="X415" s="452">
        <f t="shared" si="241"/>
        <v>26678.61</v>
      </c>
      <c r="Y415" s="452">
        <f t="shared" si="241"/>
        <v>26960.644199999999</v>
      </c>
      <c r="AC415" s="375">
        <f>SUM(N415:Y415)</f>
        <v>296081.45567999996</v>
      </c>
    </row>
    <row r="416" spans="1:29" ht="12.75" customHeight="1" x14ac:dyDescent="0.2">
      <c r="A416" s="450" t="s">
        <v>261</v>
      </c>
      <c r="B416" s="450" t="s">
        <v>269</v>
      </c>
      <c r="C416" s="450" t="s">
        <v>228</v>
      </c>
      <c r="D416" s="450" t="s">
        <v>223</v>
      </c>
      <c r="E416" s="465"/>
      <c r="F416" s="465" t="s">
        <v>383</v>
      </c>
      <c r="G416" s="450" t="s">
        <v>374</v>
      </c>
      <c r="H416" s="459"/>
      <c r="K416" s="463">
        <v>1.67E-2</v>
      </c>
      <c r="L416" s="463">
        <v>3.3E-3</v>
      </c>
      <c r="N416" s="452">
        <f>N390*($K416+$L416)-N429</f>
        <v>0</v>
      </c>
      <c r="O416" s="452">
        <f t="shared" ref="O416:Y416" si="242">O390*($K416+$L416)-O429</f>
        <v>0</v>
      </c>
      <c r="P416" s="452">
        <f t="shared" si="242"/>
        <v>0</v>
      </c>
      <c r="Q416" s="452">
        <f t="shared" si="242"/>
        <v>0</v>
      </c>
      <c r="R416" s="452">
        <f t="shared" si="242"/>
        <v>0</v>
      </c>
      <c r="S416" s="452">
        <f t="shared" si="242"/>
        <v>0</v>
      </c>
      <c r="T416" s="452">
        <f t="shared" si="242"/>
        <v>0</v>
      </c>
      <c r="U416" s="452">
        <f t="shared" si="242"/>
        <v>0</v>
      </c>
      <c r="V416" s="452">
        <f t="shared" si="242"/>
        <v>0</v>
      </c>
      <c r="W416" s="452">
        <f t="shared" si="242"/>
        <v>0</v>
      </c>
      <c r="X416" s="452">
        <f t="shared" si="242"/>
        <v>0</v>
      </c>
      <c r="Y416" s="452">
        <f t="shared" si="242"/>
        <v>0</v>
      </c>
      <c r="AC416" s="375">
        <f>SUM(N416:Y416)</f>
        <v>0</v>
      </c>
    </row>
    <row r="417" spans="1:32" ht="12.75" customHeight="1" x14ac:dyDescent="0.2">
      <c r="A417" s="471" t="s">
        <v>261</v>
      </c>
      <c r="B417" s="471" t="s">
        <v>269</v>
      </c>
      <c r="C417" s="471" t="s">
        <v>229</v>
      </c>
      <c r="D417" s="471" t="s">
        <v>220</v>
      </c>
      <c r="E417" s="482">
        <v>25569</v>
      </c>
      <c r="F417" s="482" t="s">
        <v>318</v>
      </c>
      <c r="G417" s="523" t="s">
        <v>381</v>
      </c>
      <c r="H417" s="525">
        <v>37621</v>
      </c>
      <c r="I417" s="473"/>
      <c r="J417" s="471"/>
      <c r="K417" s="534">
        <v>4.1700000000000001E-2</v>
      </c>
      <c r="L417" s="534">
        <v>3.3E-3</v>
      </c>
      <c r="M417" s="475"/>
      <c r="N417" s="477">
        <f>N391*($K417+$L417)-N430</f>
        <v>17599.22235</v>
      </c>
      <c r="O417" s="473">
        <f>O391*($K417+$L417)-O430</f>
        <v>15637.86</v>
      </c>
      <c r="P417" s="473">
        <f t="shared" ref="P417:Y417" si="243">P391*($K417+$L417)-P430</f>
        <v>17082.709650000001</v>
      </c>
      <c r="Q417" s="473">
        <f t="shared" si="243"/>
        <v>17044.870500000001</v>
      </c>
      <c r="R417" s="473">
        <f t="shared" si="243"/>
        <v>17506.691999999999</v>
      </c>
      <c r="S417" s="473">
        <f t="shared" si="243"/>
        <v>16661.294999999998</v>
      </c>
      <c r="T417" s="473">
        <f t="shared" si="243"/>
        <v>17865.764999999999</v>
      </c>
      <c r="U417" s="473">
        <f t="shared" si="243"/>
        <v>17499.786749999999</v>
      </c>
      <c r="V417" s="473">
        <f t="shared" si="243"/>
        <v>17282.767500000002</v>
      </c>
      <c r="W417" s="473">
        <f t="shared" si="243"/>
        <v>17803.617750000001</v>
      </c>
      <c r="X417" s="473">
        <f t="shared" si="243"/>
        <v>16988.737499999999</v>
      </c>
      <c r="Y417" s="473">
        <f t="shared" si="243"/>
        <v>17168.334749999998</v>
      </c>
      <c r="AC417" s="375">
        <f>SUM(N417:Y417)</f>
        <v>206141.65875</v>
      </c>
    </row>
    <row r="418" spans="1:32" ht="12.75" customHeight="1" x14ac:dyDescent="0.15">
      <c r="A418" s="471" t="s">
        <v>261</v>
      </c>
      <c r="B418" s="471" t="s">
        <v>269</v>
      </c>
      <c r="C418" s="471" t="s">
        <v>229</v>
      </c>
      <c r="D418" s="471" t="s">
        <v>220</v>
      </c>
      <c r="E418" s="472">
        <v>27047</v>
      </c>
      <c r="F418" s="471" t="s">
        <v>319</v>
      </c>
      <c r="G418" s="523" t="s">
        <v>381</v>
      </c>
      <c r="H418" s="525">
        <v>38717</v>
      </c>
      <c r="I418" s="473"/>
      <c r="J418" s="471"/>
      <c r="K418" s="535">
        <v>1.77E-2</v>
      </c>
      <c r="L418" s="535">
        <v>3.3E-3</v>
      </c>
      <c r="M418" s="475"/>
      <c r="N418" s="477">
        <f>N392*($K418+$L418)-N431</f>
        <v>69955.762499999997</v>
      </c>
      <c r="O418" s="473">
        <f>O392*($K418+$L418)-O431</f>
        <v>60795</v>
      </c>
      <c r="P418" s="473">
        <f t="shared" ref="P418:Y418" si="244">P392*($K418+$L418)-P431</f>
        <v>65173.237500000003</v>
      </c>
      <c r="Q418" s="473">
        <f t="shared" si="244"/>
        <v>67822.875</v>
      </c>
      <c r="R418" s="473">
        <f t="shared" si="244"/>
        <v>69099</v>
      </c>
      <c r="S418" s="473">
        <f t="shared" si="244"/>
        <v>64271.25</v>
      </c>
      <c r="T418" s="473">
        <f t="shared" si="244"/>
        <v>72423.75</v>
      </c>
      <c r="U418" s="473">
        <f t="shared" si="244"/>
        <v>69035.0625</v>
      </c>
      <c r="V418" s="473">
        <f t="shared" si="244"/>
        <v>70025.625</v>
      </c>
      <c r="W418" s="473">
        <f t="shared" si="244"/>
        <v>71848.3125</v>
      </c>
      <c r="X418" s="473">
        <f t="shared" si="244"/>
        <v>67303.125</v>
      </c>
      <c r="Y418" s="473">
        <f t="shared" si="244"/>
        <v>65966.0625</v>
      </c>
      <c r="AC418" s="375">
        <f>SUM(N418:Y418)</f>
        <v>813719.0625</v>
      </c>
    </row>
    <row r="419" spans="1:32" ht="12.75" customHeight="1" x14ac:dyDescent="0.15">
      <c r="A419" s="450"/>
      <c r="B419" s="450"/>
      <c r="C419" s="450"/>
      <c r="D419" s="450"/>
      <c r="E419" s="456"/>
      <c r="F419" s="450"/>
      <c r="G419" s="450"/>
      <c r="K419" s="467"/>
      <c r="L419" s="467"/>
      <c r="N419" s="464">
        <f>N393*($K419+$L419)-N432</f>
        <v>0</v>
      </c>
      <c r="O419" s="464">
        <f t="shared" ref="O419:Y419" si="245">O393*($K419+$L419)-O432</f>
        <v>0</v>
      </c>
      <c r="P419" s="464">
        <f t="shared" si="245"/>
        <v>0</v>
      </c>
      <c r="Q419" s="464">
        <f t="shared" si="245"/>
        <v>0</v>
      </c>
      <c r="R419" s="464">
        <f t="shared" si="245"/>
        <v>0</v>
      </c>
      <c r="S419" s="464">
        <f t="shared" si="245"/>
        <v>0</v>
      </c>
      <c r="T419" s="464">
        <f t="shared" si="245"/>
        <v>0</v>
      </c>
      <c r="U419" s="464">
        <f t="shared" si="245"/>
        <v>0</v>
      </c>
      <c r="V419" s="464">
        <f t="shared" si="245"/>
        <v>0</v>
      </c>
      <c r="W419" s="464">
        <f t="shared" si="245"/>
        <v>0</v>
      </c>
      <c r="X419" s="464">
        <f t="shared" si="245"/>
        <v>0</v>
      </c>
      <c r="Y419" s="464">
        <f t="shared" si="245"/>
        <v>0</v>
      </c>
    </row>
    <row r="420" spans="1:32" ht="12.75" customHeight="1" x14ac:dyDescent="0.15">
      <c r="A420" s="450"/>
      <c r="B420" s="450"/>
      <c r="C420" s="450"/>
      <c r="D420" s="450"/>
      <c r="E420" s="469"/>
      <c r="F420" s="450"/>
      <c r="G420" s="450"/>
      <c r="I420" s="245"/>
      <c r="K420" s="467"/>
      <c r="L420" s="467"/>
      <c r="N420" s="460">
        <f>N394*($K420+$L420)-N433</f>
        <v>0</v>
      </c>
      <c r="O420" s="460">
        <f>O394*($K420+$L420)-O433</f>
        <v>0</v>
      </c>
      <c r="P420" s="460">
        <f t="shared" ref="P420:Y420" si="246">P394*($K420+$L420)-P433</f>
        <v>0</v>
      </c>
      <c r="Q420" s="460">
        <f t="shared" si="246"/>
        <v>0</v>
      </c>
      <c r="R420" s="460">
        <f t="shared" si="246"/>
        <v>0</v>
      </c>
      <c r="S420" s="460">
        <f t="shared" si="246"/>
        <v>0</v>
      </c>
      <c r="T420" s="460">
        <f t="shared" si="246"/>
        <v>0</v>
      </c>
      <c r="U420" s="460">
        <f t="shared" si="246"/>
        <v>0</v>
      </c>
      <c r="V420" s="460">
        <f t="shared" si="246"/>
        <v>0</v>
      </c>
      <c r="W420" s="460">
        <f t="shared" si="246"/>
        <v>0</v>
      </c>
      <c r="X420" s="460">
        <f t="shared" si="246"/>
        <v>0</v>
      </c>
      <c r="Y420" s="460">
        <f t="shared" si="246"/>
        <v>0</v>
      </c>
    </row>
    <row r="421" spans="1:32" ht="12.75" customHeight="1" x14ac:dyDescent="0.15">
      <c r="I421" s="242">
        <f>SUM(I411:I420)</f>
        <v>0</v>
      </c>
      <c r="N421" s="242">
        <f>SUM(N411:N420)</f>
        <v>309236.27004999999</v>
      </c>
      <c r="O421" s="242">
        <f t="shared" ref="O421:Y421" si="247">SUM(O411:O420)</f>
        <v>247142.81199999998</v>
      </c>
      <c r="P421" s="242">
        <f t="shared" si="247"/>
        <v>269151.49003000004</v>
      </c>
      <c r="Q421" s="242">
        <f t="shared" si="247"/>
        <v>274917.97109999997</v>
      </c>
      <c r="R421" s="242">
        <f t="shared" si="247"/>
        <v>282020.46640000003</v>
      </c>
      <c r="S421" s="242">
        <f t="shared" si="247"/>
        <v>267482.28899999999</v>
      </c>
      <c r="T421" s="242">
        <f t="shared" si="247"/>
        <v>288981.163</v>
      </c>
      <c r="U421" s="242">
        <f t="shared" si="247"/>
        <v>281886.60684999998</v>
      </c>
      <c r="V421" s="242">
        <f t="shared" si="247"/>
        <v>279529.64849999995</v>
      </c>
      <c r="W421" s="242">
        <f t="shared" si="247"/>
        <v>287776.42705</v>
      </c>
      <c r="X421" s="242">
        <f t="shared" si="247"/>
        <v>269329.82249999995</v>
      </c>
      <c r="Y421" s="242">
        <f t="shared" si="247"/>
        <v>270811.34845000005</v>
      </c>
      <c r="Z421" s="375">
        <f>SUM(N421:Y421)</f>
        <v>3328266.3149299999</v>
      </c>
    </row>
    <row r="424" spans="1:32" ht="12.75" customHeight="1" x14ac:dyDescent="0.2">
      <c r="A424" s="239" t="s">
        <v>261</v>
      </c>
      <c r="B424" s="239" t="s">
        <v>269</v>
      </c>
      <c r="C424" s="239" t="s">
        <v>229</v>
      </c>
      <c r="D424" s="239" t="s">
        <v>223</v>
      </c>
      <c r="E424" s="262">
        <v>24927</v>
      </c>
      <c r="F424" s="262" t="s">
        <v>270</v>
      </c>
      <c r="H424" s="253">
        <v>38748</v>
      </c>
      <c r="K424" s="265">
        <v>3.6700000000000003E-2</v>
      </c>
      <c r="L424" s="265">
        <v>3.3E-3</v>
      </c>
      <c r="M424" s="241" t="s">
        <v>226</v>
      </c>
      <c r="N424" s="242">
        <f>N398*$L424</f>
        <v>2740.6170000000002</v>
      </c>
      <c r="O424" s="242">
        <f t="shared" ref="O424:Y424" si="248">O398*$L424</f>
        <v>3049.2000000000003</v>
      </c>
      <c r="P424" s="242">
        <f t="shared" si="248"/>
        <v>3888.4229999999998</v>
      </c>
      <c r="Q424" s="242">
        <f t="shared" si="248"/>
        <v>2622.5099999999998</v>
      </c>
      <c r="R424" s="242">
        <f t="shared" si="248"/>
        <v>2946.24</v>
      </c>
      <c r="S424" s="242">
        <f t="shared" si="248"/>
        <v>3474.9</v>
      </c>
      <c r="T424" s="242">
        <f t="shared" si="248"/>
        <v>2148.3000000000002</v>
      </c>
      <c r="U424" s="242">
        <f t="shared" si="248"/>
        <v>2961.585</v>
      </c>
      <c r="V424" s="242">
        <f t="shared" si="248"/>
        <v>2093.85</v>
      </c>
      <c r="W424" s="242">
        <f t="shared" si="248"/>
        <v>2286.4050000000002</v>
      </c>
      <c r="X424" s="242">
        <f t="shared" si="248"/>
        <v>2747.25</v>
      </c>
      <c r="Y424" s="242">
        <f t="shared" si="248"/>
        <v>3698.145</v>
      </c>
      <c r="AF424" s="375">
        <f>SUM(N424:Y424)</f>
        <v>34657.424999999996</v>
      </c>
    </row>
    <row r="425" spans="1:32" ht="12.75" customHeight="1" x14ac:dyDescent="0.2">
      <c r="A425" s="239" t="s">
        <v>261</v>
      </c>
      <c r="B425" s="239" t="s">
        <v>269</v>
      </c>
      <c r="C425" s="239" t="s">
        <v>229</v>
      </c>
      <c r="D425" s="239" t="s">
        <v>223</v>
      </c>
      <c r="E425" s="262">
        <v>24926</v>
      </c>
      <c r="F425" s="262" t="s">
        <v>271</v>
      </c>
      <c r="H425" s="253">
        <v>36922</v>
      </c>
      <c r="K425" s="265">
        <v>5.67E-2</v>
      </c>
      <c r="L425" s="265">
        <v>3.3E-3</v>
      </c>
      <c r="M425" s="241" t="s">
        <v>226</v>
      </c>
      <c r="N425" s="242">
        <f>N399*$L425</f>
        <v>2740.6170000000002</v>
      </c>
      <c r="O425" s="242">
        <f t="shared" ref="O425:Y425" si="249">O399*$L425</f>
        <v>0</v>
      </c>
      <c r="P425" s="242">
        <f t="shared" si="249"/>
        <v>0</v>
      </c>
      <c r="Q425" s="242">
        <f t="shared" si="249"/>
        <v>0</v>
      </c>
      <c r="R425" s="242">
        <f t="shared" si="249"/>
        <v>0</v>
      </c>
      <c r="S425" s="242">
        <f t="shared" si="249"/>
        <v>0</v>
      </c>
      <c r="T425" s="242">
        <f t="shared" si="249"/>
        <v>0</v>
      </c>
      <c r="U425" s="242">
        <f t="shared" si="249"/>
        <v>0</v>
      </c>
      <c r="V425" s="242">
        <f t="shared" si="249"/>
        <v>0</v>
      </c>
      <c r="W425" s="242">
        <f t="shared" si="249"/>
        <v>0</v>
      </c>
      <c r="X425" s="242">
        <f t="shared" si="249"/>
        <v>0</v>
      </c>
      <c r="Y425" s="242">
        <f t="shared" si="249"/>
        <v>0</v>
      </c>
      <c r="AF425" s="375">
        <f>SUM(N425:Y425)</f>
        <v>2740.6170000000002</v>
      </c>
    </row>
    <row r="426" spans="1:32" ht="12.75" customHeight="1" x14ac:dyDescent="0.2">
      <c r="A426" s="239" t="s">
        <v>261</v>
      </c>
      <c r="B426" s="239" t="s">
        <v>269</v>
      </c>
      <c r="C426" s="239" t="s">
        <v>229</v>
      </c>
      <c r="D426" s="239" t="s">
        <v>223</v>
      </c>
      <c r="E426" s="262">
        <v>24925</v>
      </c>
      <c r="F426" s="262" t="s">
        <v>272</v>
      </c>
      <c r="H426" s="253">
        <v>38017</v>
      </c>
      <c r="K426" s="265">
        <v>5.67E-2</v>
      </c>
      <c r="L426" s="265">
        <v>3.3E-3</v>
      </c>
      <c r="M426" s="241" t="s">
        <v>226</v>
      </c>
      <c r="N426" s="242">
        <f>N400*$L426</f>
        <v>4567.6949999999997</v>
      </c>
      <c r="O426" s="242">
        <f t="shared" ref="O426:Y426" si="250">O400*$L426</f>
        <v>5082.0000000000009</v>
      </c>
      <c r="P426" s="242">
        <f t="shared" si="250"/>
        <v>6480.704999999999</v>
      </c>
      <c r="Q426" s="242">
        <f t="shared" si="250"/>
        <v>4370.8500000000004</v>
      </c>
      <c r="R426" s="242">
        <f t="shared" si="250"/>
        <v>4910.3999999999996</v>
      </c>
      <c r="S426" s="242">
        <f t="shared" si="250"/>
        <v>5791.5</v>
      </c>
      <c r="T426" s="242">
        <f t="shared" si="250"/>
        <v>3580.5</v>
      </c>
      <c r="U426" s="242">
        <f t="shared" si="250"/>
        <v>4935.9750000000004</v>
      </c>
      <c r="V426" s="242">
        <f t="shared" si="250"/>
        <v>3489.75</v>
      </c>
      <c r="W426" s="242">
        <f t="shared" si="250"/>
        <v>3810.6750000000002</v>
      </c>
      <c r="X426" s="242">
        <f t="shared" si="250"/>
        <v>4578.75</v>
      </c>
      <c r="Y426" s="242">
        <f t="shared" si="250"/>
        <v>6163.5749999999998</v>
      </c>
      <c r="AF426" s="375">
        <f>SUM(N426:Y426)</f>
        <v>57762.375</v>
      </c>
    </row>
    <row r="427" spans="1:32" ht="12.75" customHeight="1" x14ac:dyDescent="0.2">
      <c r="A427" s="450" t="s">
        <v>261</v>
      </c>
      <c r="B427" s="450" t="s">
        <v>269</v>
      </c>
      <c r="C427" s="450" t="s">
        <v>229</v>
      </c>
      <c r="D427" s="450" t="s">
        <v>223</v>
      </c>
      <c r="E427" s="531">
        <v>27370</v>
      </c>
      <c r="F427" s="531" t="s">
        <v>432</v>
      </c>
      <c r="G427" s="523"/>
      <c r="H427" s="525">
        <v>37256</v>
      </c>
      <c r="K427" s="463">
        <v>1.67E-2</v>
      </c>
      <c r="L427" s="463">
        <v>3.3E-3</v>
      </c>
      <c r="N427" s="452">
        <f>N401*$L427</f>
        <v>2009.7857999999999</v>
      </c>
      <c r="O427" s="452">
        <f>O401*$L427</f>
        <v>2236.08</v>
      </c>
      <c r="P427" s="452">
        <f t="shared" ref="P427:Y427" si="251">P401*$L427</f>
        <v>2851.5101999999997</v>
      </c>
      <c r="Q427" s="452">
        <f t="shared" si="251"/>
        <v>1923.174</v>
      </c>
      <c r="R427" s="452">
        <f t="shared" si="251"/>
        <v>2160.576</v>
      </c>
      <c r="S427" s="452">
        <f t="shared" si="251"/>
        <v>2548.2599999999998</v>
      </c>
      <c r="T427" s="452">
        <f t="shared" si="251"/>
        <v>1575.4199999999998</v>
      </c>
      <c r="U427" s="452">
        <f t="shared" si="251"/>
        <v>2171.8290000000002</v>
      </c>
      <c r="V427" s="452">
        <f t="shared" si="251"/>
        <v>1535.49</v>
      </c>
      <c r="W427" s="452">
        <f t="shared" si="251"/>
        <v>1676.6969999999999</v>
      </c>
      <c r="X427" s="452">
        <f t="shared" si="251"/>
        <v>2014.65</v>
      </c>
      <c r="Y427" s="452">
        <f t="shared" si="251"/>
        <v>2711.973</v>
      </c>
      <c r="AC427" s="375">
        <f>SUM(N427:Y427)</f>
        <v>25415.445000000007</v>
      </c>
      <c r="AD427" s="375">
        <f>AC427</f>
        <v>25415.445000000007</v>
      </c>
      <c r="AF427" s="375"/>
    </row>
    <row r="428" spans="1:32" ht="12.75" customHeight="1" x14ac:dyDescent="0.2">
      <c r="A428" s="450" t="s">
        <v>261</v>
      </c>
      <c r="B428" s="450" t="s">
        <v>269</v>
      </c>
      <c r="C428" s="450" t="s">
        <v>228</v>
      </c>
      <c r="D428" s="450" t="s">
        <v>223</v>
      </c>
      <c r="E428" s="531">
        <v>27371</v>
      </c>
      <c r="F428" s="531" t="s">
        <v>432</v>
      </c>
      <c r="G428" s="523"/>
      <c r="H428" s="525">
        <v>37256</v>
      </c>
      <c r="K428" s="463">
        <v>3.6700000000000003E-2</v>
      </c>
      <c r="L428" s="463">
        <v>3.3E-3</v>
      </c>
      <c r="O428" s="452">
        <f>O402*$L428</f>
        <v>2154.768</v>
      </c>
      <c r="P428" s="452">
        <f>P402*$L428</f>
        <v>2747.8189199999997</v>
      </c>
      <c r="Q428" s="452">
        <f t="shared" ref="Q428:Y428" si="252">Q402*$L428</f>
        <v>1853.2403999999999</v>
      </c>
      <c r="R428" s="452">
        <f t="shared" si="252"/>
        <v>2082.0095999999999</v>
      </c>
      <c r="S428" s="452">
        <f t="shared" si="252"/>
        <v>2455.596</v>
      </c>
      <c r="T428" s="452">
        <f t="shared" si="252"/>
        <v>1518.1319999999998</v>
      </c>
      <c r="U428" s="452">
        <f t="shared" si="252"/>
        <v>2092.8534</v>
      </c>
      <c r="V428" s="452">
        <f t="shared" si="252"/>
        <v>1479.654</v>
      </c>
      <c r="W428" s="452">
        <f t="shared" si="252"/>
        <v>1615.7262000000001</v>
      </c>
      <c r="X428" s="452">
        <f t="shared" si="252"/>
        <v>1941.39</v>
      </c>
      <c r="Y428" s="452">
        <f t="shared" si="252"/>
        <v>2613.3557999999998</v>
      </c>
      <c r="AC428" s="375">
        <f>SUM(N428:Y428)</f>
        <v>22554.544320000001</v>
      </c>
      <c r="AD428" s="375">
        <f t="shared" ref="AD428:AD433" si="253">AC428</f>
        <v>22554.544320000001</v>
      </c>
      <c r="AF428" s="375"/>
    </row>
    <row r="429" spans="1:32" ht="12.75" customHeight="1" x14ac:dyDescent="0.2">
      <c r="A429" s="450" t="s">
        <v>261</v>
      </c>
      <c r="B429" s="450" t="s">
        <v>269</v>
      </c>
      <c r="C429" s="450" t="s">
        <v>228</v>
      </c>
      <c r="D429" s="450" t="s">
        <v>223</v>
      </c>
      <c r="E429" s="465"/>
      <c r="F429" s="465" t="s">
        <v>383</v>
      </c>
      <c r="G429" s="450" t="s">
        <v>374</v>
      </c>
      <c r="H429" s="459"/>
      <c r="K429" s="463">
        <v>1.67E-2</v>
      </c>
      <c r="L429" s="463">
        <v>3.3E-3</v>
      </c>
      <c r="N429" s="452">
        <f>N403*$L429</f>
        <v>0</v>
      </c>
      <c r="O429" s="452">
        <f>O403*$L429</f>
        <v>0</v>
      </c>
      <c r="P429" s="452">
        <f t="shared" ref="P429:Y429" si="254">P403*$L429</f>
        <v>0</v>
      </c>
      <c r="Q429" s="452">
        <f t="shared" si="254"/>
        <v>0</v>
      </c>
      <c r="R429" s="452">
        <f t="shared" si="254"/>
        <v>0</v>
      </c>
      <c r="S429" s="452">
        <f t="shared" si="254"/>
        <v>0</v>
      </c>
      <c r="T429" s="452">
        <f t="shared" si="254"/>
        <v>0</v>
      </c>
      <c r="U429" s="452">
        <f t="shared" si="254"/>
        <v>0</v>
      </c>
      <c r="V429" s="452">
        <f t="shared" si="254"/>
        <v>0</v>
      </c>
      <c r="W429" s="452">
        <f t="shared" si="254"/>
        <v>0</v>
      </c>
      <c r="X429" s="452">
        <f t="shared" si="254"/>
        <v>0</v>
      </c>
      <c r="Y429" s="452">
        <f t="shared" si="254"/>
        <v>0</v>
      </c>
      <c r="AC429" s="375">
        <f>SUM(N429:Y429)</f>
        <v>0</v>
      </c>
      <c r="AD429" s="375">
        <f t="shared" si="253"/>
        <v>0</v>
      </c>
      <c r="AF429" s="375"/>
    </row>
    <row r="430" spans="1:32" ht="12.75" customHeight="1" x14ac:dyDescent="0.2">
      <c r="A430" s="450" t="s">
        <v>261</v>
      </c>
      <c r="B430" s="471" t="s">
        <v>269</v>
      </c>
      <c r="C430" s="471" t="s">
        <v>229</v>
      </c>
      <c r="D430" s="471" t="s">
        <v>223</v>
      </c>
      <c r="E430" s="482">
        <v>25569</v>
      </c>
      <c r="F430" s="482" t="s">
        <v>318</v>
      </c>
      <c r="G430" s="523" t="s">
        <v>381</v>
      </c>
      <c r="H430" s="525">
        <v>37621</v>
      </c>
      <c r="I430" s="473"/>
      <c r="J430" s="471"/>
      <c r="K430" s="534">
        <v>4.1700000000000001E-2</v>
      </c>
      <c r="L430" s="534">
        <v>3.3E-3</v>
      </c>
      <c r="M430" s="475"/>
      <c r="N430" s="477">
        <f>N404*$L430</f>
        <v>1233.27765</v>
      </c>
      <c r="O430" s="477">
        <f>O404*$L430</f>
        <v>1372.14</v>
      </c>
      <c r="P430" s="477">
        <f t="shared" ref="P430:Y430" si="255">P404*$L430</f>
        <v>1749.79035</v>
      </c>
      <c r="Q430" s="477">
        <f t="shared" si="255"/>
        <v>1180.1295</v>
      </c>
      <c r="R430" s="477">
        <f t="shared" si="255"/>
        <v>1325.808</v>
      </c>
      <c r="S430" s="477">
        <f t="shared" si="255"/>
        <v>1563.7049999999999</v>
      </c>
      <c r="T430" s="477">
        <f t="shared" si="255"/>
        <v>966.73500000000001</v>
      </c>
      <c r="U430" s="477">
        <f t="shared" si="255"/>
        <v>1332.71325</v>
      </c>
      <c r="V430" s="477">
        <f t="shared" si="255"/>
        <v>942.23249999999996</v>
      </c>
      <c r="W430" s="477">
        <f t="shared" si="255"/>
        <v>1028.8822499999999</v>
      </c>
      <c r="X430" s="477">
        <f t="shared" si="255"/>
        <v>1236.2625</v>
      </c>
      <c r="Y430" s="477">
        <f t="shared" si="255"/>
        <v>1664.1652500000002</v>
      </c>
      <c r="AC430" s="375">
        <f>SUM(N430:Y430)</f>
        <v>15595.841250000003</v>
      </c>
      <c r="AD430" s="375">
        <f t="shared" si="253"/>
        <v>15595.841250000003</v>
      </c>
      <c r="AF430" s="375"/>
    </row>
    <row r="431" spans="1:32" ht="12.75" customHeight="1" x14ac:dyDescent="0.15">
      <c r="A431" s="471" t="s">
        <v>261</v>
      </c>
      <c r="B431" s="471" t="s">
        <v>269</v>
      </c>
      <c r="C431" s="471" t="s">
        <v>229</v>
      </c>
      <c r="D431" s="471" t="s">
        <v>223</v>
      </c>
      <c r="E431" s="472">
        <v>27047</v>
      </c>
      <c r="F431" s="471" t="s">
        <v>319</v>
      </c>
      <c r="G431" s="523" t="s">
        <v>381</v>
      </c>
      <c r="H431" s="525">
        <v>38717</v>
      </c>
      <c r="I431" s="473"/>
      <c r="J431" s="471"/>
      <c r="K431" s="535">
        <v>1.77E-2</v>
      </c>
      <c r="L431" s="535">
        <v>3.3E-3</v>
      </c>
      <c r="M431" s="475"/>
      <c r="N431" s="477">
        <f>N405*$L431</f>
        <v>11419.237499999999</v>
      </c>
      <c r="O431" s="477">
        <f>O405*$L431</f>
        <v>12705.000000000002</v>
      </c>
      <c r="P431" s="477">
        <f t="shared" ref="P431:Y431" si="256">P405*$L431</f>
        <v>16201.762500000001</v>
      </c>
      <c r="Q431" s="477">
        <f t="shared" si="256"/>
        <v>10927.125</v>
      </c>
      <c r="R431" s="477">
        <f t="shared" si="256"/>
        <v>12276</v>
      </c>
      <c r="S431" s="477">
        <f t="shared" si="256"/>
        <v>14478.75</v>
      </c>
      <c r="T431" s="477">
        <f t="shared" si="256"/>
        <v>8951.25</v>
      </c>
      <c r="U431" s="477">
        <f t="shared" si="256"/>
        <v>12339.9375</v>
      </c>
      <c r="V431" s="477">
        <f t="shared" si="256"/>
        <v>8724.375</v>
      </c>
      <c r="W431" s="477">
        <f t="shared" si="256"/>
        <v>9526.6875</v>
      </c>
      <c r="X431" s="477">
        <f t="shared" si="256"/>
        <v>11446.875</v>
      </c>
      <c r="Y431" s="477">
        <f t="shared" si="256"/>
        <v>15408.9375</v>
      </c>
      <c r="AC431" s="375">
        <f>SUM(N431:Y431)</f>
        <v>144405.9375</v>
      </c>
      <c r="AD431" s="375">
        <f t="shared" si="253"/>
        <v>144405.9375</v>
      </c>
      <c r="AF431" s="375"/>
    </row>
    <row r="432" spans="1:32" ht="12.75" customHeight="1" x14ac:dyDescent="0.15">
      <c r="A432" s="450"/>
      <c r="B432" s="450"/>
      <c r="C432" s="450"/>
      <c r="D432" s="450"/>
      <c r="E432" s="456"/>
      <c r="F432" s="450"/>
      <c r="G432" s="450"/>
      <c r="K432" s="467"/>
      <c r="L432" s="467"/>
      <c r="N432" s="464">
        <f>N406*$L432</f>
        <v>0</v>
      </c>
      <c r="O432" s="464">
        <f t="shared" ref="O432:Y432" si="257">O406*$L432</f>
        <v>0</v>
      </c>
      <c r="P432" s="464">
        <f t="shared" si="257"/>
        <v>0</v>
      </c>
      <c r="Q432" s="464">
        <f t="shared" si="257"/>
        <v>0</v>
      </c>
      <c r="R432" s="464">
        <f t="shared" si="257"/>
        <v>0</v>
      </c>
      <c r="S432" s="464">
        <f t="shared" si="257"/>
        <v>0</v>
      </c>
      <c r="T432" s="464">
        <f t="shared" si="257"/>
        <v>0</v>
      </c>
      <c r="U432" s="464">
        <f t="shared" si="257"/>
        <v>0</v>
      </c>
      <c r="V432" s="464">
        <f t="shared" si="257"/>
        <v>0</v>
      </c>
      <c r="W432" s="464">
        <f t="shared" si="257"/>
        <v>0</v>
      </c>
      <c r="X432" s="464">
        <f t="shared" si="257"/>
        <v>0</v>
      </c>
      <c r="Y432" s="464">
        <f t="shared" si="257"/>
        <v>0</v>
      </c>
      <c r="AD432" s="375">
        <f t="shared" si="253"/>
        <v>0</v>
      </c>
      <c r="AF432" s="375"/>
    </row>
    <row r="433" spans="1:31" ht="12.75" customHeight="1" x14ac:dyDescent="0.15">
      <c r="A433" s="450"/>
      <c r="B433" s="450"/>
      <c r="C433" s="450"/>
      <c r="D433" s="450"/>
      <c r="E433" s="469"/>
      <c r="F433" s="450"/>
      <c r="G433" s="450"/>
      <c r="I433" s="245"/>
      <c r="K433" s="467"/>
      <c r="L433" s="467"/>
      <c r="M433" s="470"/>
      <c r="N433" s="460">
        <f>N407*$L433</f>
        <v>0</v>
      </c>
      <c r="O433" s="460">
        <f>O407*$L433</f>
        <v>0</v>
      </c>
      <c r="P433" s="460">
        <f t="shared" ref="P433:Y433" si="258">P407*$L433</f>
        <v>0</v>
      </c>
      <c r="Q433" s="460">
        <f t="shared" si="258"/>
        <v>0</v>
      </c>
      <c r="R433" s="460">
        <f t="shared" si="258"/>
        <v>0</v>
      </c>
      <c r="S433" s="460">
        <f t="shared" si="258"/>
        <v>0</v>
      </c>
      <c r="T433" s="460">
        <f t="shared" si="258"/>
        <v>0</v>
      </c>
      <c r="U433" s="460">
        <f t="shared" si="258"/>
        <v>0</v>
      </c>
      <c r="V433" s="460">
        <f t="shared" si="258"/>
        <v>0</v>
      </c>
      <c r="W433" s="460">
        <f t="shared" si="258"/>
        <v>0</v>
      </c>
      <c r="X433" s="460">
        <f t="shared" si="258"/>
        <v>0</v>
      </c>
      <c r="Y433" s="460">
        <f t="shared" si="258"/>
        <v>0</v>
      </c>
      <c r="AD433" s="375">
        <f t="shared" si="253"/>
        <v>0</v>
      </c>
    </row>
    <row r="434" spans="1:31" ht="12.75" customHeight="1" x14ac:dyDescent="0.15">
      <c r="I434" s="242">
        <f>SUM(I424:I433)</f>
        <v>0</v>
      </c>
      <c r="N434" s="242">
        <f>SUM(N424:N433)</f>
        <v>24711.229950000001</v>
      </c>
      <c r="O434" s="242">
        <f t="shared" ref="O434:Y434" si="259">SUM(O424:O433)</f>
        <v>26599.188000000002</v>
      </c>
      <c r="P434" s="242">
        <f t="shared" si="259"/>
        <v>33920.009969999999</v>
      </c>
      <c r="Q434" s="242">
        <f t="shared" si="259"/>
        <v>22877.028900000001</v>
      </c>
      <c r="R434" s="242">
        <f t="shared" si="259"/>
        <v>25701.033599999999</v>
      </c>
      <c r="S434" s="242">
        <f t="shared" si="259"/>
        <v>30312.710999999999</v>
      </c>
      <c r="T434" s="242">
        <f t="shared" si="259"/>
        <v>18740.337</v>
      </c>
      <c r="U434" s="242">
        <f t="shared" si="259"/>
        <v>25834.893150000004</v>
      </c>
      <c r="V434" s="242">
        <f t="shared" si="259"/>
        <v>18265.351500000001</v>
      </c>
      <c r="W434" s="242">
        <f t="shared" si="259"/>
        <v>19945.072950000002</v>
      </c>
      <c r="X434" s="242">
        <f t="shared" si="259"/>
        <v>23965.177499999998</v>
      </c>
      <c r="Y434" s="242">
        <f t="shared" si="259"/>
        <v>32260.151549999999</v>
      </c>
      <c r="Z434" s="375">
        <f>SUM(N434:Y434)</f>
        <v>303132.18507000001</v>
      </c>
      <c r="AE434" s="375">
        <f>Z434</f>
        <v>303132.18507000001</v>
      </c>
    </row>
    <row r="436" spans="1:31" ht="12.75" customHeight="1" x14ac:dyDescent="0.15">
      <c r="A436" s="239" t="s">
        <v>261</v>
      </c>
      <c r="B436" s="239" t="s">
        <v>269</v>
      </c>
      <c r="C436" s="239" t="s">
        <v>228</v>
      </c>
      <c r="D436" s="239" t="s">
        <v>362</v>
      </c>
      <c r="N436" s="242">
        <v>129800</v>
      </c>
      <c r="O436" s="242">
        <v>53200</v>
      </c>
      <c r="P436" s="242">
        <v>55600</v>
      </c>
      <c r="Q436" s="242">
        <v>85000</v>
      </c>
      <c r="R436" s="242">
        <v>116400</v>
      </c>
      <c r="S436" s="242">
        <v>148000</v>
      </c>
      <c r="T436" s="242">
        <v>114000</v>
      </c>
      <c r="U436" s="242">
        <v>107800</v>
      </c>
      <c r="V436" s="242">
        <v>86000</v>
      </c>
      <c r="W436" s="242">
        <v>26000</v>
      </c>
      <c r="X436" s="242">
        <v>26000</v>
      </c>
      <c r="Y436" s="242">
        <v>102100</v>
      </c>
    </row>
    <row r="437" spans="1:31" ht="12.75" customHeight="1" x14ac:dyDescent="0.15">
      <c r="A437" s="239" t="s">
        <v>261</v>
      </c>
      <c r="B437" s="239" t="s">
        <v>269</v>
      </c>
      <c r="C437" s="239" t="s">
        <v>157</v>
      </c>
      <c r="D437" s="239" t="s">
        <v>362</v>
      </c>
      <c r="N437" s="251">
        <v>1.77E-2</v>
      </c>
      <c r="O437" s="251">
        <v>1.54E-2</v>
      </c>
      <c r="P437" s="251">
        <v>2.4799999999999999E-2</v>
      </c>
      <c r="Q437" s="251">
        <v>1.9800000000000002E-2</v>
      </c>
      <c r="R437" s="251">
        <v>1.5100000000000001E-2</v>
      </c>
      <c r="S437" s="251">
        <v>1.9099999999999999E-2</v>
      </c>
      <c r="T437" s="251">
        <v>1.5100000000000001E-2</v>
      </c>
      <c r="U437" s="251">
        <v>1.5100000000000001E-2</v>
      </c>
      <c r="V437" s="251">
        <v>1.5100000000000001E-2</v>
      </c>
      <c r="W437" s="251">
        <v>1.5100000000000001E-2</v>
      </c>
      <c r="X437" s="251">
        <v>1.5100000000000001E-2</v>
      </c>
      <c r="Y437" s="251">
        <v>1.5100000000000001E-2</v>
      </c>
    </row>
    <row r="438" spans="1:31" ht="12.75" customHeight="1" x14ac:dyDescent="0.15">
      <c r="A438" s="239" t="s">
        <v>261</v>
      </c>
      <c r="B438" s="239" t="s">
        <v>269</v>
      </c>
      <c r="C438" s="239" t="s">
        <v>229</v>
      </c>
      <c r="D438" s="239" t="s">
        <v>362</v>
      </c>
      <c r="N438" s="242">
        <f t="shared" ref="N438:Y438" si="260">N436*N437*N1</f>
        <v>71221.259999999995</v>
      </c>
      <c r="O438" s="242">
        <f t="shared" si="260"/>
        <v>22939.84</v>
      </c>
      <c r="P438" s="242">
        <f t="shared" si="260"/>
        <v>42745.279999999999</v>
      </c>
      <c r="Q438" s="242">
        <f t="shared" si="260"/>
        <v>50490.000000000007</v>
      </c>
      <c r="R438" s="242">
        <f t="shared" si="260"/>
        <v>54486.840000000004</v>
      </c>
      <c r="S438" s="242">
        <f t="shared" si="260"/>
        <v>84803.999999999985</v>
      </c>
      <c r="T438" s="242">
        <f t="shared" si="260"/>
        <v>53363.4</v>
      </c>
      <c r="U438" s="242">
        <f t="shared" si="260"/>
        <v>50461.18</v>
      </c>
      <c r="V438" s="242">
        <f t="shared" si="260"/>
        <v>38958.000000000007</v>
      </c>
      <c r="W438" s="242">
        <f t="shared" si="260"/>
        <v>12170.6</v>
      </c>
      <c r="X438" s="242">
        <f t="shared" si="260"/>
        <v>11778</v>
      </c>
      <c r="Y438" s="242">
        <f t="shared" si="260"/>
        <v>47793.01</v>
      </c>
      <c r="Z438" s="375">
        <f>SUM(N438:Y438)</f>
        <v>541211.40999999992</v>
      </c>
    </row>
    <row r="440" spans="1:31" ht="12.75" customHeight="1" x14ac:dyDescent="0.15">
      <c r="L440" s="239" t="s">
        <v>382</v>
      </c>
    </row>
    <row r="442" spans="1:31" s="247" customFormat="1" ht="12.75" customHeight="1" x14ac:dyDescent="0.15">
      <c r="E442" s="248"/>
      <c r="H442" s="248"/>
      <c r="I442" s="249"/>
      <c r="K442" s="252"/>
      <c r="M442" s="250"/>
      <c r="N442" s="249"/>
      <c r="O442" s="249"/>
      <c r="P442" s="249"/>
      <c r="Q442" s="249"/>
      <c r="R442" s="249"/>
      <c r="S442" s="249"/>
      <c r="T442" s="249"/>
      <c r="U442" s="249"/>
      <c r="V442" s="249"/>
      <c r="W442" s="249"/>
      <c r="X442" s="249"/>
      <c r="Y442" s="249"/>
    </row>
    <row r="443" spans="1:31" ht="12.75" customHeight="1" x14ac:dyDescent="0.15">
      <c r="K443" s="251" t="s">
        <v>295</v>
      </c>
      <c r="N443" s="242">
        <v>20000</v>
      </c>
      <c r="O443" s="242">
        <v>20000</v>
      </c>
      <c r="P443" s="242">
        <v>20000</v>
      </c>
      <c r="Q443" s="242">
        <v>20000</v>
      </c>
      <c r="R443" s="242">
        <v>10000</v>
      </c>
      <c r="S443" s="242">
        <v>10000</v>
      </c>
      <c r="T443" s="242">
        <v>10000</v>
      </c>
      <c r="U443" s="242">
        <v>10000</v>
      </c>
      <c r="V443" s="242">
        <v>10000</v>
      </c>
      <c r="W443" s="242">
        <v>20000</v>
      </c>
      <c r="X443" s="242">
        <v>20000</v>
      </c>
      <c r="Y443" s="242">
        <v>20000</v>
      </c>
    </row>
    <row r="444" spans="1:31" ht="12.75" customHeight="1" x14ac:dyDescent="0.15">
      <c r="N444" s="242">
        <v>40000</v>
      </c>
      <c r="O444" s="242">
        <v>40000</v>
      </c>
      <c r="P444" s="242">
        <v>25000</v>
      </c>
      <c r="Q444" s="242">
        <v>25000</v>
      </c>
      <c r="R444" s="242">
        <v>10000</v>
      </c>
      <c r="S444" s="242">
        <v>10000</v>
      </c>
      <c r="T444" s="242">
        <v>10000</v>
      </c>
      <c r="U444" s="242">
        <v>10000</v>
      </c>
      <c r="V444" s="242">
        <v>10000</v>
      </c>
      <c r="W444" s="242">
        <v>35000</v>
      </c>
      <c r="X444" s="242">
        <v>80000</v>
      </c>
      <c r="Y444" s="242">
        <v>80000</v>
      </c>
    </row>
    <row r="445" spans="1:31" ht="12.75" customHeight="1" x14ac:dyDescent="0.2">
      <c r="A445" s="239" t="s">
        <v>163</v>
      </c>
      <c r="B445" s="239" t="s">
        <v>282</v>
      </c>
      <c r="C445" s="239" t="s">
        <v>228</v>
      </c>
      <c r="D445" s="239" t="s">
        <v>220</v>
      </c>
      <c r="E445" s="266">
        <v>24194</v>
      </c>
      <c r="F445" s="266" t="s">
        <v>273</v>
      </c>
      <c r="H445" s="269">
        <v>37164</v>
      </c>
      <c r="I445" s="273">
        <v>25000</v>
      </c>
      <c r="K445" s="276"/>
      <c r="L445" s="277"/>
      <c r="M445" s="241" t="s">
        <v>283</v>
      </c>
      <c r="N445" s="242">
        <f t="shared" ref="N445:V445" si="261">N444*N1</f>
        <v>1240000</v>
      </c>
      <c r="O445" s="242">
        <f t="shared" si="261"/>
        <v>1120000</v>
      </c>
      <c r="P445" s="242">
        <f t="shared" si="261"/>
        <v>775000</v>
      </c>
      <c r="Q445" s="242">
        <f t="shared" si="261"/>
        <v>750000</v>
      </c>
      <c r="R445" s="242">
        <f t="shared" si="261"/>
        <v>310000</v>
      </c>
      <c r="S445" s="242">
        <f t="shared" si="261"/>
        <v>300000</v>
      </c>
      <c r="T445" s="242">
        <f t="shared" si="261"/>
        <v>310000</v>
      </c>
      <c r="U445" s="242">
        <f t="shared" si="261"/>
        <v>310000</v>
      </c>
      <c r="V445" s="242">
        <f t="shared" si="261"/>
        <v>300000</v>
      </c>
    </row>
    <row r="446" spans="1:31" ht="12.75" customHeight="1" x14ac:dyDescent="0.2">
      <c r="A446" s="239" t="s">
        <v>163</v>
      </c>
      <c r="B446" s="239" t="s">
        <v>282</v>
      </c>
      <c r="C446" s="239" t="s">
        <v>228</v>
      </c>
      <c r="D446" s="239" t="s">
        <v>220</v>
      </c>
      <c r="E446" s="266">
        <v>27291</v>
      </c>
      <c r="F446" s="266" t="s">
        <v>236</v>
      </c>
      <c r="G446" s="240">
        <v>36739</v>
      </c>
      <c r="H446" s="269">
        <v>37468</v>
      </c>
      <c r="I446" s="273">
        <v>20000</v>
      </c>
      <c r="K446" s="276"/>
      <c r="L446" s="277"/>
      <c r="M446" s="241" t="s">
        <v>226</v>
      </c>
      <c r="N446" s="242">
        <f t="shared" ref="N446:Y446" si="262">$I$446*N$1</f>
        <v>620000</v>
      </c>
      <c r="O446" s="242">
        <f t="shared" si="262"/>
        <v>560000</v>
      </c>
      <c r="P446" s="242">
        <f t="shared" si="262"/>
        <v>620000</v>
      </c>
      <c r="Q446" s="242">
        <f t="shared" si="262"/>
        <v>600000</v>
      </c>
      <c r="R446" s="242">
        <f t="shared" si="262"/>
        <v>620000</v>
      </c>
      <c r="S446" s="242">
        <f t="shared" si="262"/>
        <v>600000</v>
      </c>
      <c r="T446" s="242">
        <f t="shared" si="262"/>
        <v>620000</v>
      </c>
      <c r="U446" s="242">
        <f t="shared" si="262"/>
        <v>620000</v>
      </c>
      <c r="V446" s="242">
        <f t="shared" si="262"/>
        <v>600000</v>
      </c>
      <c r="W446" s="242">
        <f t="shared" si="262"/>
        <v>620000</v>
      </c>
      <c r="X446" s="242">
        <f t="shared" si="262"/>
        <v>600000</v>
      </c>
      <c r="Y446" s="242">
        <f t="shared" si="262"/>
        <v>620000</v>
      </c>
    </row>
    <row r="447" spans="1:31" ht="12.75" customHeight="1" x14ac:dyDescent="0.2">
      <c r="A447" s="239" t="s">
        <v>163</v>
      </c>
      <c r="B447" s="239" t="s">
        <v>282</v>
      </c>
      <c r="C447" s="239" t="s">
        <v>228</v>
      </c>
      <c r="D447" s="239" t="s">
        <v>220</v>
      </c>
      <c r="E447" s="266" t="s">
        <v>274</v>
      </c>
      <c r="F447" s="266" t="s">
        <v>275</v>
      </c>
      <c r="H447" s="269">
        <v>37407</v>
      </c>
      <c r="I447" s="273">
        <v>35714</v>
      </c>
      <c r="K447" s="276"/>
      <c r="L447" s="277"/>
      <c r="M447" s="241" t="s">
        <v>226</v>
      </c>
      <c r="N447" s="242">
        <f t="shared" ref="N447:S447" si="263">$I$447*N$1</f>
        <v>1107134</v>
      </c>
      <c r="O447" s="242">
        <f t="shared" si="263"/>
        <v>999992</v>
      </c>
      <c r="P447" s="242">
        <f t="shared" si="263"/>
        <v>1107134</v>
      </c>
      <c r="Q447" s="242">
        <f t="shared" si="263"/>
        <v>1071420</v>
      </c>
      <c r="R447" s="242">
        <f t="shared" si="263"/>
        <v>1107134</v>
      </c>
      <c r="S447" s="242">
        <f t="shared" si="263"/>
        <v>1071420</v>
      </c>
      <c r="T447" s="242">
        <f>$I$447*T$1</f>
        <v>1107134</v>
      </c>
      <c r="U447" s="242">
        <f>$I$447*U$1</f>
        <v>1107134</v>
      </c>
      <c r="W447" s="242">
        <v>0</v>
      </c>
      <c r="X447" s="242">
        <v>0</v>
      </c>
      <c r="Y447" s="242">
        <f>$I$447*Y$1</f>
        <v>1107134</v>
      </c>
    </row>
    <row r="448" spans="1:31" ht="12.75" customHeight="1" x14ac:dyDescent="0.2">
      <c r="A448" s="239" t="s">
        <v>163</v>
      </c>
      <c r="B448" s="239" t="s">
        <v>282</v>
      </c>
      <c r="C448" s="239" t="s">
        <v>228</v>
      </c>
      <c r="D448" s="239" t="s">
        <v>220</v>
      </c>
      <c r="E448" s="267">
        <v>24690</v>
      </c>
      <c r="F448" s="267" t="s">
        <v>277</v>
      </c>
      <c r="H448" s="268">
        <v>36981</v>
      </c>
      <c r="I448" s="275">
        <v>15000</v>
      </c>
      <c r="K448" s="265"/>
      <c r="L448" s="265"/>
      <c r="M448" s="241" t="s">
        <v>283</v>
      </c>
      <c r="N448" s="242">
        <f>$I$448*N$1</f>
        <v>465000</v>
      </c>
      <c r="O448" s="242">
        <f>$I$448*O$1</f>
        <v>420000</v>
      </c>
      <c r="P448" s="242">
        <f>$I$448*P$1</f>
        <v>465000</v>
      </c>
    </row>
    <row r="449" spans="1:25" ht="12.75" customHeight="1" x14ac:dyDescent="0.2">
      <c r="A449" s="239" t="s">
        <v>163</v>
      </c>
      <c r="B449" s="239" t="s">
        <v>282</v>
      </c>
      <c r="C449" s="239" t="s">
        <v>228</v>
      </c>
      <c r="D449" s="239" t="s">
        <v>220</v>
      </c>
      <c r="E449" s="267">
        <v>26740</v>
      </c>
      <c r="F449" s="267" t="s">
        <v>264</v>
      </c>
      <c r="H449" s="270">
        <v>39113</v>
      </c>
      <c r="I449" s="275">
        <v>8000</v>
      </c>
      <c r="K449" s="265"/>
      <c r="L449" s="265"/>
      <c r="M449" s="241" t="s">
        <v>226</v>
      </c>
      <c r="N449" s="242">
        <f t="shared" ref="N449:Y449" si="264">$I$449*N$1</f>
        <v>248000</v>
      </c>
      <c r="O449" s="242">
        <f t="shared" si="264"/>
        <v>224000</v>
      </c>
      <c r="P449" s="242">
        <f t="shared" si="264"/>
        <v>248000</v>
      </c>
      <c r="Q449" s="242">
        <f t="shared" si="264"/>
        <v>240000</v>
      </c>
      <c r="R449" s="242">
        <f t="shared" si="264"/>
        <v>248000</v>
      </c>
      <c r="S449" s="242">
        <f t="shared" si="264"/>
        <v>240000</v>
      </c>
      <c r="T449" s="242">
        <f t="shared" si="264"/>
        <v>248000</v>
      </c>
      <c r="U449" s="242">
        <f t="shared" si="264"/>
        <v>248000</v>
      </c>
      <c r="V449" s="242">
        <f t="shared" si="264"/>
        <v>240000</v>
      </c>
      <c r="W449" s="242">
        <f t="shared" si="264"/>
        <v>248000</v>
      </c>
      <c r="X449" s="242">
        <f t="shared" si="264"/>
        <v>240000</v>
      </c>
      <c r="Y449" s="242">
        <f t="shared" si="264"/>
        <v>248000</v>
      </c>
    </row>
    <row r="450" spans="1:25" ht="12.75" customHeight="1" x14ac:dyDescent="0.2">
      <c r="A450" s="239" t="s">
        <v>163</v>
      </c>
      <c r="B450" s="239" t="s">
        <v>282</v>
      </c>
      <c r="C450" s="239" t="s">
        <v>228</v>
      </c>
      <c r="D450" s="239" t="s">
        <v>220</v>
      </c>
      <c r="E450" s="267">
        <v>24754</v>
      </c>
      <c r="F450" s="267" t="s">
        <v>278</v>
      </c>
      <c r="H450" s="540">
        <v>38472</v>
      </c>
      <c r="I450" s="275">
        <v>1000</v>
      </c>
      <c r="K450" s="265"/>
      <c r="L450" s="265"/>
      <c r="M450" s="241" t="s">
        <v>232</v>
      </c>
      <c r="N450" s="242">
        <f>$I$450*N$1</f>
        <v>31000</v>
      </c>
      <c r="O450" s="242">
        <f>$I$450*O$1</f>
        <v>28000</v>
      </c>
      <c r="P450" s="242">
        <f>$I$450*P$1</f>
        <v>31000</v>
      </c>
      <c r="Q450" s="242">
        <f>$I$450*Q$1</f>
        <v>30000</v>
      </c>
    </row>
    <row r="451" spans="1:25" ht="12.75" customHeight="1" x14ac:dyDescent="0.2">
      <c r="A451" s="239" t="s">
        <v>163</v>
      </c>
      <c r="B451" s="239" t="s">
        <v>282</v>
      </c>
      <c r="C451" s="239" t="s">
        <v>228</v>
      </c>
      <c r="D451" s="239" t="s">
        <v>220</v>
      </c>
      <c r="E451" s="267">
        <v>25031</v>
      </c>
      <c r="F451" s="267" t="s">
        <v>279</v>
      </c>
      <c r="H451" s="270">
        <v>39051</v>
      </c>
      <c r="I451" s="275">
        <v>0</v>
      </c>
      <c r="K451" s="239"/>
      <c r="N451" s="242">
        <f t="shared" ref="N451:Y451" si="265">$I$451*N$1</f>
        <v>0</v>
      </c>
      <c r="O451" s="242">
        <f t="shared" si="265"/>
        <v>0</v>
      </c>
      <c r="P451" s="242">
        <f t="shared" si="265"/>
        <v>0</v>
      </c>
      <c r="Q451" s="242">
        <f t="shared" si="265"/>
        <v>0</v>
      </c>
      <c r="R451" s="242">
        <f t="shared" si="265"/>
        <v>0</v>
      </c>
      <c r="S451" s="242">
        <f t="shared" si="265"/>
        <v>0</v>
      </c>
      <c r="T451" s="242">
        <f t="shared" si="265"/>
        <v>0</v>
      </c>
      <c r="U451" s="242">
        <f t="shared" si="265"/>
        <v>0</v>
      </c>
      <c r="V451" s="242">
        <f t="shared" si="265"/>
        <v>0</v>
      </c>
      <c r="W451" s="242">
        <f t="shared" si="265"/>
        <v>0</v>
      </c>
      <c r="X451" s="242">
        <f t="shared" si="265"/>
        <v>0</v>
      </c>
      <c r="Y451" s="242">
        <f t="shared" si="265"/>
        <v>0</v>
      </c>
    </row>
    <row r="452" spans="1:25" ht="12.75" customHeight="1" x14ac:dyDescent="0.2">
      <c r="A452" s="239" t="s">
        <v>163</v>
      </c>
      <c r="B452" s="239" t="s">
        <v>282</v>
      </c>
      <c r="C452" s="239" t="s">
        <v>228</v>
      </c>
      <c r="D452" s="239" t="s">
        <v>220</v>
      </c>
      <c r="E452" s="267" t="s">
        <v>280</v>
      </c>
      <c r="F452" s="267" t="s">
        <v>236</v>
      </c>
      <c r="H452" s="268">
        <v>36950</v>
      </c>
      <c r="I452" s="275">
        <v>10000</v>
      </c>
      <c r="K452" s="265"/>
      <c r="L452" s="265"/>
      <c r="M452" s="241" t="s">
        <v>226</v>
      </c>
      <c r="N452" s="242">
        <f>$I$452*N$1</f>
        <v>310000</v>
      </c>
      <c r="O452" s="242">
        <f>$I$452*O$1</f>
        <v>280000</v>
      </c>
    </row>
    <row r="453" spans="1:25" ht="12.75" customHeight="1" x14ac:dyDescent="0.2">
      <c r="A453" s="239" t="s">
        <v>163</v>
      </c>
      <c r="B453" s="239" t="s">
        <v>282</v>
      </c>
      <c r="C453" s="239" t="s">
        <v>228</v>
      </c>
      <c r="D453" s="239" t="s">
        <v>220</v>
      </c>
      <c r="E453" s="267">
        <v>27161</v>
      </c>
      <c r="F453" s="267" t="s">
        <v>276</v>
      </c>
      <c r="H453" s="536">
        <v>37711</v>
      </c>
      <c r="I453" s="274">
        <v>400000</v>
      </c>
      <c r="K453" s="265"/>
      <c r="L453" s="265"/>
      <c r="M453" s="241" t="s">
        <v>232</v>
      </c>
      <c r="N453" s="242">
        <f t="shared" ref="N453:W453" si="266">$I$453*N$1</f>
        <v>12400000</v>
      </c>
      <c r="O453" s="242">
        <f t="shared" si="266"/>
        <v>11200000</v>
      </c>
      <c r="P453" s="242">
        <f t="shared" si="266"/>
        <v>12400000</v>
      </c>
      <c r="Q453" s="242">
        <f t="shared" si="266"/>
        <v>12000000</v>
      </c>
      <c r="R453" s="242">
        <f t="shared" si="266"/>
        <v>12400000</v>
      </c>
      <c r="S453" s="242">
        <f t="shared" si="266"/>
        <v>12000000</v>
      </c>
      <c r="T453" s="242">
        <f t="shared" si="266"/>
        <v>12400000</v>
      </c>
      <c r="U453" s="242">
        <f t="shared" si="266"/>
        <v>12400000</v>
      </c>
      <c r="V453" s="242">
        <f t="shared" si="266"/>
        <v>12000000</v>
      </c>
      <c r="W453" s="242">
        <f t="shared" si="266"/>
        <v>12400000</v>
      </c>
    </row>
    <row r="454" spans="1:25" ht="12.75" customHeight="1" x14ac:dyDescent="0.2">
      <c r="A454" s="239" t="s">
        <v>163</v>
      </c>
      <c r="B454" s="239" t="s">
        <v>282</v>
      </c>
      <c r="C454" s="239" t="s">
        <v>228</v>
      </c>
      <c r="D454" s="239" t="s">
        <v>220</v>
      </c>
      <c r="E454" s="267" t="s">
        <v>281</v>
      </c>
      <c r="F454" s="267" t="s">
        <v>230</v>
      </c>
      <c r="H454" s="525">
        <v>37925</v>
      </c>
      <c r="I454" s="274">
        <v>40000</v>
      </c>
      <c r="K454" s="265"/>
      <c r="L454" s="265"/>
      <c r="M454" s="241" t="s">
        <v>226</v>
      </c>
      <c r="N454" s="242">
        <f t="shared" ref="N454:W454" si="267">$I$454*N$1</f>
        <v>1240000</v>
      </c>
      <c r="O454" s="242">
        <f t="shared" si="267"/>
        <v>1120000</v>
      </c>
      <c r="P454" s="242">
        <f t="shared" si="267"/>
        <v>1240000</v>
      </c>
      <c r="Q454" s="242">
        <f t="shared" si="267"/>
        <v>1200000</v>
      </c>
      <c r="R454" s="242">
        <f t="shared" si="267"/>
        <v>1240000</v>
      </c>
      <c r="S454" s="242">
        <f t="shared" si="267"/>
        <v>1200000</v>
      </c>
      <c r="T454" s="242">
        <f t="shared" si="267"/>
        <v>1240000</v>
      </c>
      <c r="U454" s="242">
        <f t="shared" si="267"/>
        <v>1240000</v>
      </c>
      <c r="V454" s="242">
        <f t="shared" si="267"/>
        <v>1200000</v>
      </c>
      <c r="W454" s="242">
        <f t="shared" si="267"/>
        <v>1240000</v>
      </c>
    </row>
    <row r="455" spans="1:25" ht="12.75" customHeight="1" x14ac:dyDescent="0.2">
      <c r="A455" s="239" t="s">
        <v>163</v>
      </c>
      <c r="B455" s="239" t="s">
        <v>282</v>
      </c>
      <c r="C455" s="239" t="s">
        <v>228</v>
      </c>
      <c r="D455" s="239" t="s">
        <v>220</v>
      </c>
      <c r="E455" s="267">
        <v>27104</v>
      </c>
      <c r="F455" s="267" t="s">
        <v>380</v>
      </c>
      <c r="H455" s="268">
        <v>38383</v>
      </c>
      <c r="I455" s="274">
        <v>1613</v>
      </c>
      <c r="K455" s="265"/>
      <c r="L455" s="265"/>
      <c r="M455" s="454" t="s">
        <v>226</v>
      </c>
      <c r="N455" s="242">
        <f t="shared" ref="N455:S455" si="268">$I$455*N$1</f>
        <v>50003</v>
      </c>
      <c r="O455" s="242">
        <f t="shared" si="268"/>
        <v>45164</v>
      </c>
      <c r="P455" s="242">
        <f t="shared" si="268"/>
        <v>50003</v>
      </c>
      <c r="Q455" s="242">
        <f t="shared" si="268"/>
        <v>48390</v>
      </c>
      <c r="R455" s="242">
        <f t="shared" si="268"/>
        <v>50003</v>
      </c>
      <c r="S455" s="242">
        <f t="shared" si="268"/>
        <v>48390</v>
      </c>
      <c r="T455" s="242">
        <f>14032*T$1</f>
        <v>434992</v>
      </c>
      <c r="U455" s="242">
        <f>10484*U$1</f>
        <v>325004</v>
      </c>
      <c r="V455" s="242">
        <f>1290*V$1</f>
        <v>38700</v>
      </c>
      <c r="W455" s="242">
        <v>0</v>
      </c>
      <c r="X455" s="242">
        <v>0</v>
      </c>
      <c r="Y455" s="242">
        <v>0</v>
      </c>
    </row>
    <row r="456" spans="1:25" ht="12.75" customHeight="1" x14ac:dyDescent="0.2">
      <c r="A456" s="450" t="s">
        <v>163</v>
      </c>
      <c r="B456" s="450" t="s">
        <v>282</v>
      </c>
      <c r="C456" s="450" t="s">
        <v>228</v>
      </c>
      <c r="D456" s="450" t="s">
        <v>220</v>
      </c>
      <c r="E456" s="455">
        <v>24194</v>
      </c>
      <c r="F456" s="455" t="s">
        <v>375</v>
      </c>
      <c r="G456" s="450" t="s">
        <v>374</v>
      </c>
      <c r="H456" s="457"/>
      <c r="I456" s="458">
        <v>25000</v>
      </c>
      <c r="K456" s="265"/>
      <c r="L456" s="265"/>
      <c r="M456" s="454" t="s">
        <v>226</v>
      </c>
      <c r="W456" s="452">
        <f>35000*W$1</f>
        <v>1085000</v>
      </c>
      <c r="X456" s="452">
        <f>80000*X$1</f>
        <v>2400000</v>
      </c>
      <c r="Y456" s="452">
        <f>80000*Y$1</f>
        <v>2480000</v>
      </c>
    </row>
    <row r="457" spans="1:25" ht="12.75" customHeight="1" x14ac:dyDescent="0.2">
      <c r="A457" s="450" t="s">
        <v>163</v>
      </c>
      <c r="B457" s="450" t="s">
        <v>282</v>
      </c>
      <c r="C457" s="450" t="s">
        <v>228</v>
      </c>
      <c r="D457" s="450" t="s">
        <v>220</v>
      </c>
      <c r="E457" s="455">
        <v>24690</v>
      </c>
      <c r="F457" s="455" t="s">
        <v>277</v>
      </c>
      <c r="G457" s="450" t="s">
        <v>374</v>
      </c>
      <c r="H457" s="457"/>
      <c r="I457" s="458">
        <v>0</v>
      </c>
      <c r="K457" s="265"/>
      <c r="L457" s="265"/>
      <c r="M457" s="454" t="s">
        <v>226</v>
      </c>
      <c r="Q457" s="452">
        <f t="shared" ref="Q457:Y457" si="269">$I$457*Q$1</f>
        <v>0</v>
      </c>
      <c r="R457" s="452">
        <f t="shared" si="269"/>
        <v>0</v>
      </c>
      <c r="S457" s="452">
        <f t="shared" si="269"/>
        <v>0</v>
      </c>
      <c r="T457" s="452">
        <f t="shared" si="269"/>
        <v>0</v>
      </c>
      <c r="U457" s="452">
        <f t="shared" si="269"/>
        <v>0</v>
      </c>
      <c r="V457" s="452">
        <f t="shared" si="269"/>
        <v>0</v>
      </c>
      <c r="W457" s="452">
        <f t="shared" si="269"/>
        <v>0</v>
      </c>
      <c r="X457" s="452">
        <f t="shared" si="269"/>
        <v>0</v>
      </c>
      <c r="Y457" s="452">
        <f t="shared" si="269"/>
        <v>0</v>
      </c>
    </row>
    <row r="458" spans="1:25" ht="12.75" customHeight="1" x14ac:dyDescent="0.2">
      <c r="A458" s="450" t="s">
        <v>163</v>
      </c>
      <c r="B458" s="450" t="s">
        <v>282</v>
      </c>
      <c r="C458" s="450" t="s">
        <v>228</v>
      </c>
      <c r="D458" s="450" t="s">
        <v>220</v>
      </c>
      <c r="E458" s="455">
        <v>24754</v>
      </c>
      <c r="F458" s="455" t="s">
        <v>278</v>
      </c>
      <c r="G458" s="523" t="s">
        <v>381</v>
      </c>
      <c r="H458" s="540">
        <v>38472</v>
      </c>
      <c r="I458" s="458">
        <v>1000</v>
      </c>
      <c r="K458" s="265"/>
      <c r="L458" s="265"/>
      <c r="M458" s="454" t="s">
        <v>226</v>
      </c>
      <c r="R458" s="452">
        <f t="shared" ref="R458:Y458" si="270">$I$458*R$1</f>
        <v>31000</v>
      </c>
      <c r="S458" s="452">
        <f t="shared" si="270"/>
        <v>30000</v>
      </c>
      <c r="T458" s="452">
        <f t="shared" si="270"/>
        <v>31000</v>
      </c>
      <c r="U458" s="452">
        <f t="shared" si="270"/>
        <v>31000</v>
      </c>
      <c r="V458" s="452">
        <f t="shared" si="270"/>
        <v>30000</v>
      </c>
      <c r="W458" s="452">
        <f t="shared" si="270"/>
        <v>31000</v>
      </c>
      <c r="X458" s="452">
        <f t="shared" si="270"/>
        <v>30000</v>
      </c>
      <c r="Y458" s="452">
        <f t="shared" si="270"/>
        <v>31000</v>
      </c>
    </row>
    <row r="459" spans="1:25" ht="12.75" customHeight="1" x14ac:dyDescent="0.2">
      <c r="A459" s="450" t="s">
        <v>163</v>
      </c>
      <c r="B459" s="450" t="s">
        <v>282</v>
      </c>
      <c r="C459" s="450" t="s">
        <v>228</v>
      </c>
      <c r="D459" s="450" t="s">
        <v>220</v>
      </c>
      <c r="E459" s="530">
        <v>27349</v>
      </c>
      <c r="F459" s="523" t="s">
        <v>236</v>
      </c>
      <c r="G459" s="533">
        <v>36892</v>
      </c>
      <c r="H459" s="525">
        <v>38717</v>
      </c>
      <c r="I459" s="537">
        <v>20000</v>
      </c>
      <c r="K459" s="265"/>
      <c r="L459" s="265"/>
      <c r="M459" s="454" t="s">
        <v>226</v>
      </c>
      <c r="N459" s="452">
        <f t="shared" ref="N459:Y459" si="271">$I$459*N$1</f>
        <v>620000</v>
      </c>
      <c r="O459" s="452">
        <f t="shared" si="271"/>
        <v>560000</v>
      </c>
      <c r="P459" s="452">
        <f t="shared" si="271"/>
        <v>620000</v>
      </c>
      <c r="Q459" s="452">
        <f t="shared" si="271"/>
        <v>600000</v>
      </c>
      <c r="R459" s="452">
        <f t="shared" si="271"/>
        <v>620000</v>
      </c>
      <c r="S459" s="452">
        <f t="shared" si="271"/>
        <v>600000</v>
      </c>
      <c r="T459" s="452">
        <f t="shared" si="271"/>
        <v>620000</v>
      </c>
      <c r="U459" s="452">
        <f t="shared" si="271"/>
        <v>620000</v>
      </c>
      <c r="V459" s="452">
        <f t="shared" si="271"/>
        <v>600000</v>
      </c>
      <c r="W459" s="452">
        <f t="shared" si="271"/>
        <v>620000</v>
      </c>
      <c r="X459" s="452">
        <f t="shared" si="271"/>
        <v>600000</v>
      </c>
      <c r="Y459" s="452">
        <f t="shared" si="271"/>
        <v>620000</v>
      </c>
    </row>
    <row r="460" spans="1:25" ht="12.75" customHeight="1" x14ac:dyDescent="0.2">
      <c r="A460" s="450" t="s">
        <v>163</v>
      </c>
      <c r="B460" s="450" t="s">
        <v>282</v>
      </c>
      <c r="C460" s="450" t="s">
        <v>228</v>
      </c>
      <c r="D460" s="450" t="s">
        <v>220</v>
      </c>
      <c r="E460" s="456">
        <v>27161</v>
      </c>
      <c r="F460" s="450" t="s">
        <v>276</v>
      </c>
      <c r="G460" s="523" t="s">
        <v>381</v>
      </c>
      <c r="H460" s="536">
        <v>37711</v>
      </c>
      <c r="I460" s="452">
        <v>400000</v>
      </c>
      <c r="M460" s="454" t="s">
        <v>232</v>
      </c>
      <c r="X460" s="452">
        <f>$I$460*X$1</f>
        <v>12000000</v>
      </c>
      <c r="Y460" s="452">
        <f>$I$460*Y$1</f>
        <v>12400000</v>
      </c>
    </row>
    <row r="461" spans="1:25" ht="12.75" customHeight="1" x14ac:dyDescent="0.15">
      <c r="A461" s="450" t="s">
        <v>163</v>
      </c>
      <c r="B461" s="450" t="s">
        <v>282</v>
      </c>
      <c r="C461" s="450" t="s">
        <v>228</v>
      </c>
      <c r="D461" s="450" t="s">
        <v>220</v>
      </c>
      <c r="E461" s="456">
        <v>26490</v>
      </c>
      <c r="F461" s="450" t="s">
        <v>230</v>
      </c>
      <c r="G461" s="523" t="s">
        <v>381</v>
      </c>
      <c r="H461" s="525">
        <v>37925</v>
      </c>
      <c r="I461" s="464">
        <v>40000</v>
      </c>
      <c r="M461" s="454" t="s">
        <v>226</v>
      </c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464">
        <f>$I$461*X$1</f>
        <v>1200000</v>
      </c>
      <c r="Y461" s="464">
        <f>$I$461*Y$1</f>
        <v>1240000</v>
      </c>
    </row>
    <row r="462" spans="1:25" ht="12.75" customHeight="1" x14ac:dyDescent="0.15">
      <c r="A462" s="523" t="s">
        <v>163</v>
      </c>
      <c r="B462" s="523" t="s">
        <v>282</v>
      </c>
      <c r="C462" s="523" t="s">
        <v>228</v>
      </c>
      <c r="D462" s="523" t="s">
        <v>220</v>
      </c>
      <c r="E462" s="530">
        <v>27420</v>
      </c>
      <c r="F462" s="523" t="s">
        <v>435</v>
      </c>
      <c r="G462" s="533">
        <v>36861</v>
      </c>
      <c r="H462" s="525">
        <v>37225</v>
      </c>
      <c r="I462" s="537">
        <v>1932</v>
      </c>
      <c r="J462" s="523"/>
      <c r="K462" s="532"/>
      <c r="L462" s="523"/>
      <c r="M462" s="538" t="s">
        <v>226</v>
      </c>
      <c r="N462" s="524">
        <f t="shared" ref="N462:S462" si="272">$I$462*N$1</f>
        <v>59892</v>
      </c>
      <c r="O462" s="524">
        <f t="shared" si="272"/>
        <v>54096</v>
      </c>
      <c r="P462" s="524">
        <f t="shared" si="272"/>
        <v>59892</v>
      </c>
      <c r="Q462" s="524">
        <f t="shared" si="272"/>
        <v>57960</v>
      </c>
      <c r="R462" s="524">
        <f t="shared" si="272"/>
        <v>59892</v>
      </c>
      <c r="S462" s="524">
        <f t="shared" si="272"/>
        <v>57960</v>
      </c>
      <c r="T462" s="524">
        <f>2500*T$1</f>
        <v>77500</v>
      </c>
      <c r="U462" s="524">
        <f>2500*U$1</f>
        <v>77500</v>
      </c>
      <c r="V462" s="524">
        <f>2500*V$1</f>
        <v>75000</v>
      </c>
      <c r="W462" s="524">
        <f>2500*W$1</f>
        <v>77500</v>
      </c>
      <c r="X462" s="524">
        <f>2500*X$1</f>
        <v>75000</v>
      </c>
      <c r="Y462" s="524"/>
    </row>
    <row r="463" spans="1:25" ht="12.75" customHeight="1" x14ac:dyDescent="0.15">
      <c r="A463" s="523" t="s">
        <v>163</v>
      </c>
      <c r="B463" s="523" t="s">
        <v>282</v>
      </c>
      <c r="C463" s="523" t="s">
        <v>228</v>
      </c>
      <c r="D463" s="523" t="s">
        <v>220</v>
      </c>
      <c r="E463" s="530">
        <v>27377</v>
      </c>
      <c r="F463" s="523" t="s">
        <v>230</v>
      </c>
      <c r="G463" s="533">
        <v>36951</v>
      </c>
      <c r="H463" s="525">
        <v>37315</v>
      </c>
      <c r="I463" s="537">
        <v>10000</v>
      </c>
      <c r="J463" s="523"/>
      <c r="K463" s="532"/>
      <c r="L463" s="523"/>
      <c r="M463" s="538" t="s">
        <v>226</v>
      </c>
      <c r="N463" s="537"/>
      <c r="O463" s="537"/>
      <c r="P463" s="524">
        <f t="shared" ref="P463:Y463" si="273">$I$463*P$1</f>
        <v>310000</v>
      </c>
      <c r="Q463" s="524">
        <f t="shared" si="273"/>
        <v>300000</v>
      </c>
      <c r="R463" s="524">
        <f t="shared" si="273"/>
        <v>310000</v>
      </c>
      <c r="S463" s="524">
        <f t="shared" si="273"/>
        <v>300000</v>
      </c>
      <c r="T463" s="524">
        <f t="shared" si="273"/>
        <v>310000</v>
      </c>
      <c r="U463" s="524">
        <f t="shared" si="273"/>
        <v>310000</v>
      </c>
      <c r="V463" s="524">
        <f t="shared" si="273"/>
        <v>300000</v>
      </c>
      <c r="W463" s="524">
        <f t="shared" si="273"/>
        <v>310000</v>
      </c>
      <c r="X463" s="524">
        <f t="shared" si="273"/>
        <v>300000</v>
      </c>
      <c r="Y463" s="524">
        <f t="shared" si="273"/>
        <v>310000</v>
      </c>
    </row>
    <row r="464" spans="1:25" ht="12.75" customHeight="1" x14ac:dyDescent="0.15">
      <c r="A464" s="523" t="s">
        <v>163</v>
      </c>
      <c r="B464" s="523" t="s">
        <v>282</v>
      </c>
      <c r="C464" s="523" t="s">
        <v>228</v>
      </c>
      <c r="D464" s="523" t="s">
        <v>220</v>
      </c>
      <c r="E464" s="530">
        <v>27495</v>
      </c>
      <c r="F464" s="523" t="s">
        <v>436</v>
      </c>
      <c r="G464" s="533">
        <v>36951</v>
      </c>
      <c r="H464" s="525">
        <v>37711</v>
      </c>
      <c r="I464" s="537">
        <v>50000</v>
      </c>
      <c r="J464" s="523"/>
      <c r="K464" s="532"/>
      <c r="L464" s="523"/>
      <c r="M464" s="538" t="s">
        <v>226</v>
      </c>
      <c r="N464" s="537"/>
      <c r="O464" s="537"/>
      <c r="P464" s="537">
        <f t="shared" ref="P464:Y464" si="274">$I$464*P$1</f>
        <v>1550000</v>
      </c>
      <c r="Q464" s="537">
        <f t="shared" si="274"/>
        <v>1500000</v>
      </c>
      <c r="R464" s="537">
        <f t="shared" si="274"/>
        <v>1550000</v>
      </c>
      <c r="S464" s="537">
        <f t="shared" si="274"/>
        <v>1500000</v>
      </c>
      <c r="T464" s="537">
        <f t="shared" si="274"/>
        <v>1550000</v>
      </c>
      <c r="U464" s="537">
        <f t="shared" si="274"/>
        <v>1550000</v>
      </c>
      <c r="V464" s="537">
        <f t="shared" si="274"/>
        <v>1500000</v>
      </c>
      <c r="W464" s="537">
        <f t="shared" si="274"/>
        <v>1550000</v>
      </c>
      <c r="X464" s="537">
        <f t="shared" si="274"/>
        <v>1500000</v>
      </c>
      <c r="Y464" s="537">
        <f t="shared" si="274"/>
        <v>1550000</v>
      </c>
    </row>
    <row r="465" spans="1:25" s="584" customFormat="1" ht="12.75" customHeight="1" x14ac:dyDescent="0.15">
      <c r="A465" s="584" t="s">
        <v>163</v>
      </c>
      <c r="B465" s="584" t="s">
        <v>282</v>
      </c>
      <c r="C465" s="584" t="s">
        <v>228</v>
      </c>
      <c r="D465" s="584" t="s">
        <v>220</v>
      </c>
      <c r="E465" s="585">
        <v>27579</v>
      </c>
      <c r="F465" s="584" t="s">
        <v>236</v>
      </c>
      <c r="G465" s="586">
        <v>37012</v>
      </c>
      <c r="H465" s="587">
        <v>37407</v>
      </c>
      <c r="I465" s="588">
        <v>20000</v>
      </c>
      <c r="K465" s="589"/>
      <c r="M465" s="590" t="s">
        <v>226</v>
      </c>
      <c r="N465" s="588"/>
      <c r="O465" s="588"/>
      <c r="P465" s="588"/>
      <c r="Q465" s="588"/>
      <c r="R465" s="588">
        <f>$I$465*R$1</f>
        <v>620000</v>
      </c>
      <c r="S465" s="588">
        <f t="shared" ref="S465:Y465" si="275">$I$465*S$1</f>
        <v>600000</v>
      </c>
      <c r="T465" s="588">
        <f t="shared" si="275"/>
        <v>620000</v>
      </c>
      <c r="U465" s="588">
        <f t="shared" si="275"/>
        <v>620000</v>
      </c>
      <c r="V465" s="588">
        <f t="shared" si="275"/>
        <v>600000</v>
      </c>
      <c r="W465" s="588">
        <f t="shared" si="275"/>
        <v>620000</v>
      </c>
      <c r="X465" s="588">
        <f t="shared" si="275"/>
        <v>600000</v>
      </c>
      <c r="Y465" s="588">
        <f t="shared" si="275"/>
        <v>620000</v>
      </c>
    </row>
    <row r="466" spans="1:25" ht="12.75" customHeight="1" x14ac:dyDescent="0.15">
      <c r="A466" s="523" t="s">
        <v>163</v>
      </c>
      <c r="B466" s="523" t="s">
        <v>282</v>
      </c>
      <c r="C466" s="523" t="s">
        <v>228</v>
      </c>
      <c r="D466" s="523" t="s">
        <v>220</v>
      </c>
      <c r="E466" s="530">
        <v>27529</v>
      </c>
      <c r="F466" s="523" t="s">
        <v>432</v>
      </c>
      <c r="G466" s="533">
        <v>36951</v>
      </c>
      <c r="H466" s="525">
        <v>36981</v>
      </c>
      <c r="I466" s="537">
        <v>100000</v>
      </c>
      <c r="M466" s="454" t="s">
        <v>226</v>
      </c>
      <c r="N466" s="246"/>
      <c r="O466" s="246"/>
      <c r="P466" s="537">
        <f>$I$466*P$1</f>
        <v>3100000</v>
      </c>
      <c r="Q466" s="246"/>
      <c r="R466" s="246"/>
      <c r="S466" s="246"/>
      <c r="T466" s="588"/>
      <c r="U466" s="246"/>
      <c r="V466" s="246"/>
      <c r="W466" s="246"/>
      <c r="X466" s="464"/>
      <c r="Y466" s="464"/>
    </row>
    <row r="467" spans="1:25" ht="12.75" customHeight="1" x14ac:dyDescent="0.15">
      <c r="A467" s="523" t="s">
        <v>163</v>
      </c>
      <c r="B467" s="523" t="s">
        <v>282</v>
      </c>
      <c r="C467" s="523" t="s">
        <v>228</v>
      </c>
      <c r="D467" s="523" t="s">
        <v>220</v>
      </c>
      <c r="E467" s="530">
        <v>27600</v>
      </c>
      <c r="F467" s="523" t="s">
        <v>496</v>
      </c>
      <c r="G467" s="533">
        <v>37043</v>
      </c>
      <c r="H467" s="525">
        <v>37407</v>
      </c>
      <c r="I467" s="539">
        <v>2500</v>
      </c>
      <c r="M467" s="454" t="s">
        <v>226</v>
      </c>
      <c r="N467" s="245"/>
      <c r="O467" s="245"/>
      <c r="P467" s="539"/>
      <c r="Q467" s="245"/>
      <c r="R467" s="245"/>
      <c r="S467" s="245"/>
      <c r="T467" s="609">
        <f t="shared" ref="T467:Y467" si="276">$I$467*T$1</f>
        <v>77500</v>
      </c>
      <c r="U467" s="609">
        <f t="shared" si="276"/>
        <v>77500</v>
      </c>
      <c r="V467" s="609">
        <f t="shared" si="276"/>
        <v>75000</v>
      </c>
      <c r="W467" s="609">
        <f t="shared" si="276"/>
        <v>77500</v>
      </c>
      <c r="X467" s="609">
        <f t="shared" si="276"/>
        <v>75000</v>
      </c>
      <c r="Y467" s="609">
        <f t="shared" si="276"/>
        <v>77500</v>
      </c>
    </row>
    <row r="468" spans="1:25" ht="12.75" customHeight="1" x14ac:dyDescent="0.15">
      <c r="I468" s="242">
        <f>SUM(I445:I467)</f>
        <v>1226759</v>
      </c>
      <c r="J468" s="388"/>
      <c r="N468" s="242">
        <f t="shared" ref="N468:Y468" si="277">SUM(N445:N467)</f>
        <v>18391029</v>
      </c>
      <c r="O468" s="242">
        <f t="shared" si="277"/>
        <v>16611252</v>
      </c>
      <c r="P468" s="242">
        <f t="shared" si="277"/>
        <v>22576029</v>
      </c>
      <c r="Q468" s="242">
        <f t="shared" si="277"/>
        <v>18397770</v>
      </c>
      <c r="R468" s="242">
        <f t="shared" si="277"/>
        <v>19166029</v>
      </c>
      <c r="S468" s="242">
        <f t="shared" si="277"/>
        <v>18547770</v>
      </c>
      <c r="T468" s="242">
        <f t="shared" si="277"/>
        <v>19646126</v>
      </c>
      <c r="U468" s="242">
        <f t="shared" si="277"/>
        <v>19536138</v>
      </c>
      <c r="V468" s="242">
        <f t="shared" si="277"/>
        <v>17558700</v>
      </c>
      <c r="W468" s="242">
        <f t="shared" si="277"/>
        <v>18879000</v>
      </c>
      <c r="X468" s="242">
        <f t="shared" si="277"/>
        <v>19620000</v>
      </c>
      <c r="Y468" s="242">
        <f t="shared" si="277"/>
        <v>21303634</v>
      </c>
    </row>
    <row r="470" spans="1:25" ht="12.75" customHeight="1" x14ac:dyDescent="0.15">
      <c r="A470" s="424" t="s">
        <v>354</v>
      </c>
      <c r="B470" s="425"/>
      <c r="C470" s="425"/>
      <c r="D470" s="425"/>
      <c r="E470" s="426"/>
      <c r="F470" s="425"/>
      <c r="G470" s="425"/>
      <c r="H470" s="426"/>
      <c r="I470" s="427"/>
      <c r="J470" s="425"/>
      <c r="K470" s="428"/>
      <c r="L470" s="425"/>
      <c r="M470" s="429"/>
      <c r="N470" s="430">
        <v>0.53</v>
      </c>
      <c r="O470" s="430">
        <v>0.54</v>
      </c>
      <c r="P470" s="430">
        <v>0.55000000000000004</v>
      </c>
      <c r="Q470" s="430">
        <v>0.59</v>
      </c>
      <c r="R470" s="430">
        <v>0.63</v>
      </c>
      <c r="S470" s="430">
        <v>0.68700000000000006</v>
      </c>
      <c r="T470" s="430">
        <v>0.59</v>
      </c>
      <c r="U470" s="430">
        <v>0.63</v>
      </c>
      <c r="V470" s="430">
        <v>0.53</v>
      </c>
      <c r="W470" s="430">
        <v>0.61</v>
      </c>
      <c r="X470" s="430">
        <v>0.62</v>
      </c>
      <c r="Y470" s="432">
        <v>0.64300000000000002</v>
      </c>
    </row>
    <row r="471" spans="1:25" ht="12.75" customHeight="1" x14ac:dyDescent="0.2">
      <c r="A471" s="239" t="s">
        <v>163</v>
      </c>
      <c r="B471" s="239" t="s">
        <v>282</v>
      </c>
      <c r="C471" s="239" t="s">
        <v>228</v>
      </c>
      <c r="D471" s="239" t="s">
        <v>223</v>
      </c>
      <c r="E471" s="266">
        <v>24194</v>
      </c>
      <c r="F471" s="266" t="s">
        <v>273</v>
      </c>
      <c r="H471" s="269">
        <v>37164</v>
      </c>
      <c r="I471" s="273">
        <v>25000</v>
      </c>
      <c r="K471" s="276"/>
      <c r="L471" s="277"/>
      <c r="M471" s="241" t="s">
        <v>283</v>
      </c>
      <c r="N471" s="242">
        <f t="shared" ref="N471:Y471" si="278">N445*N$470</f>
        <v>657200</v>
      </c>
      <c r="O471" s="242">
        <f t="shared" si="278"/>
        <v>604800</v>
      </c>
      <c r="P471" s="242">
        <f t="shared" si="278"/>
        <v>426250.00000000006</v>
      </c>
      <c r="Q471" s="242">
        <f t="shared" si="278"/>
        <v>442500</v>
      </c>
      <c r="R471" s="242">
        <f t="shared" si="278"/>
        <v>195300</v>
      </c>
      <c r="S471" s="242">
        <f t="shared" si="278"/>
        <v>206100.00000000003</v>
      </c>
      <c r="T471" s="242">
        <f t="shared" si="278"/>
        <v>182900</v>
      </c>
      <c r="U471" s="242">
        <f t="shared" si="278"/>
        <v>195300</v>
      </c>
      <c r="V471" s="242">
        <f t="shared" si="278"/>
        <v>159000</v>
      </c>
      <c r="W471" s="242">
        <f t="shared" si="278"/>
        <v>0</v>
      </c>
      <c r="X471" s="242">
        <f t="shared" si="278"/>
        <v>0</v>
      </c>
      <c r="Y471" s="242">
        <f t="shared" si="278"/>
        <v>0</v>
      </c>
    </row>
    <row r="472" spans="1:25" ht="12.75" customHeight="1" x14ac:dyDescent="0.2">
      <c r="A472" s="239" t="s">
        <v>163</v>
      </c>
      <c r="B472" s="239" t="s">
        <v>282</v>
      </c>
      <c r="C472" s="239" t="s">
        <v>228</v>
      </c>
      <c r="D472" s="239" t="s">
        <v>223</v>
      </c>
      <c r="E472" s="266">
        <v>27291</v>
      </c>
      <c r="F472" s="266" t="s">
        <v>236</v>
      </c>
      <c r="G472" s="240">
        <v>36739</v>
      </c>
      <c r="H472" s="269">
        <v>37468</v>
      </c>
      <c r="I472" s="273">
        <v>20000</v>
      </c>
      <c r="K472" s="276"/>
      <c r="L472" s="277"/>
      <c r="M472" s="241" t="s">
        <v>226</v>
      </c>
      <c r="N472" s="242">
        <f t="shared" ref="N472:Y472" si="279">N446*N$470</f>
        <v>328600</v>
      </c>
      <c r="O472" s="242">
        <f t="shared" si="279"/>
        <v>302400</v>
      </c>
      <c r="P472" s="242">
        <f t="shared" si="279"/>
        <v>341000</v>
      </c>
      <c r="Q472" s="242">
        <f t="shared" si="279"/>
        <v>354000</v>
      </c>
      <c r="R472" s="242">
        <f t="shared" si="279"/>
        <v>390600</v>
      </c>
      <c r="S472" s="242">
        <f t="shared" si="279"/>
        <v>412200.00000000006</v>
      </c>
      <c r="T472" s="242">
        <f t="shared" si="279"/>
        <v>365800</v>
      </c>
      <c r="U472" s="242">
        <f t="shared" si="279"/>
        <v>390600</v>
      </c>
      <c r="V472" s="242">
        <f t="shared" si="279"/>
        <v>318000</v>
      </c>
      <c r="W472" s="242">
        <f t="shared" si="279"/>
        <v>378200</v>
      </c>
      <c r="X472" s="242">
        <f t="shared" si="279"/>
        <v>372000</v>
      </c>
      <c r="Y472" s="242">
        <f t="shared" si="279"/>
        <v>398660</v>
      </c>
    </row>
    <row r="473" spans="1:25" ht="12.75" customHeight="1" x14ac:dyDescent="0.2">
      <c r="A473" s="239" t="s">
        <v>163</v>
      </c>
      <c r="B473" s="239" t="s">
        <v>282</v>
      </c>
      <c r="C473" s="239" t="s">
        <v>228</v>
      </c>
      <c r="D473" s="239" t="s">
        <v>223</v>
      </c>
      <c r="E473" s="266" t="s">
        <v>274</v>
      </c>
      <c r="F473" s="266" t="s">
        <v>275</v>
      </c>
      <c r="H473" s="269">
        <v>37376</v>
      </c>
      <c r="I473" s="273">
        <v>35714</v>
      </c>
      <c r="K473" s="276"/>
      <c r="L473" s="277"/>
      <c r="M473" s="241" t="s">
        <v>226</v>
      </c>
      <c r="N473" s="242">
        <f t="shared" ref="N473:N478" si="280">N447*N$470</f>
        <v>586781.02</v>
      </c>
      <c r="O473" s="242">
        <f t="shared" ref="O473:Y473" si="281">O447*O$470</f>
        <v>539995.68000000005</v>
      </c>
      <c r="P473" s="242">
        <f t="shared" si="281"/>
        <v>608923.70000000007</v>
      </c>
      <c r="Q473" s="242">
        <f t="shared" si="281"/>
        <v>632137.79999999993</v>
      </c>
      <c r="R473" s="242">
        <f t="shared" si="281"/>
        <v>697494.42</v>
      </c>
      <c r="S473" s="242">
        <f t="shared" si="281"/>
        <v>736065.54</v>
      </c>
      <c r="T473" s="242">
        <f t="shared" si="281"/>
        <v>653209.05999999994</v>
      </c>
      <c r="U473" s="242">
        <f t="shared" si="281"/>
        <v>697494.42</v>
      </c>
      <c r="V473" s="242">
        <f t="shared" si="281"/>
        <v>0</v>
      </c>
      <c r="W473" s="242">
        <f t="shared" si="281"/>
        <v>0</v>
      </c>
      <c r="X473" s="242">
        <f t="shared" si="281"/>
        <v>0</v>
      </c>
      <c r="Y473" s="242">
        <f t="shared" si="281"/>
        <v>711887.16200000001</v>
      </c>
    </row>
    <row r="474" spans="1:25" ht="12.75" customHeight="1" x14ac:dyDescent="0.2">
      <c r="A474" s="239" t="s">
        <v>163</v>
      </c>
      <c r="B474" s="239" t="s">
        <v>282</v>
      </c>
      <c r="C474" s="239" t="s">
        <v>228</v>
      </c>
      <c r="D474" s="239" t="s">
        <v>223</v>
      </c>
      <c r="E474" s="267">
        <v>24690</v>
      </c>
      <c r="F474" s="267" t="s">
        <v>277</v>
      </c>
      <c r="H474" s="268">
        <v>36981</v>
      </c>
      <c r="I474" s="275">
        <v>15000</v>
      </c>
      <c r="K474" s="265"/>
      <c r="L474" s="265"/>
      <c r="M474" s="241" t="s">
        <v>283</v>
      </c>
      <c r="N474" s="242">
        <f t="shared" si="280"/>
        <v>246450</v>
      </c>
      <c r="O474" s="242">
        <f t="shared" ref="O474:Y474" si="282">O448*O$470</f>
        <v>226800.00000000003</v>
      </c>
      <c r="P474" s="242">
        <f t="shared" si="282"/>
        <v>255750.00000000003</v>
      </c>
      <c r="Q474" s="242">
        <f t="shared" si="282"/>
        <v>0</v>
      </c>
      <c r="R474" s="242">
        <f t="shared" si="282"/>
        <v>0</v>
      </c>
      <c r="S474" s="242">
        <f t="shared" si="282"/>
        <v>0</v>
      </c>
      <c r="T474" s="242">
        <f t="shared" si="282"/>
        <v>0</v>
      </c>
      <c r="U474" s="242">
        <f t="shared" si="282"/>
        <v>0</v>
      </c>
      <c r="V474" s="242">
        <f t="shared" si="282"/>
        <v>0</v>
      </c>
      <c r="W474" s="242">
        <f t="shared" si="282"/>
        <v>0</v>
      </c>
      <c r="X474" s="242">
        <f t="shared" si="282"/>
        <v>0</v>
      </c>
      <c r="Y474" s="242">
        <f t="shared" si="282"/>
        <v>0</v>
      </c>
    </row>
    <row r="475" spans="1:25" ht="12.75" customHeight="1" x14ac:dyDescent="0.2">
      <c r="A475" s="239" t="s">
        <v>163</v>
      </c>
      <c r="B475" s="239" t="s">
        <v>282</v>
      </c>
      <c r="C475" s="239" t="s">
        <v>228</v>
      </c>
      <c r="D475" s="239" t="s">
        <v>223</v>
      </c>
      <c r="E475" s="267">
        <v>26740</v>
      </c>
      <c r="F475" s="267" t="s">
        <v>264</v>
      </c>
      <c r="H475" s="270">
        <v>39113</v>
      </c>
      <c r="I475" s="275">
        <v>8000</v>
      </c>
      <c r="K475" s="265"/>
      <c r="L475" s="265"/>
      <c r="M475" s="241" t="s">
        <v>226</v>
      </c>
      <c r="N475" s="242">
        <f t="shared" si="280"/>
        <v>131440</v>
      </c>
      <c r="O475" s="242">
        <f t="shared" ref="O475:Y475" si="283">O449*O$470</f>
        <v>120960.00000000001</v>
      </c>
      <c r="P475" s="242">
        <f t="shared" si="283"/>
        <v>136400</v>
      </c>
      <c r="Q475" s="242">
        <f t="shared" si="283"/>
        <v>141600</v>
      </c>
      <c r="R475" s="242">
        <f t="shared" si="283"/>
        <v>156240</v>
      </c>
      <c r="S475" s="242">
        <f t="shared" si="283"/>
        <v>164880</v>
      </c>
      <c r="T475" s="242">
        <f t="shared" si="283"/>
        <v>146320</v>
      </c>
      <c r="U475" s="242">
        <f t="shared" si="283"/>
        <v>156240</v>
      </c>
      <c r="V475" s="242">
        <f t="shared" si="283"/>
        <v>127200</v>
      </c>
      <c r="W475" s="242">
        <f t="shared" si="283"/>
        <v>151280</v>
      </c>
      <c r="X475" s="242">
        <f t="shared" si="283"/>
        <v>148800</v>
      </c>
      <c r="Y475" s="242">
        <f t="shared" si="283"/>
        <v>159464</v>
      </c>
    </row>
    <row r="476" spans="1:25" ht="12.75" customHeight="1" x14ac:dyDescent="0.2">
      <c r="A476" s="239" t="s">
        <v>163</v>
      </c>
      <c r="B476" s="239" t="s">
        <v>282</v>
      </c>
      <c r="C476" s="239" t="s">
        <v>228</v>
      </c>
      <c r="D476" s="239" t="s">
        <v>223</v>
      </c>
      <c r="E476" s="267">
        <v>24754</v>
      </c>
      <c r="F476" s="267" t="s">
        <v>278</v>
      </c>
      <c r="H476" s="540">
        <v>38472</v>
      </c>
      <c r="I476" s="275">
        <v>1000</v>
      </c>
      <c r="K476" s="265"/>
      <c r="L476" s="265"/>
      <c r="M476" s="241" t="s">
        <v>232</v>
      </c>
      <c r="N476" s="242">
        <f t="shared" si="280"/>
        <v>16430</v>
      </c>
      <c r="O476" s="242">
        <f t="shared" ref="O476:Y476" si="284">O450*O$470</f>
        <v>15120.000000000002</v>
      </c>
      <c r="P476" s="242">
        <f t="shared" si="284"/>
        <v>17050</v>
      </c>
      <c r="Q476" s="242">
        <f t="shared" si="284"/>
        <v>17700</v>
      </c>
      <c r="R476" s="242">
        <f t="shared" si="284"/>
        <v>0</v>
      </c>
      <c r="S476" s="242">
        <f t="shared" si="284"/>
        <v>0</v>
      </c>
      <c r="T476" s="242">
        <f t="shared" si="284"/>
        <v>0</v>
      </c>
      <c r="U476" s="242">
        <f t="shared" si="284"/>
        <v>0</v>
      </c>
      <c r="V476" s="242">
        <f t="shared" si="284"/>
        <v>0</v>
      </c>
      <c r="W476" s="242">
        <f t="shared" si="284"/>
        <v>0</v>
      </c>
      <c r="X476" s="242">
        <f t="shared" si="284"/>
        <v>0</v>
      </c>
      <c r="Y476" s="242">
        <f t="shared" si="284"/>
        <v>0</v>
      </c>
    </row>
    <row r="477" spans="1:25" ht="12.75" customHeight="1" x14ac:dyDescent="0.2">
      <c r="A477" s="239" t="s">
        <v>163</v>
      </c>
      <c r="B477" s="239" t="s">
        <v>282</v>
      </c>
      <c r="C477" s="239" t="s">
        <v>228</v>
      </c>
      <c r="D477" s="239" t="s">
        <v>223</v>
      </c>
      <c r="E477" s="267">
        <v>25031</v>
      </c>
      <c r="F477" s="267" t="s">
        <v>279</v>
      </c>
      <c r="H477" s="270">
        <v>39051</v>
      </c>
      <c r="I477" s="275">
        <v>0</v>
      </c>
      <c r="K477" s="239"/>
      <c r="N477" s="242">
        <f t="shared" si="280"/>
        <v>0</v>
      </c>
      <c r="O477" s="242">
        <f t="shared" ref="O477:Y477" si="285">O451*O$470</f>
        <v>0</v>
      </c>
      <c r="P477" s="242">
        <f t="shared" si="285"/>
        <v>0</v>
      </c>
      <c r="Q477" s="242">
        <f t="shared" si="285"/>
        <v>0</v>
      </c>
      <c r="R477" s="242">
        <f t="shared" si="285"/>
        <v>0</v>
      </c>
      <c r="S477" s="242">
        <f t="shared" si="285"/>
        <v>0</v>
      </c>
      <c r="T477" s="242">
        <f t="shared" si="285"/>
        <v>0</v>
      </c>
      <c r="U477" s="242">
        <f t="shared" si="285"/>
        <v>0</v>
      </c>
      <c r="V477" s="242">
        <f t="shared" si="285"/>
        <v>0</v>
      </c>
      <c r="W477" s="242">
        <f t="shared" si="285"/>
        <v>0</v>
      </c>
      <c r="X477" s="242">
        <f t="shared" si="285"/>
        <v>0</v>
      </c>
      <c r="Y477" s="242">
        <f t="shared" si="285"/>
        <v>0</v>
      </c>
    </row>
    <row r="478" spans="1:25" ht="12.75" customHeight="1" x14ac:dyDescent="0.2">
      <c r="A478" s="239" t="s">
        <v>163</v>
      </c>
      <c r="B478" s="239" t="s">
        <v>282</v>
      </c>
      <c r="C478" s="239" t="s">
        <v>228</v>
      </c>
      <c r="D478" s="239" t="s">
        <v>223</v>
      </c>
      <c r="E478" s="267" t="s">
        <v>280</v>
      </c>
      <c r="F478" s="267" t="s">
        <v>236</v>
      </c>
      <c r="H478" s="268">
        <v>36950</v>
      </c>
      <c r="I478" s="275">
        <v>10000</v>
      </c>
      <c r="K478" s="265"/>
      <c r="L478" s="265"/>
      <c r="M478" s="241" t="s">
        <v>226</v>
      </c>
      <c r="N478" s="242">
        <f t="shared" si="280"/>
        <v>164300</v>
      </c>
      <c r="O478" s="242">
        <f t="shared" ref="O478:Y478" si="286">O452*O$470</f>
        <v>151200</v>
      </c>
      <c r="P478" s="242">
        <f t="shared" si="286"/>
        <v>0</v>
      </c>
      <c r="Q478" s="242">
        <f t="shared" si="286"/>
        <v>0</v>
      </c>
      <c r="R478" s="242">
        <f t="shared" si="286"/>
        <v>0</v>
      </c>
      <c r="S478" s="242">
        <f t="shared" si="286"/>
        <v>0</v>
      </c>
      <c r="T478" s="242">
        <f t="shared" si="286"/>
        <v>0</v>
      </c>
      <c r="U478" s="242">
        <f t="shared" si="286"/>
        <v>0</v>
      </c>
      <c r="V478" s="242">
        <f t="shared" si="286"/>
        <v>0</v>
      </c>
      <c r="W478" s="242">
        <f t="shared" si="286"/>
        <v>0</v>
      </c>
      <c r="X478" s="242">
        <f t="shared" si="286"/>
        <v>0</v>
      </c>
      <c r="Y478" s="242">
        <f t="shared" si="286"/>
        <v>0</v>
      </c>
    </row>
    <row r="479" spans="1:25" ht="12.75" customHeight="1" x14ac:dyDescent="0.2">
      <c r="A479" s="239" t="s">
        <v>163</v>
      </c>
      <c r="B479" s="239" t="s">
        <v>282</v>
      </c>
      <c r="C479" s="239" t="s">
        <v>228</v>
      </c>
      <c r="D479" s="239" t="s">
        <v>223</v>
      </c>
      <c r="E479" s="267">
        <v>27161</v>
      </c>
      <c r="F479" s="267" t="s">
        <v>276</v>
      </c>
      <c r="H479" s="536">
        <v>37711</v>
      </c>
      <c r="I479" s="274">
        <v>400000</v>
      </c>
      <c r="J479" s="239" t="s">
        <v>376</v>
      </c>
      <c r="K479" s="265"/>
      <c r="L479" s="265"/>
      <c r="M479" s="241" t="s">
        <v>232</v>
      </c>
      <c r="N479" s="242">
        <f>N453*0.35</f>
        <v>4340000</v>
      </c>
      <c r="O479" s="242">
        <f t="shared" ref="O479:W479" si="287">O453*0.35</f>
        <v>3919999.9999999995</v>
      </c>
      <c r="P479" s="242">
        <f t="shared" si="287"/>
        <v>4340000</v>
      </c>
      <c r="Q479" s="242">
        <f t="shared" si="287"/>
        <v>4200000</v>
      </c>
      <c r="R479" s="242">
        <f t="shared" si="287"/>
        <v>4340000</v>
      </c>
      <c r="S479" s="242">
        <f t="shared" si="287"/>
        <v>4200000</v>
      </c>
      <c r="T479" s="242">
        <f t="shared" si="287"/>
        <v>4340000</v>
      </c>
      <c r="U479" s="242">
        <f t="shared" si="287"/>
        <v>4340000</v>
      </c>
      <c r="V479" s="242">
        <f t="shared" si="287"/>
        <v>4200000</v>
      </c>
      <c r="W479" s="242">
        <f t="shared" si="287"/>
        <v>4340000</v>
      </c>
      <c r="X479" s="242">
        <f>X453*$N470</f>
        <v>0</v>
      </c>
      <c r="Y479" s="242">
        <f>Y453*$N470</f>
        <v>0</v>
      </c>
    </row>
    <row r="480" spans="1:25" ht="12.75" customHeight="1" x14ac:dyDescent="0.2">
      <c r="A480" s="239" t="s">
        <v>163</v>
      </c>
      <c r="B480" s="239" t="s">
        <v>282</v>
      </c>
      <c r="C480" s="239" t="s">
        <v>228</v>
      </c>
      <c r="D480" s="239" t="s">
        <v>223</v>
      </c>
      <c r="E480" s="267" t="s">
        <v>281</v>
      </c>
      <c r="F480" s="267" t="s">
        <v>230</v>
      </c>
      <c r="H480" s="525">
        <v>37925</v>
      </c>
      <c r="I480" s="274">
        <v>40000</v>
      </c>
      <c r="K480" s="265"/>
      <c r="L480" s="265"/>
      <c r="M480" s="241" t="s">
        <v>226</v>
      </c>
      <c r="N480" s="242">
        <f t="shared" ref="N480:Y480" si="288">N454*N$470</f>
        <v>657200</v>
      </c>
      <c r="O480" s="242">
        <f t="shared" si="288"/>
        <v>604800</v>
      </c>
      <c r="P480" s="242">
        <f t="shared" si="288"/>
        <v>682000</v>
      </c>
      <c r="Q480" s="242">
        <f t="shared" si="288"/>
        <v>708000</v>
      </c>
      <c r="R480" s="242">
        <f t="shared" si="288"/>
        <v>781200</v>
      </c>
      <c r="S480" s="242">
        <f t="shared" si="288"/>
        <v>824400.00000000012</v>
      </c>
      <c r="T480" s="242">
        <f t="shared" si="288"/>
        <v>731600</v>
      </c>
      <c r="U480" s="242">
        <f t="shared" si="288"/>
        <v>781200</v>
      </c>
      <c r="V480" s="242">
        <f t="shared" si="288"/>
        <v>636000</v>
      </c>
      <c r="W480" s="242">
        <f t="shared" si="288"/>
        <v>756400</v>
      </c>
      <c r="X480" s="242">
        <f t="shared" si="288"/>
        <v>0</v>
      </c>
      <c r="Y480" s="242">
        <f t="shared" si="288"/>
        <v>0</v>
      </c>
    </row>
    <row r="481" spans="1:56" ht="12.75" customHeight="1" x14ac:dyDescent="0.2">
      <c r="A481" s="239" t="s">
        <v>163</v>
      </c>
      <c r="B481" s="239" t="s">
        <v>282</v>
      </c>
      <c r="C481" s="239" t="s">
        <v>228</v>
      </c>
      <c r="D481" s="239" t="s">
        <v>223</v>
      </c>
      <c r="E481" s="267">
        <v>27104</v>
      </c>
      <c r="F481" s="267" t="s">
        <v>380</v>
      </c>
      <c r="H481" s="268">
        <v>37652</v>
      </c>
      <c r="I481" s="274">
        <v>1613</v>
      </c>
      <c r="K481" s="265"/>
      <c r="L481" s="265"/>
      <c r="M481" s="241" t="s">
        <v>226</v>
      </c>
      <c r="N481" s="242">
        <f t="shared" ref="N481:N490" si="289">N455*N$470</f>
        <v>26501.59</v>
      </c>
      <c r="O481" s="242">
        <f t="shared" ref="O481:Y481" si="290">O455*O$470</f>
        <v>24388.560000000001</v>
      </c>
      <c r="P481" s="242">
        <f t="shared" si="290"/>
        <v>27501.65</v>
      </c>
      <c r="Q481" s="242">
        <f t="shared" si="290"/>
        <v>28550.1</v>
      </c>
      <c r="R481" s="242">
        <f t="shared" si="290"/>
        <v>31501.89</v>
      </c>
      <c r="S481" s="242">
        <f t="shared" si="290"/>
        <v>33243.93</v>
      </c>
      <c r="T481" s="242">
        <f t="shared" si="290"/>
        <v>256645.28</v>
      </c>
      <c r="U481" s="242">
        <f t="shared" si="290"/>
        <v>204752.52</v>
      </c>
      <c r="V481" s="242">
        <f t="shared" si="290"/>
        <v>20511</v>
      </c>
      <c r="W481" s="242">
        <f t="shared" si="290"/>
        <v>0</v>
      </c>
      <c r="X481" s="242">
        <f t="shared" si="290"/>
        <v>0</v>
      </c>
      <c r="Y481" s="242">
        <f t="shared" si="290"/>
        <v>0</v>
      </c>
    </row>
    <row r="482" spans="1:56" ht="12.75" customHeight="1" x14ac:dyDescent="0.2">
      <c r="A482" s="450" t="s">
        <v>163</v>
      </c>
      <c r="B482" s="450" t="s">
        <v>282</v>
      </c>
      <c r="C482" s="450" t="s">
        <v>228</v>
      </c>
      <c r="D482" s="450" t="s">
        <v>223</v>
      </c>
      <c r="E482" s="455">
        <v>24194</v>
      </c>
      <c r="F482" s="455" t="s">
        <v>375</v>
      </c>
      <c r="G482" s="450" t="s">
        <v>374</v>
      </c>
      <c r="H482" s="457"/>
      <c r="I482" s="458">
        <v>25000</v>
      </c>
      <c r="K482" s="265"/>
      <c r="L482" s="265"/>
      <c r="N482" s="242">
        <f t="shared" si="289"/>
        <v>0</v>
      </c>
      <c r="O482" s="242">
        <f t="shared" ref="O482:R490" si="291">O456*O$470</f>
        <v>0</v>
      </c>
      <c r="P482" s="242">
        <f t="shared" si="291"/>
        <v>0</v>
      </c>
      <c r="Q482" s="242">
        <f t="shared" si="291"/>
        <v>0</v>
      </c>
      <c r="R482" s="242">
        <f t="shared" si="291"/>
        <v>0</v>
      </c>
      <c r="W482" s="452">
        <f t="shared" ref="W482:Y485" si="292">W456*W$470</f>
        <v>661850</v>
      </c>
      <c r="X482" s="452">
        <f t="shared" si="292"/>
        <v>1488000</v>
      </c>
      <c r="Y482" s="452">
        <f t="shared" si="292"/>
        <v>1594640</v>
      </c>
    </row>
    <row r="483" spans="1:56" ht="12.75" customHeight="1" x14ac:dyDescent="0.2">
      <c r="A483" s="450" t="s">
        <v>163</v>
      </c>
      <c r="B483" s="450" t="s">
        <v>282</v>
      </c>
      <c r="C483" s="450" t="s">
        <v>228</v>
      </c>
      <c r="D483" s="450" t="s">
        <v>223</v>
      </c>
      <c r="E483" s="455">
        <v>24690</v>
      </c>
      <c r="F483" s="455" t="s">
        <v>277</v>
      </c>
      <c r="G483" s="450" t="s">
        <v>374</v>
      </c>
      <c r="H483" s="457"/>
      <c r="I483" s="458">
        <v>0</v>
      </c>
      <c r="K483" s="265"/>
      <c r="L483" s="265"/>
      <c r="N483" s="452">
        <f t="shared" si="289"/>
        <v>0</v>
      </c>
      <c r="O483" s="452">
        <f t="shared" si="291"/>
        <v>0</v>
      </c>
      <c r="P483" s="452">
        <f t="shared" si="291"/>
        <v>0</v>
      </c>
      <c r="Q483" s="452">
        <f t="shared" si="291"/>
        <v>0</v>
      </c>
      <c r="R483" s="452">
        <f t="shared" si="291"/>
        <v>0</v>
      </c>
      <c r="S483" s="452">
        <f t="shared" ref="S483:V490" si="293">S457*S$470</f>
        <v>0</v>
      </c>
      <c r="T483" s="452">
        <f t="shared" si="293"/>
        <v>0</v>
      </c>
      <c r="U483" s="452">
        <f t="shared" si="293"/>
        <v>0</v>
      </c>
      <c r="V483" s="452">
        <f t="shared" si="293"/>
        <v>0</v>
      </c>
      <c r="W483" s="452">
        <f t="shared" si="292"/>
        <v>0</v>
      </c>
      <c r="X483" s="452">
        <f t="shared" si="292"/>
        <v>0</v>
      </c>
      <c r="Y483" s="452">
        <f t="shared" si="292"/>
        <v>0</v>
      </c>
    </row>
    <row r="484" spans="1:56" ht="12.75" customHeight="1" x14ac:dyDescent="0.2">
      <c r="A484" s="450" t="s">
        <v>163</v>
      </c>
      <c r="B484" s="450" t="s">
        <v>282</v>
      </c>
      <c r="C484" s="450" t="s">
        <v>228</v>
      </c>
      <c r="D484" s="450" t="s">
        <v>223</v>
      </c>
      <c r="E484" s="455">
        <v>24754</v>
      </c>
      <c r="F484" s="455" t="s">
        <v>278</v>
      </c>
      <c r="G484" s="523" t="s">
        <v>381</v>
      </c>
      <c r="H484" s="540">
        <v>38472</v>
      </c>
      <c r="I484" s="458">
        <v>1000</v>
      </c>
      <c r="K484" s="265"/>
      <c r="L484" s="265"/>
      <c r="N484" s="242">
        <f t="shared" si="289"/>
        <v>0</v>
      </c>
      <c r="O484" s="242">
        <f t="shared" si="291"/>
        <v>0</v>
      </c>
      <c r="P484" s="242">
        <f t="shared" si="291"/>
        <v>0</v>
      </c>
      <c r="Q484" s="242">
        <f t="shared" si="291"/>
        <v>0</v>
      </c>
      <c r="R484" s="452">
        <f t="shared" si="291"/>
        <v>19530</v>
      </c>
      <c r="S484" s="452">
        <f t="shared" si="293"/>
        <v>20610</v>
      </c>
      <c r="T484" s="452">
        <f t="shared" si="293"/>
        <v>18290</v>
      </c>
      <c r="U484" s="452">
        <f t="shared" si="293"/>
        <v>19530</v>
      </c>
      <c r="V484" s="452">
        <f t="shared" si="293"/>
        <v>15900</v>
      </c>
      <c r="W484" s="452">
        <f t="shared" si="292"/>
        <v>18910</v>
      </c>
      <c r="X484" s="452">
        <f t="shared" si="292"/>
        <v>18600</v>
      </c>
      <c r="Y484" s="452">
        <f t="shared" si="292"/>
        <v>19933</v>
      </c>
    </row>
    <row r="485" spans="1:56" ht="12.75" customHeight="1" x14ac:dyDescent="0.2">
      <c r="A485" s="450" t="s">
        <v>163</v>
      </c>
      <c r="B485" s="450" t="s">
        <v>282</v>
      </c>
      <c r="C485" s="450" t="s">
        <v>228</v>
      </c>
      <c r="D485" s="450" t="s">
        <v>223</v>
      </c>
      <c r="E485" s="530">
        <v>27349</v>
      </c>
      <c r="F485" s="523" t="s">
        <v>236</v>
      </c>
      <c r="G485" s="533">
        <v>36892</v>
      </c>
      <c r="H485" s="525">
        <v>38717</v>
      </c>
      <c r="I485" s="537">
        <v>20000</v>
      </c>
      <c r="K485" s="265"/>
      <c r="L485" s="265"/>
      <c r="N485" s="452">
        <f t="shared" si="289"/>
        <v>328600</v>
      </c>
      <c r="O485" s="452">
        <f t="shared" si="291"/>
        <v>302400</v>
      </c>
      <c r="P485" s="452">
        <f t="shared" si="291"/>
        <v>341000</v>
      </c>
      <c r="Q485" s="452">
        <f t="shared" si="291"/>
        <v>354000</v>
      </c>
      <c r="R485" s="452">
        <f t="shared" si="291"/>
        <v>390600</v>
      </c>
      <c r="S485" s="452">
        <f t="shared" si="293"/>
        <v>412200.00000000006</v>
      </c>
      <c r="T485" s="452">
        <f t="shared" si="293"/>
        <v>365800</v>
      </c>
      <c r="U485" s="452">
        <f t="shared" si="293"/>
        <v>390600</v>
      </c>
      <c r="V485" s="452">
        <f t="shared" si="293"/>
        <v>318000</v>
      </c>
      <c r="W485" s="452">
        <f t="shared" si="292"/>
        <v>378200</v>
      </c>
      <c r="X485" s="452">
        <f t="shared" si="292"/>
        <v>372000</v>
      </c>
      <c r="Y485" s="452">
        <f t="shared" si="292"/>
        <v>398660</v>
      </c>
    </row>
    <row r="486" spans="1:56" ht="12.75" customHeight="1" x14ac:dyDescent="0.2">
      <c r="A486" s="450" t="s">
        <v>163</v>
      </c>
      <c r="B486" s="450" t="s">
        <v>282</v>
      </c>
      <c r="C486" s="450" t="s">
        <v>228</v>
      </c>
      <c r="D486" s="450" t="s">
        <v>223</v>
      </c>
      <c r="E486" s="456">
        <v>27161</v>
      </c>
      <c r="F486" s="450" t="s">
        <v>276</v>
      </c>
      <c r="G486" s="523" t="s">
        <v>381</v>
      </c>
      <c r="H486" s="536">
        <v>37711</v>
      </c>
      <c r="I486" s="452">
        <v>400000</v>
      </c>
      <c r="N486" s="452">
        <f t="shared" si="289"/>
        <v>0</v>
      </c>
      <c r="O486" s="452">
        <f t="shared" si="291"/>
        <v>0</v>
      </c>
      <c r="P486" s="452">
        <f t="shared" si="291"/>
        <v>0</v>
      </c>
      <c r="Q486" s="452">
        <f t="shared" si="291"/>
        <v>0</v>
      </c>
      <c r="R486" s="452">
        <f t="shared" si="291"/>
        <v>0</v>
      </c>
      <c r="S486" s="452">
        <f t="shared" si="293"/>
        <v>0</v>
      </c>
      <c r="T486" s="452">
        <f t="shared" si="293"/>
        <v>0</v>
      </c>
      <c r="U486" s="452">
        <f t="shared" si="293"/>
        <v>0</v>
      </c>
      <c r="V486" s="452">
        <f t="shared" si="293"/>
        <v>0</v>
      </c>
      <c r="W486" s="452">
        <f>W460*W$470</f>
        <v>0</v>
      </c>
      <c r="X486" s="452">
        <f>X460*0.35</f>
        <v>4200000</v>
      </c>
      <c r="Y486" s="452">
        <f>Y460*0.35</f>
        <v>4340000</v>
      </c>
    </row>
    <row r="487" spans="1:56" ht="12.75" customHeight="1" x14ac:dyDescent="0.15">
      <c r="A487" s="450" t="s">
        <v>163</v>
      </c>
      <c r="B487" s="450" t="s">
        <v>282</v>
      </c>
      <c r="C487" s="450" t="s">
        <v>228</v>
      </c>
      <c r="D487" s="450" t="s">
        <v>223</v>
      </c>
      <c r="E487" s="456">
        <v>26490</v>
      </c>
      <c r="F487" s="450" t="s">
        <v>230</v>
      </c>
      <c r="G487" s="523" t="s">
        <v>381</v>
      </c>
      <c r="H487" s="525">
        <v>37925</v>
      </c>
      <c r="I487" s="464">
        <v>40000</v>
      </c>
      <c r="N487" s="452">
        <f t="shared" si="289"/>
        <v>0</v>
      </c>
      <c r="O487" s="452">
        <f t="shared" si="291"/>
        <v>0</v>
      </c>
      <c r="P487" s="452">
        <f t="shared" si="291"/>
        <v>0</v>
      </c>
      <c r="Q487" s="452">
        <f t="shared" si="291"/>
        <v>0</v>
      </c>
      <c r="R487" s="452">
        <f t="shared" si="291"/>
        <v>0</v>
      </c>
      <c r="S487" s="452">
        <f t="shared" si="293"/>
        <v>0</v>
      </c>
      <c r="T487" s="452">
        <f t="shared" si="293"/>
        <v>0</v>
      </c>
      <c r="U487" s="452">
        <f t="shared" si="293"/>
        <v>0</v>
      </c>
      <c r="V487" s="452">
        <f t="shared" si="293"/>
        <v>0</v>
      </c>
      <c r="W487" s="452">
        <f>W461*W$470</f>
        <v>0</v>
      </c>
      <c r="X487" s="464">
        <f t="shared" ref="X487:Y490" si="294">X461*X$470</f>
        <v>744000</v>
      </c>
      <c r="Y487" s="464">
        <f t="shared" si="294"/>
        <v>797320</v>
      </c>
    </row>
    <row r="488" spans="1:56" ht="12.75" customHeight="1" x14ac:dyDescent="0.15">
      <c r="A488" s="523" t="s">
        <v>163</v>
      </c>
      <c r="B488" s="523" t="s">
        <v>282</v>
      </c>
      <c r="C488" s="523" t="s">
        <v>228</v>
      </c>
      <c r="D488" s="523" t="s">
        <v>223</v>
      </c>
      <c r="E488" s="530">
        <v>27420</v>
      </c>
      <c r="F488" s="523" t="s">
        <v>435</v>
      </c>
      <c r="G488" s="533">
        <v>36861</v>
      </c>
      <c r="H488" s="525">
        <v>37225</v>
      </c>
      <c r="I488" s="537">
        <v>1932</v>
      </c>
      <c r="M488" s="241" t="s">
        <v>226</v>
      </c>
      <c r="N488" s="524">
        <f t="shared" si="289"/>
        <v>31742.760000000002</v>
      </c>
      <c r="O488" s="524">
        <f t="shared" si="291"/>
        <v>29211.84</v>
      </c>
      <c r="P488" s="524">
        <f t="shared" si="291"/>
        <v>32940.600000000006</v>
      </c>
      <c r="Q488" s="524">
        <f t="shared" si="291"/>
        <v>34196.400000000001</v>
      </c>
      <c r="R488" s="524">
        <f t="shared" si="291"/>
        <v>37731.96</v>
      </c>
      <c r="S488" s="524">
        <f t="shared" si="293"/>
        <v>39818.520000000004</v>
      </c>
      <c r="T488" s="524">
        <f t="shared" si="293"/>
        <v>45725</v>
      </c>
      <c r="U488" s="524">
        <f t="shared" si="293"/>
        <v>48825</v>
      </c>
      <c r="V488" s="524">
        <f t="shared" si="293"/>
        <v>39750</v>
      </c>
      <c r="W488" s="524">
        <f>W462*W$470</f>
        <v>47275</v>
      </c>
      <c r="X488" s="537">
        <f t="shared" si="294"/>
        <v>46500</v>
      </c>
      <c r="Y488" s="537">
        <f t="shared" si="294"/>
        <v>0</v>
      </c>
    </row>
    <row r="489" spans="1:56" ht="12.75" customHeight="1" x14ac:dyDescent="0.15">
      <c r="A489" s="523" t="s">
        <v>163</v>
      </c>
      <c r="B489" s="523" t="s">
        <v>282</v>
      </c>
      <c r="C489" s="523" t="s">
        <v>228</v>
      </c>
      <c r="D489" s="523" t="s">
        <v>223</v>
      </c>
      <c r="E489" s="530">
        <v>27377</v>
      </c>
      <c r="F489" s="523" t="s">
        <v>230</v>
      </c>
      <c r="G489" s="533">
        <v>36951</v>
      </c>
      <c r="H489" s="525">
        <v>37315</v>
      </c>
      <c r="I489" s="537">
        <v>10000</v>
      </c>
      <c r="M489" s="241" t="s">
        <v>226</v>
      </c>
      <c r="N489" s="524">
        <f t="shared" si="289"/>
        <v>0</v>
      </c>
      <c r="O489" s="524">
        <f t="shared" si="291"/>
        <v>0</v>
      </c>
      <c r="P489" s="524">
        <f t="shared" si="291"/>
        <v>170500</v>
      </c>
      <c r="Q489" s="524">
        <f t="shared" si="291"/>
        <v>177000</v>
      </c>
      <c r="R489" s="524">
        <f t="shared" si="291"/>
        <v>195300</v>
      </c>
      <c r="S489" s="524">
        <f t="shared" si="293"/>
        <v>206100.00000000003</v>
      </c>
      <c r="T489" s="524">
        <f t="shared" si="293"/>
        <v>182900</v>
      </c>
      <c r="U489" s="524">
        <f t="shared" si="293"/>
        <v>195300</v>
      </c>
      <c r="V489" s="524">
        <f t="shared" si="293"/>
        <v>159000</v>
      </c>
      <c r="W489" s="524">
        <f>W463*W$470</f>
        <v>189100</v>
      </c>
      <c r="X489" s="537">
        <f t="shared" si="294"/>
        <v>186000</v>
      </c>
      <c r="Y489" s="537">
        <f t="shared" si="294"/>
        <v>199330</v>
      </c>
    </row>
    <row r="490" spans="1:56" ht="12.75" customHeight="1" x14ac:dyDescent="0.15">
      <c r="A490" s="523" t="s">
        <v>163</v>
      </c>
      <c r="B490" s="523" t="s">
        <v>282</v>
      </c>
      <c r="C490" s="523" t="s">
        <v>228</v>
      </c>
      <c r="D490" s="523" t="s">
        <v>223</v>
      </c>
      <c r="E490" s="530">
        <v>27495</v>
      </c>
      <c r="F490" s="523" t="s">
        <v>436</v>
      </c>
      <c r="G490" s="533">
        <v>36951</v>
      </c>
      <c r="H490" s="525">
        <v>37711</v>
      </c>
      <c r="I490" s="537">
        <v>50000</v>
      </c>
      <c r="M490" s="241" t="s">
        <v>226</v>
      </c>
      <c r="N490" s="537">
        <f t="shared" si="289"/>
        <v>0</v>
      </c>
      <c r="O490" s="537">
        <f t="shared" si="291"/>
        <v>0</v>
      </c>
      <c r="P490" s="537">
        <f t="shared" si="291"/>
        <v>852500.00000000012</v>
      </c>
      <c r="Q490" s="537">
        <f t="shared" si="291"/>
        <v>885000</v>
      </c>
      <c r="R490" s="537">
        <f t="shared" si="291"/>
        <v>976500</v>
      </c>
      <c r="S490" s="537">
        <f t="shared" si="293"/>
        <v>1030500.0000000001</v>
      </c>
      <c r="T490" s="537">
        <f t="shared" si="293"/>
        <v>914500</v>
      </c>
      <c r="U490" s="537">
        <f t="shared" si="293"/>
        <v>976500</v>
      </c>
      <c r="V490" s="537">
        <f t="shared" si="293"/>
        <v>795000</v>
      </c>
      <c r="W490" s="537">
        <f>W464*W$470</f>
        <v>945500</v>
      </c>
      <c r="X490" s="537">
        <f t="shared" si="294"/>
        <v>930000</v>
      </c>
      <c r="Y490" s="537">
        <f t="shared" si="294"/>
        <v>996650</v>
      </c>
    </row>
    <row r="491" spans="1:56" ht="12.75" customHeight="1" x14ac:dyDescent="0.15">
      <c r="A491" s="584" t="s">
        <v>163</v>
      </c>
      <c r="B491" s="584" t="s">
        <v>282</v>
      </c>
      <c r="C491" s="584" t="s">
        <v>228</v>
      </c>
      <c r="D491" s="584" t="s">
        <v>223</v>
      </c>
      <c r="E491" s="585">
        <v>27579</v>
      </c>
      <c r="F491" s="584" t="s">
        <v>236</v>
      </c>
      <c r="G491" s="586">
        <v>37012</v>
      </c>
      <c r="H491" s="587">
        <v>37407</v>
      </c>
      <c r="I491" s="588">
        <v>20000</v>
      </c>
      <c r="M491" s="241" t="s">
        <v>226</v>
      </c>
      <c r="N491" s="537"/>
      <c r="O491" s="537"/>
      <c r="P491" s="537"/>
      <c r="Q491" s="537"/>
      <c r="R491" s="588">
        <f>R465*R$470</f>
        <v>390600</v>
      </c>
      <c r="S491" s="588">
        <f t="shared" ref="S491:Y493" si="295">S465*S$470</f>
        <v>412200.00000000006</v>
      </c>
      <c r="T491" s="588">
        <f t="shared" si="295"/>
        <v>365800</v>
      </c>
      <c r="U491" s="588">
        <f t="shared" si="295"/>
        <v>390600</v>
      </c>
      <c r="V491" s="588">
        <f t="shared" si="295"/>
        <v>318000</v>
      </c>
      <c r="W491" s="588">
        <f t="shared" si="295"/>
        <v>378200</v>
      </c>
      <c r="X491" s="588">
        <f t="shared" si="295"/>
        <v>372000</v>
      </c>
      <c r="Y491" s="588">
        <f t="shared" si="295"/>
        <v>398660</v>
      </c>
    </row>
    <row r="492" spans="1:56" ht="12.75" customHeight="1" x14ac:dyDescent="0.15">
      <c r="A492" s="523" t="s">
        <v>163</v>
      </c>
      <c r="B492" s="523" t="s">
        <v>282</v>
      </c>
      <c r="C492" s="523" t="s">
        <v>228</v>
      </c>
      <c r="D492" s="523" t="s">
        <v>223</v>
      </c>
      <c r="E492" s="530">
        <v>27529</v>
      </c>
      <c r="F492" s="523" t="s">
        <v>432</v>
      </c>
      <c r="G492" s="533">
        <v>36951</v>
      </c>
      <c r="H492" s="525">
        <v>36981</v>
      </c>
      <c r="I492" s="537">
        <v>100000</v>
      </c>
      <c r="M492" s="241" t="s">
        <v>226</v>
      </c>
      <c r="N492" s="246"/>
      <c r="O492" s="246"/>
      <c r="P492" s="537">
        <f>P466*P$470</f>
        <v>1705000.0000000002</v>
      </c>
      <c r="Q492" s="246"/>
      <c r="R492" s="246"/>
      <c r="S492" s="246"/>
      <c r="T492" s="246"/>
      <c r="U492" s="246"/>
      <c r="V492" s="246"/>
      <c r="W492" s="246"/>
      <c r="X492" s="464"/>
      <c r="Y492" s="464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</row>
    <row r="493" spans="1:56" ht="12.75" customHeight="1" x14ac:dyDescent="0.15">
      <c r="A493" s="523" t="s">
        <v>163</v>
      </c>
      <c r="B493" s="523" t="s">
        <v>282</v>
      </c>
      <c r="C493" s="523" t="s">
        <v>228</v>
      </c>
      <c r="D493" s="523" t="s">
        <v>223</v>
      </c>
      <c r="E493" s="530">
        <v>27600</v>
      </c>
      <c r="F493" s="523" t="s">
        <v>496</v>
      </c>
      <c r="G493" s="533">
        <v>37043</v>
      </c>
      <c r="H493" s="525">
        <v>37407</v>
      </c>
      <c r="I493" s="539">
        <v>2500</v>
      </c>
      <c r="N493" s="245"/>
      <c r="O493" s="245"/>
      <c r="P493" s="539"/>
      <c r="Q493" s="245"/>
      <c r="R493" s="245"/>
      <c r="S493" s="245"/>
      <c r="T493" s="609">
        <f t="shared" si="295"/>
        <v>45725</v>
      </c>
      <c r="U493" s="609">
        <f t="shared" si="295"/>
        <v>48825</v>
      </c>
      <c r="V493" s="609">
        <f t="shared" si="295"/>
        <v>39750</v>
      </c>
      <c r="W493" s="609">
        <f t="shared" si="295"/>
        <v>47275</v>
      </c>
      <c r="X493" s="609">
        <f t="shared" si="295"/>
        <v>46500</v>
      </c>
      <c r="Y493" s="609">
        <f t="shared" si="295"/>
        <v>49832.5</v>
      </c>
    </row>
    <row r="494" spans="1:56" ht="12.75" customHeight="1" x14ac:dyDescent="0.15">
      <c r="I494" s="242">
        <f>SUM(I471:I493)</f>
        <v>1226759</v>
      </c>
      <c r="N494" s="242">
        <f t="shared" ref="N494:S494" si="296">SUM(N471:N492)</f>
        <v>7515245.3699999992</v>
      </c>
      <c r="O494" s="242">
        <f t="shared" si="296"/>
        <v>6842076.0799999991</v>
      </c>
      <c r="P494" s="242">
        <f t="shared" si="296"/>
        <v>9936815.9500000011</v>
      </c>
      <c r="Q494" s="242">
        <f t="shared" si="296"/>
        <v>7974684.2999999998</v>
      </c>
      <c r="R494" s="242">
        <f t="shared" si="296"/>
        <v>8602598.2699999996</v>
      </c>
      <c r="S494" s="242">
        <f t="shared" si="296"/>
        <v>8698317.9900000002</v>
      </c>
      <c r="T494" s="242">
        <f t="shared" ref="T494:Y494" si="297">SUM(T471:T493)</f>
        <v>8615214.3399999999</v>
      </c>
      <c r="U494" s="242">
        <f t="shared" si="297"/>
        <v>8835766.9399999995</v>
      </c>
      <c r="V494" s="242">
        <f t="shared" si="297"/>
        <v>7146111</v>
      </c>
      <c r="W494" s="242">
        <f t="shared" si="297"/>
        <v>8292190</v>
      </c>
      <c r="X494" s="242">
        <f t="shared" si="297"/>
        <v>8924400</v>
      </c>
      <c r="Y494" s="242">
        <f t="shared" si="297"/>
        <v>10065036.662</v>
      </c>
    </row>
    <row r="496" spans="1:56" ht="12.75" customHeight="1" x14ac:dyDescent="0.2">
      <c r="A496" s="239" t="s">
        <v>163</v>
      </c>
      <c r="B496" s="239" t="s">
        <v>282</v>
      </c>
      <c r="C496" s="239" t="s">
        <v>229</v>
      </c>
      <c r="D496" s="239" t="s">
        <v>220</v>
      </c>
      <c r="E496" s="266">
        <v>24194</v>
      </c>
      <c r="F496" s="266" t="s">
        <v>273</v>
      </c>
      <c r="H496" s="269">
        <v>37164</v>
      </c>
      <c r="I496" s="273"/>
      <c r="K496" s="276">
        <v>0.1007</v>
      </c>
      <c r="L496" s="277">
        <v>9.2999999999999992E-3</v>
      </c>
      <c r="M496" s="241" t="s">
        <v>283</v>
      </c>
      <c r="N496" s="242">
        <f t="shared" ref="N496:Y496" si="298">N445*($K496+$L496)-N521</f>
        <v>130288.04000000001</v>
      </c>
      <c r="O496" s="242">
        <f t="shared" si="298"/>
        <v>117575.36</v>
      </c>
      <c r="P496" s="242">
        <f t="shared" si="298"/>
        <v>81285.875</v>
      </c>
      <c r="Q496" s="242">
        <f t="shared" si="298"/>
        <v>78384.75</v>
      </c>
      <c r="R496" s="242">
        <f t="shared" si="298"/>
        <v>32283.71</v>
      </c>
      <c r="S496" s="242">
        <f t="shared" si="298"/>
        <v>31083.27</v>
      </c>
      <c r="T496" s="242">
        <f t="shared" si="298"/>
        <v>32399.03</v>
      </c>
      <c r="U496" s="242">
        <f t="shared" si="298"/>
        <v>32283.71</v>
      </c>
      <c r="V496" s="242">
        <f t="shared" si="298"/>
        <v>31521.3</v>
      </c>
      <c r="W496" s="242">
        <f t="shared" si="298"/>
        <v>0</v>
      </c>
      <c r="X496" s="242">
        <f t="shared" si="298"/>
        <v>0</v>
      </c>
      <c r="Y496" s="242">
        <f t="shared" si="298"/>
        <v>0</v>
      </c>
    </row>
    <row r="497" spans="1:29" ht="12.75" customHeight="1" x14ac:dyDescent="0.2">
      <c r="A497" s="239" t="s">
        <v>163</v>
      </c>
      <c r="B497" s="239" t="s">
        <v>282</v>
      </c>
      <c r="C497" s="239" t="s">
        <v>229</v>
      </c>
      <c r="D497" s="239" t="s">
        <v>220</v>
      </c>
      <c r="E497" s="266">
        <v>27291</v>
      </c>
      <c r="F497" s="266" t="s">
        <v>236</v>
      </c>
      <c r="G497" s="240">
        <v>36739</v>
      </c>
      <c r="H497" s="269">
        <v>37468</v>
      </c>
      <c r="I497" s="273"/>
      <c r="K497" s="276">
        <v>1.0699999999999999E-2</v>
      </c>
      <c r="L497" s="277">
        <v>9.2999999999999992E-3</v>
      </c>
      <c r="M497" s="241" t="s">
        <v>226</v>
      </c>
      <c r="N497" s="242">
        <f t="shared" ref="N497:T503" si="299">N446*($K497+$L497)-N522</f>
        <v>9344.0199999999986</v>
      </c>
      <c r="O497" s="242">
        <f t="shared" si="299"/>
        <v>8387.6799999999985</v>
      </c>
      <c r="P497" s="242">
        <f t="shared" si="299"/>
        <v>9228.6999999999989</v>
      </c>
      <c r="Q497" s="242">
        <f t="shared" si="299"/>
        <v>8707.7999999999993</v>
      </c>
      <c r="R497" s="242">
        <f t="shared" si="299"/>
        <v>8767.4199999999983</v>
      </c>
      <c r="S497" s="242">
        <f t="shared" si="299"/>
        <v>8166.5399999999981</v>
      </c>
      <c r="T497" s="242">
        <f t="shared" si="299"/>
        <v>8998.0599999999977</v>
      </c>
      <c r="U497" s="242">
        <f>U446*(0.0157+$L497)-U522</f>
        <v>11867.419999999998</v>
      </c>
      <c r="V497" s="242">
        <f>V446*(0.0157+$L497)-V522</f>
        <v>12042.599999999999</v>
      </c>
      <c r="W497" s="242">
        <f>W446*(0.0157+$L497)-W522</f>
        <v>11982.739999999998</v>
      </c>
      <c r="X497" s="242">
        <f>X446*(0.0157+$L497)-X522</f>
        <v>11540.399999999998</v>
      </c>
      <c r="Y497" s="242">
        <f>Y446*(0.0157+$L497)-Y522</f>
        <v>11792.462</v>
      </c>
    </row>
    <row r="498" spans="1:29" ht="12.75" customHeight="1" x14ac:dyDescent="0.2">
      <c r="A498" s="239" t="s">
        <v>163</v>
      </c>
      <c r="B498" s="239" t="s">
        <v>282</v>
      </c>
      <c r="C498" s="239" t="s">
        <v>229</v>
      </c>
      <c r="D498" s="239" t="s">
        <v>220</v>
      </c>
      <c r="E498" s="266" t="s">
        <v>274</v>
      </c>
      <c r="F498" s="266" t="s">
        <v>275</v>
      </c>
      <c r="H498" s="269">
        <v>37376</v>
      </c>
      <c r="I498" s="273"/>
      <c r="K498" s="276">
        <v>9.5699999999999993E-2</v>
      </c>
      <c r="L498" s="277">
        <v>9.2999999999999992E-3</v>
      </c>
      <c r="M498" s="241" t="s">
        <v>226</v>
      </c>
      <c r="N498" s="242">
        <f t="shared" si="299"/>
        <v>110792.00651399999</v>
      </c>
      <c r="O498" s="242">
        <f t="shared" si="299"/>
        <v>99977.200175999984</v>
      </c>
      <c r="P498" s="242">
        <f t="shared" si="299"/>
        <v>110586.07958999999</v>
      </c>
      <c r="Q498" s="242">
        <f t="shared" si="299"/>
        <v>106620.21845999999</v>
      </c>
      <c r="R498" s="242">
        <f t="shared" si="299"/>
        <v>109762.371894</v>
      </c>
      <c r="S498" s="242">
        <f t="shared" si="299"/>
        <v>105653.69047799999</v>
      </c>
      <c r="T498" s="242">
        <f t="shared" si="299"/>
        <v>110174.225742</v>
      </c>
      <c r="U498" s="242">
        <f t="shared" ref="U498:Y503" si="300">U447*($K498+$L498)-U523</f>
        <v>109762.371894</v>
      </c>
      <c r="V498" s="242">
        <f t="shared" si="300"/>
        <v>0</v>
      </c>
      <c r="W498" s="242">
        <f t="shared" si="300"/>
        <v>0</v>
      </c>
      <c r="X498" s="242">
        <f t="shared" si="300"/>
        <v>0</v>
      </c>
      <c r="Y498" s="242">
        <f t="shared" si="300"/>
        <v>109628.5193934</v>
      </c>
    </row>
    <row r="499" spans="1:29" ht="12.75" customHeight="1" x14ac:dyDescent="0.2">
      <c r="A499" s="239" t="s">
        <v>163</v>
      </c>
      <c r="B499" s="239" t="s">
        <v>282</v>
      </c>
      <c r="C499" s="239" t="s">
        <v>229</v>
      </c>
      <c r="D499" s="239" t="s">
        <v>220</v>
      </c>
      <c r="E499" s="267">
        <v>24690</v>
      </c>
      <c r="F499" s="267" t="s">
        <v>277</v>
      </c>
      <c r="H499" s="268">
        <v>36981</v>
      </c>
      <c r="I499" s="275"/>
      <c r="K499" s="265">
        <v>6.0699999999999997E-2</v>
      </c>
      <c r="L499" s="265">
        <v>9.2999999999999992E-3</v>
      </c>
      <c r="M499" s="241" t="s">
        <v>283</v>
      </c>
      <c r="N499" s="242">
        <f t="shared" si="299"/>
        <v>30258.014999999996</v>
      </c>
      <c r="O499" s="242">
        <f t="shared" si="299"/>
        <v>27290.759999999995</v>
      </c>
      <c r="P499" s="242">
        <f t="shared" si="299"/>
        <v>30171.524999999998</v>
      </c>
      <c r="Q499" s="242">
        <f t="shared" si="299"/>
        <v>0</v>
      </c>
      <c r="R499" s="242">
        <f t="shared" si="299"/>
        <v>0</v>
      </c>
      <c r="S499" s="242">
        <f t="shared" si="299"/>
        <v>0</v>
      </c>
      <c r="T499" s="242">
        <f t="shared" si="299"/>
        <v>0</v>
      </c>
      <c r="U499" s="242">
        <f t="shared" si="300"/>
        <v>0</v>
      </c>
      <c r="V499" s="242">
        <f t="shared" si="300"/>
        <v>0</v>
      </c>
      <c r="W499" s="242">
        <f t="shared" si="300"/>
        <v>0</v>
      </c>
      <c r="X499" s="242">
        <f t="shared" si="300"/>
        <v>0</v>
      </c>
      <c r="Y499" s="242">
        <f t="shared" si="300"/>
        <v>0</v>
      </c>
    </row>
    <row r="500" spans="1:29" ht="12.75" customHeight="1" x14ac:dyDescent="0.2">
      <c r="A500" s="239" t="s">
        <v>163</v>
      </c>
      <c r="B500" s="239" t="s">
        <v>282</v>
      </c>
      <c r="C500" s="239" t="s">
        <v>229</v>
      </c>
      <c r="D500" s="239" t="s">
        <v>220</v>
      </c>
      <c r="E500" s="267">
        <v>26740</v>
      </c>
      <c r="F500" s="267" t="s">
        <v>264</v>
      </c>
      <c r="H500" s="270">
        <v>39113</v>
      </c>
      <c r="I500" s="275"/>
      <c r="K500" s="265">
        <v>4.07E-2</v>
      </c>
      <c r="L500" s="265">
        <v>9.2999999999999992E-3</v>
      </c>
      <c r="M500" s="241" t="s">
        <v>226</v>
      </c>
      <c r="N500" s="242">
        <f t="shared" si="299"/>
        <v>11177.608</v>
      </c>
      <c r="O500" s="242">
        <f t="shared" si="299"/>
        <v>10075.072</v>
      </c>
      <c r="P500" s="242">
        <f t="shared" si="299"/>
        <v>11131.48</v>
      </c>
      <c r="Q500" s="242">
        <f t="shared" si="299"/>
        <v>10683.12</v>
      </c>
      <c r="R500" s="242">
        <f t="shared" si="299"/>
        <v>10946.968000000001</v>
      </c>
      <c r="S500" s="242">
        <f t="shared" si="299"/>
        <v>10466.616</v>
      </c>
      <c r="T500" s="242">
        <f t="shared" si="299"/>
        <v>11039.224</v>
      </c>
      <c r="U500" s="242">
        <f t="shared" si="300"/>
        <v>10946.968000000001</v>
      </c>
      <c r="V500" s="242">
        <f t="shared" si="300"/>
        <v>10817.04</v>
      </c>
      <c r="W500" s="242">
        <f t="shared" si="300"/>
        <v>10993.096</v>
      </c>
      <c r="X500" s="242">
        <f t="shared" si="300"/>
        <v>10616.16</v>
      </c>
      <c r="Y500" s="242">
        <f t="shared" si="300"/>
        <v>10916.9848</v>
      </c>
    </row>
    <row r="501" spans="1:29" ht="12.75" customHeight="1" x14ac:dyDescent="0.2">
      <c r="A501" s="239" t="s">
        <v>163</v>
      </c>
      <c r="B501" s="239" t="s">
        <v>282</v>
      </c>
      <c r="C501" s="239" t="s">
        <v>229</v>
      </c>
      <c r="D501" s="239" t="s">
        <v>220</v>
      </c>
      <c r="E501" s="267">
        <v>24754</v>
      </c>
      <c r="F501" s="267" t="s">
        <v>278</v>
      </c>
      <c r="H501" s="540">
        <v>38472</v>
      </c>
      <c r="I501" s="275"/>
      <c r="K501" s="265">
        <v>9.0700000000000003E-2</v>
      </c>
      <c r="L501" s="265">
        <v>9.2999999999999992E-3</v>
      </c>
      <c r="M501" s="241" t="s">
        <v>232</v>
      </c>
      <c r="N501" s="242">
        <f t="shared" si="299"/>
        <v>2947.201</v>
      </c>
      <c r="O501" s="242">
        <f t="shared" si="299"/>
        <v>2659.384</v>
      </c>
      <c r="P501" s="242">
        <f t="shared" si="299"/>
        <v>2941.4349999999999</v>
      </c>
      <c r="Q501" s="242">
        <f t="shared" si="299"/>
        <v>2835.39</v>
      </c>
      <c r="R501" s="242">
        <f t="shared" si="299"/>
        <v>0</v>
      </c>
      <c r="S501" s="242">
        <f t="shared" si="299"/>
        <v>0</v>
      </c>
      <c r="T501" s="242">
        <f t="shared" si="299"/>
        <v>0</v>
      </c>
      <c r="U501" s="242">
        <f t="shared" si="300"/>
        <v>0</v>
      </c>
      <c r="V501" s="242">
        <f t="shared" si="300"/>
        <v>0</v>
      </c>
      <c r="W501" s="242">
        <f t="shared" si="300"/>
        <v>0</v>
      </c>
      <c r="X501" s="242">
        <f t="shared" si="300"/>
        <v>0</v>
      </c>
      <c r="Y501" s="242">
        <f t="shared" si="300"/>
        <v>0</v>
      </c>
    </row>
    <row r="502" spans="1:29" ht="12.75" customHeight="1" x14ac:dyDescent="0.2">
      <c r="A502" s="239" t="s">
        <v>163</v>
      </c>
      <c r="B502" s="239" t="s">
        <v>282</v>
      </c>
      <c r="C502" s="239" t="s">
        <v>229</v>
      </c>
      <c r="D502" s="239" t="s">
        <v>220</v>
      </c>
      <c r="E502" s="267">
        <v>25031</v>
      </c>
      <c r="F502" s="267" t="s">
        <v>279</v>
      </c>
      <c r="H502" s="270">
        <v>39051</v>
      </c>
      <c r="I502" s="275"/>
      <c r="K502" s="239"/>
      <c r="N502" s="242">
        <f t="shared" si="299"/>
        <v>0</v>
      </c>
      <c r="O502" s="242">
        <f t="shared" si="299"/>
        <v>0</v>
      </c>
      <c r="P502" s="242">
        <f t="shared" si="299"/>
        <v>0</v>
      </c>
      <c r="Q502" s="242">
        <f t="shared" si="299"/>
        <v>0</v>
      </c>
      <c r="R502" s="242">
        <f t="shared" si="299"/>
        <v>0</v>
      </c>
      <c r="S502" s="242">
        <f t="shared" si="299"/>
        <v>0</v>
      </c>
      <c r="T502" s="242">
        <f t="shared" si="299"/>
        <v>0</v>
      </c>
      <c r="U502" s="242">
        <f t="shared" si="300"/>
        <v>0</v>
      </c>
      <c r="V502" s="242">
        <f t="shared" si="300"/>
        <v>0</v>
      </c>
      <c r="W502" s="242">
        <f t="shared" si="300"/>
        <v>0</v>
      </c>
      <c r="X502" s="242">
        <f t="shared" si="300"/>
        <v>0</v>
      </c>
      <c r="Y502" s="242">
        <f t="shared" si="300"/>
        <v>0</v>
      </c>
    </row>
    <row r="503" spans="1:29" ht="12.75" customHeight="1" x14ac:dyDescent="0.2">
      <c r="A503" s="239" t="s">
        <v>163</v>
      </c>
      <c r="B503" s="239" t="s">
        <v>282</v>
      </c>
      <c r="C503" s="239" t="s">
        <v>229</v>
      </c>
      <c r="D503" s="239" t="s">
        <v>220</v>
      </c>
      <c r="E503" s="267" t="s">
        <v>280</v>
      </c>
      <c r="F503" s="267" t="s">
        <v>236</v>
      </c>
      <c r="H503" s="268">
        <v>36950</v>
      </c>
      <c r="I503" s="275"/>
      <c r="K503" s="265">
        <v>1.0699999999999999E-2</v>
      </c>
      <c r="L503" s="265">
        <v>9.2999999999999992E-3</v>
      </c>
      <c r="M503" s="241" t="s">
        <v>226</v>
      </c>
      <c r="N503" s="242">
        <f t="shared" si="299"/>
        <v>4672.0099999999993</v>
      </c>
      <c r="O503" s="242">
        <f t="shared" si="299"/>
        <v>4193.8399999999992</v>
      </c>
      <c r="P503" s="242">
        <f t="shared" si="299"/>
        <v>0</v>
      </c>
      <c r="Q503" s="242">
        <f t="shared" si="299"/>
        <v>0</v>
      </c>
      <c r="R503" s="242">
        <f t="shared" si="299"/>
        <v>0</v>
      </c>
      <c r="S503" s="242">
        <f t="shared" si="299"/>
        <v>0</v>
      </c>
      <c r="T503" s="242">
        <f t="shared" si="299"/>
        <v>0</v>
      </c>
      <c r="U503" s="242">
        <f t="shared" si="300"/>
        <v>0</v>
      </c>
      <c r="V503" s="242">
        <f t="shared" si="300"/>
        <v>0</v>
      </c>
      <c r="W503" s="242">
        <f t="shared" si="300"/>
        <v>0</v>
      </c>
      <c r="X503" s="242">
        <f t="shared" si="300"/>
        <v>0</v>
      </c>
      <c r="Y503" s="242">
        <f t="shared" si="300"/>
        <v>0</v>
      </c>
    </row>
    <row r="504" spans="1:29" ht="12.75" customHeight="1" x14ac:dyDescent="0.2">
      <c r="A504" s="239" t="s">
        <v>163</v>
      </c>
      <c r="B504" s="239" t="s">
        <v>282</v>
      </c>
      <c r="C504" s="239" t="s">
        <v>229</v>
      </c>
      <c r="D504" s="239" t="s">
        <v>220</v>
      </c>
      <c r="E504" s="267">
        <v>27161</v>
      </c>
      <c r="F504" s="267" t="s">
        <v>276</v>
      </c>
      <c r="H504" s="536">
        <v>37711</v>
      </c>
      <c r="I504" s="274"/>
      <c r="K504" s="265">
        <v>7.4999999999999997E-3</v>
      </c>
      <c r="L504" s="265">
        <v>9.2999999999999992E-3</v>
      </c>
      <c r="M504" s="241" t="s">
        <v>232</v>
      </c>
      <c r="N504" s="242">
        <f t="shared" ref="N504:W504" si="301">N453*($K504)</f>
        <v>93000</v>
      </c>
      <c r="O504" s="242">
        <f t="shared" si="301"/>
        <v>84000</v>
      </c>
      <c r="P504" s="242">
        <f t="shared" si="301"/>
        <v>93000</v>
      </c>
      <c r="Q504" s="242">
        <f t="shared" si="301"/>
        <v>90000</v>
      </c>
      <c r="R504" s="242">
        <f t="shared" si="301"/>
        <v>93000</v>
      </c>
      <c r="S504" s="242">
        <f t="shared" si="301"/>
        <v>90000</v>
      </c>
      <c r="T504" s="242">
        <f t="shared" si="301"/>
        <v>93000</v>
      </c>
      <c r="U504" s="242">
        <f t="shared" si="301"/>
        <v>93000</v>
      </c>
      <c r="V504" s="242">
        <f t="shared" si="301"/>
        <v>90000</v>
      </c>
      <c r="W504" s="242">
        <f t="shared" si="301"/>
        <v>93000</v>
      </c>
      <c r="X504" s="242">
        <f t="shared" ref="X504:Y510" si="302">X453*($K504+$L504)-X529</f>
        <v>0</v>
      </c>
      <c r="Y504" s="242">
        <f t="shared" si="302"/>
        <v>0</v>
      </c>
    </row>
    <row r="505" spans="1:29" ht="12.75" customHeight="1" x14ac:dyDescent="0.2">
      <c r="A505" s="239" t="s">
        <v>163</v>
      </c>
      <c r="B505" s="239" t="s">
        <v>282</v>
      </c>
      <c r="C505" s="239" t="s">
        <v>229</v>
      </c>
      <c r="D505" s="239" t="s">
        <v>220</v>
      </c>
      <c r="E505" s="267" t="s">
        <v>281</v>
      </c>
      <c r="F505" s="267" t="s">
        <v>230</v>
      </c>
      <c r="H505" s="525">
        <v>37925</v>
      </c>
      <c r="I505" s="274"/>
      <c r="K505" s="265">
        <v>5.0700000000000002E-2</v>
      </c>
      <c r="L505" s="265">
        <v>9.2999999999999992E-3</v>
      </c>
      <c r="M505" s="241" t="s">
        <v>226</v>
      </c>
      <c r="N505" s="242">
        <f t="shared" ref="N505:W505" si="303">N454*($K505+$L505)-N530</f>
        <v>68288.040000000008</v>
      </c>
      <c r="O505" s="242">
        <f t="shared" si="303"/>
        <v>61575.360000000001</v>
      </c>
      <c r="P505" s="242">
        <f t="shared" si="303"/>
        <v>68057.399999999994</v>
      </c>
      <c r="Q505" s="242">
        <f t="shared" si="303"/>
        <v>65415.6</v>
      </c>
      <c r="R505" s="242">
        <f t="shared" si="303"/>
        <v>67134.84</v>
      </c>
      <c r="S505" s="242">
        <f t="shared" si="303"/>
        <v>64333.08</v>
      </c>
      <c r="T505" s="242">
        <f t="shared" si="303"/>
        <v>67596.12</v>
      </c>
      <c r="U505" s="242">
        <f t="shared" si="303"/>
        <v>67134.84</v>
      </c>
      <c r="V505" s="242">
        <f t="shared" si="303"/>
        <v>66085.2</v>
      </c>
      <c r="W505" s="242">
        <f t="shared" si="303"/>
        <v>67365.48</v>
      </c>
      <c r="X505" s="242">
        <f t="shared" si="302"/>
        <v>0</v>
      </c>
      <c r="Y505" s="242">
        <f t="shared" si="302"/>
        <v>0</v>
      </c>
    </row>
    <row r="506" spans="1:29" ht="12.75" customHeight="1" x14ac:dyDescent="0.2">
      <c r="A506" s="239" t="s">
        <v>163</v>
      </c>
      <c r="B506" s="239" t="s">
        <v>282</v>
      </c>
      <c r="C506" s="239" t="s">
        <v>229</v>
      </c>
      <c r="D506" s="239" t="s">
        <v>220</v>
      </c>
      <c r="E506" s="267">
        <v>27104</v>
      </c>
      <c r="F506" s="267" t="s">
        <v>380</v>
      </c>
      <c r="H506" s="268">
        <v>37652</v>
      </c>
      <c r="I506" s="274"/>
      <c r="K506" s="265">
        <v>4.07E-2</v>
      </c>
      <c r="L506" s="265">
        <v>3.3E-3</v>
      </c>
      <c r="M506" s="241" t="s">
        <v>226</v>
      </c>
      <c r="N506" s="242">
        <f t="shared" ref="N506:W506" si="304">N455*($K506+$L506)-N531</f>
        <v>2112.6767530000002</v>
      </c>
      <c r="O506" s="242">
        <f t="shared" si="304"/>
        <v>1906.7337519999999</v>
      </c>
      <c r="P506" s="242">
        <f t="shared" si="304"/>
        <v>2109.3765549999998</v>
      </c>
      <c r="Q506" s="242">
        <f t="shared" si="304"/>
        <v>2034.9446699999999</v>
      </c>
      <c r="R506" s="242">
        <f t="shared" si="304"/>
        <v>2096.1757630000002</v>
      </c>
      <c r="S506" s="242">
        <f t="shared" si="304"/>
        <v>2019.455031</v>
      </c>
      <c r="T506" s="242">
        <f t="shared" si="304"/>
        <v>18292.718575999996</v>
      </c>
      <c r="U506" s="242">
        <f t="shared" si="304"/>
        <v>13624.492683999999</v>
      </c>
      <c r="V506" s="242">
        <f t="shared" si="304"/>
        <v>1635.1136999999999</v>
      </c>
      <c r="W506" s="242">
        <f t="shared" si="304"/>
        <v>0</v>
      </c>
      <c r="X506" s="242">
        <f t="shared" si="302"/>
        <v>0</v>
      </c>
      <c r="Y506" s="242">
        <f t="shared" si="302"/>
        <v>0</v>
      </c>
    </row>
    <row r="507" spans="1:29" ht="12.75" customHeight="1" x14ac:dyDescent="0.2">
      <c r="A507" s="450" t="s">
        <v>163</v>
      </c>
      <c r="B507" s="450" t="s">
        <v>282</v>
      </c>
      <c r="C507" s="450" t="s">
        <v>229</v>
      </c>
      <c r="D507" s="450" t="s">
        <v>220</v>
      </c>
      <c r="E507" s="455">
        <v>24194</v>
      </c>
      <c r="F507" s="455" t="s">
        <v>375</v>
      </c>
      <c r="G507" s="450" t="s">
        <v>374</v>
      </c>
      <c r="H507" s="457"/>
      <c r="I507" s="274"/>
      <c r="K507" s="461">
        <v>7.0699999999999999E-2</v>
      </c>
      <c r="L507" s="462">
        <v>9.2999999999999992E-3</v>
      </c>
      <c r="M507" s="454" t="s">
        <v>226</v>
      </c>
      <c r="N507" s="452">
        <f t="shared" ref="N507:W507" si="305">N456*($K507+$L507)-N532</f>
        <v>0</v>
      </c>
      <c r="O507" s="452">
        <f t="shared" si="305"/>
        <v>0</v>
      </c>
      <c r="P507" s="452">
        <f t="shared" si="305"/>
        <v>0</v>
      </c>
      <c r="Q507" s="452">
        <f t="shared" si="305"/>
        <v>0</v>
      </c>
      <c r="R507" s="452">
        <f t="shared" si="305"/>
        <v>0</v>
      </c>
      <c r="S507" s="452">
        <f t="shared" si="305"/>
        <v>0</v>
      </c>
      <c r="T507" s="452">
        <f t="shared" si="305"/>
        <v>0</v>
      </c>
      <c r="U507" s="452">
        <f t="shared" si="305"/>
        <v>0</v>
      </c>
      <c r="V507" s="452">
        <f t="shared" si="305"/>
        <v>0</v>
      </c>
      <c r="W507" s="452">
        <f t="shared" si="305"/>
        <v>80644.794999999998</v>
      </c>
      <c r="X507" s="452">
        <f t="shared" si="302"/>
        <v>178161.6</v>
      </c>
      <c r="Y507" s="452">
        <f t="shared" si="302"/>
        <v>183569.848</v>
      </c>
      <c r="AC507" s="375">
        <f t="shared" ref="AC507:AC512" si="306">SUM(N507:Y507)</f>
        <v>442376.24300000002</v>
      </c>
    </row>
    <row r="508" spans="1:29" ht="12.75" customHeight="1" x14ac:dyDescent="0.2">
      <c r="A508" s="450" t="s">
        <v>163</v>
      </c>
      <c r="B508" s="450" t="s">
        <v>282</v>
      </c>
      <c r="C508" s="450" t="s">
        <v>229</v>
      </c>
      <c r="D508" s="450" t="s">
        <v>220</v>
      </c>
      <c r="E508" s="455">
        <v>24690</v>
      </c>
      <c r="F508" s="455" t="s">
        <v>277</v>
      </c>
      <c r="G508" s="450" t="s">
        <v>374</v>
      </c>
      <c r="H508" s="457"/>
      <c r="I508" s="274"/>
      <c r="K508" s="463">
        <v>2.5700000000000001E-2</v>
      </c>
      <c r="L508" s="463">
        <v>9.2999999999999992E-3</v>
      </c>
      <c r="M508" s="454" t="s">
        <v>226</v>
      </c>
      <c r="N508" s="452">
        <f t="shared" ref="N508:W508" si="307">N457*($K508+$L508)-N533</f>
        <v>0</v>
      </c>
      <c r="O508" s="452">
        <f t="shared" si="307"/>
        <v>0</v>
      </c>
      <c r="P508" s="452">
        <f t="shared" si="307"/>
        <v>0</v>
      </c>
      <c r="Q508" s="452">
        <f t="shared" si="307"/>
        <v>0</v>
      </c>
      <c r="R508" s="452">
        <f t="shared" si="307"/>
        <v>0</v>
      </c>
      <c r="S508" s="452">
        <f t="shared" si="307"/>
        <v>0</v>
      </c>
      <c r="T508" s="452">
        <f t="shared" si="307"/>
        <v>0</v>
      </c>
      <c r="U508" s="452">
        <f t="shared" si="307"/>
        <v>0</v>
      </c>
      <c r="V508" s="452">
        <f t="shared" si="307"/>
        <v>0</v>
      </c>
      <c r="W508" s="452">
        <f t="shared" si="307"/>
        <v>0</v>
      </c>
      <c r="X508" s="452">
        <f t="shared" si="302"/>
        <v>0</v>
      </c>
      <c r="Y508" s="452">
        <f t="shared" si="302"/>
        <v>0</v>
      </c>
      <c r="AC508" s="375">
        <f t="shared" si="306"/>
        <v>0</v>
      </c>
    </row>
    <row r="509" spans="1:29" ht="12.75" customHeight="1" x14ac:dyDescent="0.2">
      <c r="A509" s="450" t="s">
        <v>163</v>
      </c>
      <c r="B509" s="450" t="s">
        <v>282</v>
      </c>
      <c r="C509" s="450" t="s">
        <v>229</v>
      </c>
      <c r="D509" s="450" t="s">
        <v>220</v>
      </c>
      <c r="E509" s="455">
        <v>24754</v>
      </c>
      <c r="F509" s="455" t="s">
        <v>278</v>
      </c>
      <c r="G509" s="523" t="s">
        <v>381</v>
      </c>
      <c r="H509" s="540">
        <v>38472</v>
      </c>
      <c r="I509" s="274"/>
      <c r="K509" s="463">
        <v>9.0700000000000003E-2</v>
      </c>
      <c r="L509" s="463">
        <v>9.2999999999999992E-3</v>
      </c>
      <c r="M509" s="454" t="s">
        <v>226</v>
      </c>
      <c r="N509" s="452">
        <f t="shared" ref="N509:W509" si="308">N458*($K509+$L509)-N534</f>
        <v>0</v>
      </c>
      <c r="O509" s="452">
        <f t="shared" si="308"/>
        <v>0</v>
      </c>
      <c r="P509" s="452">
        <f t="shared" si="308"/>
        <v>0</v>
      </c>
      <c r="Q509" s="452">
        <f t="shared" si="308"/>
        <v>0</v>
      </c>
      <c r="R509" s="452">
        <f t="shared" si="308"/>
        <v>2918.3710000000001</v>
      </c>
      <c r="S509" s="452">
        <f t="shared" si="308"/>
        <v>2808.3270000000002</v>
      </c>
      <c r="T509" s="452">
        <f t="shared" si="308"/>
        <v>2929.9030000000002</v>
      </c>
      <c r="U509" s="452">
        <f t="shared" si="308"/>
        <v>2918.3710000000001</v>
      </c>
      <c r="V509" s="452">
        <f t="shared" si="308"/>
        <v>2852.13</v>
      </c>
      <c r="W509" s="452">
        <f t="shared" si="308"/>
        <v>2924.1370000000002</v>
      </c>
      <c r="X509" s="452">
        <f t="shared" si="302"/>
        <v>2827.02</v>
      </c>
      <c r="Y509" s="452">
        <f t="shared" si="302"/>
        <v>2914.6230999999998</v>
      </c>
      <c r="AC509" s="375">
        <f t="shared" si="306"/>
        <v>23092.882100000003</v>
      </c>
    </row>
    <row r="510" spans="1:29" ht="12.75" customHeight="1" x14ac:dyDescent="0.2">
      <c r="A510" s="450" t="s">
        <v>163</v>
      </c>
      <c r="B510" s="450" t="s">
        <v>282</v>
      </c>
      <c r="C510" s="450" t="s">
        <v>229</v>
      </c>
      <c r="D510" s="450" t="s">
        <v>220</v>
      </c>
      <c r="E510" s="530">
        <v>27349</v>
      </c>
      <c r="F510" s="523" t="s">
        <v>236</v>
      </c>
      <c r="G510" s="533">
        <v>36892</v>
      </c>
      <c r="H510" s="525">
        <v>38717</v>
      </c>
      <c r="I510" s="537"/>
      <c r="K510" s="534">
        <v>4.07E-2</v>
      </c>
      <c r="L510" s="534">
        <v>9.2999999999999992E-3</v>
      </c>
      <c r="M510" s="454" t="s">
        <v>226</v>
      </c>
      <c r="N510" s="452">
        <f t="shared" ref="N510:W510" si="309">N459*($K510+$L510)-N535</f>
        <v>27944.02</v>
      </c>
      <c r="O510" s="452">
        <f t="shared" si="309"/>
        <v>25187.68</v>
      </c>
      <c r="P510" s="452">
        <f t="shared" si="309"/>
        <v>27828.7</v>
      </c>
      <c r="Q510" s="452">
        <f t="shared" si="309"/>
        <v>26707.8</v>
      </c>
      <c r="R510" s="452">
        <f t="shared" si="309"/>
        <v>27367.42</v>
      </c>
      <c r="S510" s="452">
        <f t="shared" si="309"/>
        <v>26166.54</v>
      </c>
      <c r="T510" s="452">
        <f t="shared" si="309"/>
        <v>27598.06</v>
      </c>
      <c r="U510" s="452">
        <f t="shared" si="309"/>
        <v>27367.42</v>
      </c>
      <c r="V510" s="452">
        <f t="shared" si="309"/>
        <v>27042.6</v>
      </c>
      <c r="W510" s="452">
        <f t="shared" si="309"/>
        <v>27482.74</v>
      </c>
      <c r="X510" s="452">
        <f t="shared" si="302"/>
        <v>26540.400000000001</v>
      </c>
      <c r="Y510" s="452">
        <f t="shared" si="302"/>
        <v>27292.462</v>
      </c>
      <c r="AC510" s="375">
        <f t="shared" si="306"/>
        <v>324525.84200000006</v>
      </c>
    </row>
    <row r="511" spans="1:29" ht="12.75" customHeight="1" x14ac:dyDescent="0.2">
      <c r="A511" s="450" t="s">
        <v>163</v>
      </c>
      <c r="B511" s="450" t="s">
        <v>282</v>
      </c>
      <c r="C511" s="450" t="s">
        <v>229</v>
      </c>
      <c r="D511" s="450" t="s">
        <v>220</v>
      </c>
      <c r="E511" s="456">
        <v>27161</v>
      </c>
      <c r="F511" s="450" t="s">
        <v>276</v>
      </c>
      <c r="G511" s="523" t="s">
        <v>381</v>
      </c>
      <c r="H511" s="536">
        <v>37711</v>
      </c>
      <c r="K511" s="463">
        <v>2.5000000000000001E-2</v>
      </c>
      <c r="L511" s="463">
        <v>9.2999999999999992E-3</v>
      </c>
      <c r="M511" s="454" t="s">
        <v>232</v>
      </c>
      <c r="N511" s="242">
        <f t="shared" ref="N511:W511" si="310">N460*($K511+$L511)-N536</f>
        <v>0</v>
      </c>
      <c r="O511" s="242">
        <f t="shared" si="310"/>
        <v>0</v>
      </c>
      <c r="P511" s="452">
        <f t="shared" si="310"/>
        <v>0</v>
      </c>
      <c r="Q511" s="452">
        <f t="shared" si="310"/>
        <v>0</v>
      </c>
      <c r="R511" s="452">
        <f t="shared" si="310"/>
        <v>0</v>
      </c>
      <c r="S511" s="452">
        <f t="shared" si="310"/>
        <v>0</v>
      </c>
      <c r="T511" s="452">
        <f t="shared" si="310"/>
        <v>0</v>
      </c>
      <c r="U511" s="452">
        <f t="shared" si="310"/>
        <v>0</v>
      </c>
      <c r="V511" s="452">
        <f t="shared" si="310"/>
        <v>0</v>
      </c>
      <c r="W511" s="452">
        <f t="shared" si="310"/>
        <v>0</v>
      </c>
      <c r="X511" s="452">
        <f>X460*($K511)</f>
        <v>300000</v>
      </c>
      <c r="Y511" s="452">
        <f>Y460*($K511)</f>
        <v>310000</v>
      </c>
      <c r="AC511" s="375">
        <f t="shared" si="306"/>
        <v>610000</v>
      </c>
    </row>
    <row r="512" spans="1:29" ht="12.75" customHeight="1" x14ac:dyDescent="0.2">
      <c r="A512" s="450" t="s">
        <v>163</v>
      </c>
      <c r="B512" s="450" t="s">
        <v>282</v>
      </c>
      <c r="C512" s="450" t="s">
        <v>229</v>
      </c>
      <c r="D512" s="450" t="s">
        <v>220</v>
      </c>
      <c r="E512" s="456">
        <v>26490</v>
      </c>
      <c r="F512" s="450" t="s">
        <v>230</v>
      </c>
      <c r="G512" s="523" t="s">
        <v>381</v>
      </c>
      <c r="H512" s="525">
        <v>37925</v>
      </c>
      <c r="I512" s="246"/>
      <c r="K512" s="463">
        <v>6.0699999999999997E-2</v>
      </c>
      <c r="L512" s="463">
        <v>9.2999999999999992E-3</v>
      </c>
      <c r="M512" s="454" t="s">
        <v>226</v>
      </c>
      <c r="N512" s="242">
        <f t="shared" ref="N512:W512" si="311">N461*($K512+$L512)-N537</f>
        <v>0</v>
      </c>
      <c r="O512" s="242">
        <f t="shared" si="311"/>
        <v>0</v>
      </c>
      <c r="P512" s="452">
        <f t="shared" si="311"/>
        <v>0</v>
      </c>
      <c r="Q512" s="452">
        <f t="shared" si="311"/>
        <v>0</v>
      </c>
      <c r="R512" s="452">
        <f t="shared" si="311"/>
        <v>0</v>
      </c>
      <c r="S512" s="452">
        <f t="shared" si="311"/>
        <v>0</v>
      </c>
      <c r="T512" s="452">
        <f t="shared" si="311"/>
        <v>0</v>
      </c>
      <c r="U512" s="452">
        <f t="shared" si="311"/>
        <v>0</v>
      </c>
      <c r="V512" s="452">
        <f t="shared" si="311"/>
        <v>0</v>
      </c>
      <c r="W512" s="452">
        <f t="shared" si="311"/>
        <v>0</v>
      </c>
      <c r="X512" s="464">
        <f t="shared" ref="X512:Y516" si="312">X461*($K512+$L512)-X537</f>
        <v>77080.799999999988</v>
      </c>
      <c r="Y512" s="464">
        <f t="shared" si="312"/>
        <v>79384.923999999985</v>
      </c>
      <c r="AC512" s="375">
        <f t="shared" si="306"/>
        <v>156465.72399999999</v>
      </c>
    </row>
    <row r="513" spans="1:32" ht="12.75" customHeight="1" x14ac:dyDescent="0.2">
      <c r="A513" s="523" t="s">
        <v>163</v>
      </c>
      <c r="B513" s="523" t="s">
        <v>282</v>
      </c>
      <c r="C513" s="523" t="s">
        <v>229</v>
      </c>
      <c r="D513" s="523" t="s">
        <v>220</v>
      </c>
      <c r="E513" s="530">
        <v>27420</v>
      </c>
      <c r="F513" s="523" t="s">
        <v>435</v>
      </c>
      <c r="G513" s="533">
        <v>36861</v>
      </c>
      <c r="H513" s="525">
        <v>37225</v>
      </c>
      <c r="I513" s="246"/>
      <c r="K513" s="534">
        <v>5.57E-2</v>
      </c>
      <c r="L513" s="534">
        <v>9.2999999999999992E-3</v>
      </c>
      <c r="M513" s="454" t="s">
        <v>226</v>
      </c>
      <c r="N513" s="524">
        <f t="shared" ref="N513:W513" si="313">N462*($K513+$L513)-N538</f>
        <v>3597.772332</v>
      </c>
      <c r="O513" s="524">
        <f t="shared" si="313"/>
        <v>3244.5698880000004</v>
      </c>
      <c r="P513" s="524">
        <f t="shared" si="313"/>
        <v>3586.6324199999999</v>
      </c>
      <c r="Q513" s="524">
        <f t="shared" si="313"/>
        <v>3449.3734800000002</v>
      </c>
      <c r="R513" s="524">
        <f t="shared" si="313"/>
        <v>3542.072772</v>
      </c>
      <c r="S513" s="524">
        <f t="shared" si="313"/>
        <v>3397.0877639999999</v>
      </c>
      <c r="T513" s="524">
        <f t="shared" si="313"/>
        <v>4612.2574999999997</v>
      </c>
      <c r="U513" s="524">
        <f t="shared" si="313"/>
        <v>4583.4274999999998</v>
      </c>
      <c r="V513" s="524">
        <f t="shared" si="313"/>
        <v>4505.3249999999998</v>
      </c>
      <c r="W513" s="524">
        <f t="shared" si="313"/>
        <v>4597.8424999999997</v>
      </c>
      <c r="X513" s="537">
        <f t="shared" si="312"/>
        <v>4442.55</v>
      </c>
      <c r="Y513" s="537">
        <f t="shared" si="312"/>
        <v>0</v>
      </c>
      <c r="Z513" s="375"/>
      <c r="AC513" s="375"/>
    </row>
    <row r="514" spans="1:32" ht="12.75" customHeight="1" x14ac:dyDescent="0.2">
      <c r="A514" s="523" t="s">
        <v>163</v>
      </c>
      <c r="B514" s="523" t="s">
        <v>282</v>
      </c>
      <c r="C514" s="523" t="s">
        <v>229</v>
      </c>
      <c r="D514" s="523" t="s">
        <v>220</v>
      </c>
      <c r="E514" s="530">
        <v>27377</v>
      </c>
      <c r="F514" s="523" t="s">
        <v>230</v>
      </c>
      <c r="G514" s="533">
        <v>36951</v>
      </c>
      <c r="H514" s="525">
        <v>37315</v>
      </c>
      <c r="I514" s="246"/>
      <c r="K514" s="534">
        <v>4.07E-2</v>
      </c>
      <c r="L514" s="534">
        <v>9.2999999999999992E-3</v>
      </c>
      <c r="M514" s="454" t="s">
        <v>226</v>
      </c>
      <c r="N514" s="524">
        <f t="shared" ref="N514:W514" si="314">N463*($K514+$L514)-N539</f>
        <v>0</v>
      </c>
      <c r="O514" s="524">
        <f t="shared" si="314"/>
        <v>0</v>
      </c>
      <c r="P514" s="524">
        <f t="shared" si="314"/>
        <v>13914.35</v>
      </c>
      <c r="Q514" s="524">
        <f t="shared" si="314"/>
        <v>13353.9</v>
      </c>
      <c r="R514" s="524">
        <f t="shared" si="314"/>
        <v>13683.71</v>
      </c>
      <c r="S514" s="524">
        <f t="shared" si="314"/>
        <v>13083.27</v>
      </c>
      <c r="T514" s="524">
        <f t="shared" si="314"/>
        <v>13799.03</v>
      </c>
      <c r="U514" s="524">
        <f t="shared" si="314"/>
        <v>13683.71</v>
      </c>
      <c r="V514" s="524">
        <f t="shared" si="314"/>
        <v>13521.3</v>
      </c>
      <c r="W514" s="524">
        <f t="shared" si="314"/>
        <v>13741.37</v>
      </c>
      <c r="X514" s="537">
        <f t="shared" si="312"/>
        <v>13270.2</v>
      </c>
      <c r="Y514" s="537">
        <f t="shared" si="312"/>
        <v>13646.231</v>
      </c>
      <c r="Z514" s="375"/>
      <c r="AC514" s="375"/>
    </row>
    <row r="515" spans="1:32" ht="12.75" customHeight="1" x14ac:dyDescent="0.2">
      <c r="A515" s="523" t="s">
        <v>163</v>
      </c>
      <c r="B515" s="523" t="s">
        <v>282</v>
      </c>
      <c r="C515" s="523" t="s">
        <v>229</v>
      </c>
      <c r="D515" s="523" t="s">
        <v>220</v>
      </c>
      <c r="E515" s="530">
        <v>27495</v>
      </c>
      <c r="F515" s="523" t="s">
        <v>436</v>
      </c>
      <c r="G515" s="533">
        <v>36951</v>
      </c>
      <c r="H515" s="525">
        <v>37711</v>
      </c>
      <c r="I515" s="246"/>
      <c r="K515" s="534">
        <v>2.3199999999999998E-2</v>
      </c>
      <c r="L515" s="534">
        <v>9.2999999999999992E-3</v>
      </c>
      <c r="M515" s="454" t="s">
        <v>226</v>
      </c>
      <c r="N515" s="537">
        <f t="shared" ref="N515:W515" si="315">N464*($K515+$L515)-N540</f>
        <v>0</v>
      </c>
      <c r="O515" s="537">
        <f t="shared" si="315"/>
        <v>0</v>
      </c>
      <c r="P515" s="537">
        <f t="shared" si="315"/>
        <v>42446.75</v>
      </c>
      <c r="Q515" s="537">
        <f t="shared" si="315"/>
        <v>40519.5</v>
      </c>
      <c r="R515" s="537">
        <f t="shared" si="315"/>
        <v>41293.550000000003</v>
      </c>
      <c r="S515" s="537">
        <f t="shared" si="315"/>
        <v>39166.35</v>
      </c>
      <c r="T515" s="537">
        <f t="shared" si="315"/>
        <v>41870.15</v>
      </c>
      <c r="U515" s="537">
        <f t="shared" si="315"/>
        <v>41293.550000000003</v>
      </c>
      <c r="V515" s="537">
        <f t="shared" si="315"/>
        <v>41356.5</v>
      </c>
      <c r="W515" s="537">
        <f t="shared" si="315"/>
        <v>41581.85</v>
      </c>
      <c r="X515" s="537">
        <f t="shared" si="312"/>
        <v>40101</v>
      </c>
      <c r="Y515" s="537">
        <f t="shared" si="312"/>
        <v>41106.154999999999</v>
      </c>
      <c r="Z515" s="375"/>
      <c r="AC515" s="375"/>
    </row>
    <row r="516" spans="1:32" ht="12.75" customHeight="1" x14ac:dyDescent="0.2">
      <c r="A516" s="584" t="s">
        <v>163</v>
      </c>
      <c r="B516" s="584" t="s">
        <v>282</v>
      </c>
      <c r="C516" s="584" t="s">
        <v>229</v>
      </c>
      <c r="D516" s="584" t="s">
        <v>220</v>
      </c>
      <c r="E516" s="585">
        <v>27579</v>
      </c>
      <c r="F516" s="584" t="s">
        <v>236</v>
      </c>
      <c r="G516" s="586">
        <v>37012</v>
      </c>
      <c r="H516" s="587">
        <v>37407</v>
      </c>
      <c r="I516" s="246"/>
      <c r="K516" s="591">
        <v>5.0700000000000002E-2</v>
      </c>
      <c r="L516" s="591">
        <v>9.2999999999999992E-3</v>
      </c>
      <c r="M516" s="590" t="s">
        <v>226</v>
      </c>
      <c r="N516" s="537"/>
      <c r="O516" s="537"/>
      <c r="P516" s="537"/>
      <c r="Q516" s="537"/>
      <c r="R516" s="588">
        <f t="shared" ref="R516:W516" si="316">R465*($K516+$L516)-R541</f>
        <v>33567.42</v>
      </c>
      <c r="S516" s="588">
        <f t="shared" si="316"/>
        <v>32166.54</v>
      </c>
      <c r="T516" s="588">
        <f t="shared" si="316"/>
        <v>33798.06</v>
      </c>
      <c r="U516" s="588">
        <f t="shared" si="316"/>
        <v>33567.42</v>
      </c>
      <c r="V516" s="588">
        <f t="shared" si="316"/>
        <v>33042.6</v>
      </c>
      <c r="W516" s="588">
        <f t="shared" si="316"/>
        <v>33682.74</v>
      </c>
      <c r="X516" s="588">
        <f t="shared" si="312"/>
        <v>32540.400000000001</v>
      </c>
      <c r="Y516" s="588">
        <f t="shared" si="312"/>
        <v>33492.462</v>
      </c>
      <c r="Z516" s="375">
        <f>SUM(N516:Y516)</f>
        <v>265857.64199999999</v>
      </c>
      <c r="AC516" s="375"/>
    </row>
    <row r="517" spans="1:32" ht="12.75" customHeight="1" x14ac:dyDescent="0.2">
      <c r="A517" s="523" t="s">
        <v>163</v>
      </c>
      <c r="B517" s="523" t="s">
        <v>282</v>
      </c>
      <c r="C517" s="523" t="s">
        <v>229</v>
      </c>
      <c r="D517" s="523" t="s">
        <v>220</v>
      </c>
      <c r="E517" s="530">
        <v>27529</v>
      </c>
      <c r="F517" s="523" t="s">
        <v>432</v>
      </c>
      <c r="G517" s="533">
        <v>36951</v>
      </c>
      <c r="H517" s="525">
        <v>36981</v>
      </c>
      <c r="I517" s="246"/>
      <c r="K517" s="534">
        <v>6.9999999999999999E-4</v>
      </c>
      <c r="L517" s="534">
        <v>9.2999999999999992E-3</v>
      </c>
      <c r="M517" s="454" t="s">
        <v>226</v>
      </c>
      <c r="N517" s="246"/>
      <c r="O517" s="246"/>
      <c r="P517" s="537">
        <f>P466*($K517+$L517)-P542</f>
        <v>15143.499999999996</v>
      </c>
      <c r="Q517" s="246"/>
      <c r="R517" s="246"/>
      <c r="S517" s="246"/>
      <c r="T517" s="246"/>
      <c r="U517" s="246"/>
      <c r="V517" s="246"/>
      <c r="W517" s="246"/>
      <c r="X517" s="464"/>
      <c r="Y517" s="464"/>
      <c r="Z517" s="610"/>
      <c r="AA517" s="298"/>
      <c r="AB517" s="298"/>
      <c r="AC517" s="375"/>
    </row>
    <row r="518" spans="1:32" ht="12.75" customHeight="1" x14ac:dyDescent="0.2">
      <c r="A518" s="523" t="s">
        <v>163</v>
      </c>
      <c r="B518" s="523" t="s">
        <v>282</v>
      </c>
      <c r="C518" s="523" t="s">
        <v>229</v>
      </c>
      <c r="D518" s="523" t="s">
        <v>220</v>
      </c>
      <c r="E518" s="530">
        <v>27600</v>
      </c>
      <c r="F518" s="523" t="s">
        <v>496</v>
      </c>
      <c r="G518" s="533">
        <v>37043</v>
      </c>
      <c r="H518" s="525">
        <v>37407</v>
      </c>
      <c r="I518" s="246"/>
      <c r="K518" s="534">
        <v>8.0699999999999994E-2</v>
      </c>
      <c r="L518" s="534">
        <v>9.2999999999999992E-3</v>
      </c>
      <c r="M518" s="454" t="s">
        <v>226</v>
      </c>
      <c r="N518" s="245"/>
      <c r="O518" s="245"/>
      <c r="P518" s="539"/>
      <c r="Q518" s="245"/>
      <c r="R518" s="245"/>
      <c r="S518" s="245"/>
      <c r="T518" s="609">
        <f t="shared" ref="T518:Y518" si="317">T467*($K518+$L518)-T543</f>
        <v>6549.7574999999997</v>
      </c>
      <c r="U518" s="609">
        <f t="shared" si="317"/>
        <v>6520.9274999999998</v>
      </c>
      <c r="V518" s="609">
        <f t="shared" si="317"/>
        <v>6380.3249999999998</v>
      </c>
      <c r="W518" s="609">
        <f t="shared" si="317"/>
        <v>6535.3424999999997</v>
      </c>
      <c r="X518" s="609">
        <f t="shared" si="317"/>
        <v>6317.55</v>
      </c>
      <c r="Y518" s="609">
        <f t="shared" si="317"/>
        <v>6511.5577499999999</v>
      </c>
      <c r="Z518" s="375"/>
      <c r="AC518" s="375"/>
    </row>
    <row r="519" spans="1:32" ht="12.75" customHeight="1" x14ac:dyDescent="0.15">
      <c r="I519" s="242">
        <f>SUM(I496:I512)</f>
        <v>0</v>
      </c>
      <c r="N519" s="242">
        <f t="shared" ref="N519:S519" si="318">SUM(N496:N517)</f>
        <v>494421.40959900006</v>
      </c>
      <c r="O519" s="242">
        <f t="shared" si="318"/>
        <v>446073.63981600001</v>
      </c>
      <c r="P519" s="242">
        <f t="shared" si="318"/>
        <v>511431.80356500001</v>
      </c>
      <c r="Q519" s="242">
        <f t="shared" si="318"/>
        <v>448712.39661</v>
      </c>
      <c r="R519" s="242">
        <f t="shared" si="318"/>
        <v>446364.02942899987</v>
      </c>
      <c r="S519" s="242">
        <f t="shared" si="318"/>
        <v>428510.76627299993</v>
      </c>
      <c r="T519" s="242">
        <f t="shared" ref="T519:Y519" si="319">SUM(T496:T518)</f>
        <v>472656.59631800005</v>
      </c>
      <c r="U519" s="242">
        <f t="shared" si="319"/>
        <v>468554.62857799989</v>
      </c>
      <c r="V519" s="242">
        <f t="shared" si="319"/>
        <v>340802.03369999997</v>
      </c>
      <c r="W519" s="242">
        <f t="shared" si="319"/>
        <v>394532.13299999997</v>
      </c>
      <c r="X519" s="242">
        <f t="shared" si="319"/>
        <v>703438.08</v>
      </c>
      <c r="Y519" s="242">
        <f t="shared" si="319"/>
        <v>830256.22904340003</v>
      </c>
      <c r="Z519" s="375">
        <f>SUM(N519:Y519)</f>
        <v>5985753.7459314</v>
      </c>
    </row>
    <row r="521" spans="1:32" ht="12.75" customHeight="1" x14ac:dyDescent="0.2">
      <c r="A521" s="239" t="s">
        <v>163</v>
      </c>
      <c r="B521" s="239" t="s">
        <v>282</v>
      </c>
      <c r="C521" s="239" t="s">
        <v>229</v>
      </c>
      <c r="D521" s="239" t="s">
        <v>223</v>
      </c>
      <c r="E521" s="266">
        <v>24194</v>
      </c>
      <c r="F521" s="266" t="s">
        <v>273</v>
      </c>
      <c r="H521" s="269">
        <v>37164</v>
      </c>
      <c r="I521" s="273">
        <v>25000</v>
      </c>
      <c r="K521" s="276">
        <v>0.1007</v>
      </c>
      <c r="L521" s="277">
        <v>9.2999999999999992E-3</v>
      </c>
      <c r="M521" s="241" t="s">
        <v>283</v>
      </c>
      <c r="N521" s="242">
        <f t="shared" ref="N521:Y521" si="320">N471*$L521</f>
        <v>6111.9599999999991</v>
      </c>
      <c r="O521" s="242">
        <f t="shared" si="320"/>
        <v>5624.6399999999994</v>
      </c>
      <c r="P521" s="242">
        <f t="shared" si="320"/>
        <v>3964.125</v>
      </c>
      <c r="Q521" s="242">
        <f t="shared" si="320"/>
        <v>4115.25</v>
      </c>
      <c r="R521" s="242">
        <f t="shared" si="320"/>
        <v>1816.29</v>
      </c>
      <c r="S521" s="242">
        <f t="shared" si="320"/>
        <v>1916.73</v>
      </c>
      <c r="T521" s="242">
        <f t="shared" si="320"/>
        <v>1700.9699999999998</v>
      </c>
      <c r="U521" s="242">
        <f t="shared" si="320"/>
        <v>1816.29</v>
      </c>
      <c r="V521" s="242">
        <f t="shared" si="320"/>
        <v>1478.6999999999998</v>
      </c>
      <c r="W521" s="242">
        <f t="shared" si="320"/>
        <v>0</v>
      </c>
      <c r="X521" s="242">
        <f t="shared" si="320"/>
        <v>0</v>
      </c>
      <c r="Y521" s="242">
        <f t="shared" si="320"/>
        <v>0</v>
      </c>
      <c r="AF521" s="375">
        <f t="shared" ref="AF521:AF531" si="321">SUM(N521:Y521)</f>
        <v>28544.955000000002</v>
      </c>
    </row>
    <row r="522" spans="1:32" ht="12.75" customHeight="1" x14ac:dyDescent="0.2">
      <c r="A522" s="239" t="s">
        <v>163</v>
      </c>
      <c r="B522" s="239" t="s">
        <v>282</v>
      </c>
      <c r="C522" s="239" t="s">
        <v>229</v>
      </c>
      <c r="D522" s="239" t="s">
        <v>223</v>
      </c>
      <c r="E522" s="266">
        <v>27291</v>
      </c>
      <c r="F522" s="266" t="s">
        <v>236</v>
      </c>
      <c r="G522" s="240">
        <v>36739</v>
      </c>
      <c r="H522" s="269">
        <v>37468</v>
      </c>
      <c r="I522" s="273">
        <v>20000</v>
      </c>
      <c r="K522" s="276">
        <v>1.0699999999999999E-2</v>
      </c>
      <c r="L522" s="277">
        <v>9.2999999999999992E-3</v>
      </c>
      <c r="M522" s="241" t="s">
        <v>226</v>
      </c>
      <c r="N522" s="242">
        <f t="shared" ref="N522:Y522" si="322">N472*$L522</f>
        <v>3055.9799999999996</v>
      </c>
      <c r="O522" s="242">
        <f t="shared" si="322"/>
        <v>2812.3199999999997</v>
      </c>
      <c r="P522" s="242">
        <f t="shared" si="322"/>
        <v>3171.2999999999997</v>
      </c>
      <c r="Q522" s="242">
        <f t="shared" si="322"/>
        <v>3292.2</v>
      </c>
      <c r="R522" s="242">
        <f t="shared" si="322"/>
        <v>3632.58</v>
      </c>
      <c r="S522" s="242">
        <f t="shared" si="322"/>
        <v>3833.46</v>
      </c>
      <c r="T522" s="242">
        <f t="shared" si="322"/>
        <v>3401.9399999999996</v>
      </c>
      <c r="U522" s="242">
        <f t="shared" si="322"/>
        <v>3632.58</v>
      </c>
      <c r="V522" s="242">
        <f t="shared" si="322"/>
        <v>2957.3999999999996</v>
      </c>
      <c r="W522" s="242">
        <f t="shared" si="322"/>
        <v>3517.2599999999998</v>
      </c>
      <c r="X522" s="242">
        <f t="shared" si="322"/>
        <v>3459.6</v>
      </c>
      <c r="Y522" s="242">
        <f t="shared" si="322"/>
        <v>3707.5379999999996</v>
      </c>
      <c r="AF522" s="375">
        <f t="shared" si="321"/>
        <v>40474.158000000003</v>
      </c>
    </row>
    <row r="523" spans="1:32" ht="12.75" customHeight="1" x14ac:dyDescent="0.2">
      <c r="A523" s="239" t="s">
        <v>163</v>
      </c>
      <c r="B523" s="239" t="s">
        <v>282</v>
      </c>
      <c r="C523" s="239" t="s">
        <v>229</v>
      </c>
      <c r="D523" s="239" t="s">
        <v>223</v>
      </c>
      <c r="E523" s="266" t="s">
        <v>274</v>
      </c>
      <c r="F523" s="266" t="s">
        <v>275</v>
      </c>
      <c r="H523" s="269">
        <v>37376</v>
      </c>
      <c r="I523" s="273">
        <v>35714</v>
      </c>
      <c r="K523" s="276">
        <v>9.5699999999999993E-2</v>
      </c>
      <c r="L523" s="277">
        <v>9.2999999999999992E-3</v>
      </c>
      <c r="M523" s="241" t="s">
        <v>226</v>
      </c>
      <c r="N523" s="242">
        <f t="shared" ref="N523:Y523" si="323">N473*$L523</f>
        <v>5457.063486</v>
      </c>
      <c r="O523" s="242">
        <f t="shared" si="323"/>
        <v>5021.9598240000005</v>
      </c>
      <c r="P523" s="242">
        <f t="shared" si="323"/>
        <v>5662.9904100000003</v>
      </c>
      <c r="Q523" s="242">
        <f t="shared" si="323"/>
        <v>5878.8815399999985</v>
      </c>
      <c r="R523" s="242">
        <f t="shared" si="323"/>
        <v>6486.6981059999998</v>
      </c>
      <c r="S523" s="242">
        <f t="shared" si="323"/>
        <v>6845.4095219999999</v>
      </c>
      <c r="T523" s="242">
        <f t="shared" si="323"/>
        <v>6074.8442579999992</v>
      </c>
      <c r="U523" s="242">
        <f t="shared" si="323"/>
        <v>6486.6981059999998</v>
      </c>
      <c r="V523" s="242">
        <f t="shared" si="323"/>
        <v>0</v>
      </c>
      <c r="W523" s="242">
        <f t="shared" si="323"/>
        <v>0</v>
      </c>
      <c r="X523" s="242">
        <f t="shared" si="323"/>
        <v>0</v>
      </c>
      <c r="Y523" s="242">
        <f t="shared" si="323"/>
        <v>6620.5506065999998</v>
      </c>
      <c r="AF523" s="375">
        <f t="shared" si="321"/>
        <v>54535.095858599998</v>
      </c>
    </row>
    <row r="524" spans="1:32" ht="12.75" customHeight="1" x14ac:dyDescent="0.2">
      <c r="A524" s="239" t="s">
        <v>163</v>
      </c>
      <c r="B524" s="239" t="s">
        <v>282</v>
      </c>
      <c r="C524" s="239" t="s">
        <v>229</v>
      </c>
      <c r="D524" s="239" t="s">
        <v>223</v>
      </c>
      <c r="E524" s="267">
        <v>24690</v>
      </c>
      <c r="F524" s="267" t="s">
        <v>277</v>
      </c>
      <c r="H524" s="268">
        <v>36981</v>
      </c>
      <c r="I524" s="275">
        <v>15000</v>
      </c>
      <c r="K524" s="265">
        <v>6.0699999999999997E-2</v>
      </c>
      <c r="L524" s="265">
        <v>9.2999999999999992E-3</v>
      </c>
      <c r="M524" s="241" t="s">
        <v>283</v>
      </c>
      <c r="N524" s="242">
        <f t="shared" ref="N524:Y524" si="324">N474*$L524</f>
        <v>2291.9849999999997</v>
      </c>
      <c r="O524" s="242">
        <f t="shared" si="324"/>
        <v>2109.2400000000002</v>
      </c>
      <c r="P524" s="242">
        <f t="shared" si="324"/>
        <v>2378.4749999999999</v>
      </c>
      <c r="Q524" s="242">
        <f t="shared" si="324"/>
        <v>0</v>
      </c>
      <c r="R524" s="242">
        <f t="shared" si="324"/>
        <v>0</v>
      </c>
      <c r="S524" s="242">
        <f t="shared" si="324"/>
        <v>0</v>
      </c>
      <c r="T524" s="242">
        <f t="shared" si="324"/>
        <v>0</v>
      </c>
      <c r="U524" s="242">
        <f t="shared" si="324"/>
        <v>0</v>
      </c>
      <c r="V524" s="242">
        <f t="shared" si="324"/>
        <v>0</v>
      </c>
      <c r="W524" s="242">
        <f t="shared" si="324"/>
        <v>0</v>
      </c>
      <c r="X524" s="242">
        <f t="shared" si="324"/>
        <v>0</v>
      </c>
      <c r="Y524" s="242">
        <f t="shared" si="324"/>
        <v>0</v>
      </c>
      <c r="AF524" s="375">
        <f t="shared" si="321"/>
        <v>6779.7000000000007</v>
      </c>
    </row>
    <row r="525" spans="1:32" ht="12.75" customHeight="1" x14ac:dyDescent="0.2">
      <c r="A525" s="239" t="s">
        <v>163</v>
      </c>
      <c r="B525" s="239" t="s">
        <v>282</v>
      </c>
      <c r="C525" s="239" t="s">
        <v>229</v>
      </c>
      <c r="D525" s="239" t="s">
        <v>223</v>
      </c>
      <c r="E525" s="267">
        <v>26740</v>
      </c>
      <c r="F525" s="267" t="s">
        <v>264</v>
      </c>
      <c r="H525" s="270">
        <v>39113</v>
      </c>
      <c r="I525" s="275">
        <v>8000</v>
      </c>
      <c r="K525" s="265">
        <v>4.07E-2</v>
      </c>
      <c r="L525" s="265">
        <v>9.2999999999999992E-3</v>
      </c>
      <c r="M525" s="241" t="s">
        <v>226</v>
      </c>
      <c r="N525" s="242">
        <f t="shared" ref="N525:Y525" si="325">N475*$L525</f>
        <v>1222.3919999999998</v>
      </c>
      <c r="O525" s="242">
        <f t="shared" si="325"/>
        <v>1124.9280000000001</v>
      </c>
      <c r="P525" s="242">
        <f t="shared" si="325"/>
        <v>1268.52</v>
      </c>
      <c r="Q525" s="242">
        <f t="shared" si="325"/>
        <v>1316.8799999999999</v>
      </c>
      <c r="R525" s="242">
        <f t="shared" si="325"/>
        <v>1453.0319999999999</v>
      </c>
      <c r="S525" s="242">
        <f t="shared" si="325"/>
        <v>1533.3839999999998</v>
      </c>
      <c r="T525" s="242">
        <f t="shared" si="325"/>
        <v>1360.7759999999998</v>
      </c>
      <c r="U525" s="242">
        <f t="shared" si="325"/>
        <v>1453.0319999999999</v>
      </c>
      <c r="V525" s="242">
        <f t="shared" si="325"/>
        <v>1182.9599999999998</v>
      </c>
      <c r="W525" s="242">
        <f t="shared" si="325"/>
        <v>1406.904</v>
      </c>
      <c r="X525" s="242">
        <f t="shared" si="325"/>
        <v>1383.84</v>
      </c>
      <c r="Y525" s="242">
        <f t="shared" si="325"/>
        <v>1483.0151999999998</v>
      </c>
      <c r="AF525" s="375">
        <f t="shared" si="321"/>
        <v>16189.663199999999</v>
      </c>
    </row>
    <row r="526" spans="1:32" ht="12.75" customHeight="1" x14ac:dyDescent="0.2">
      <c r="A526" s="239" t="s">
        <v>163</v>
      </c>
      <c r="B526" s="239" t="s">
        <v>282</v>
      </c>
      <c r="C526" s="239" t="s">
        <v>229</v>
      </c>
      <c r="D526" s="239" t="s">
        <v>223</v>
      </c>
      <c r="E526" s="267">
        <v>24754</v>
      </c>
      <c r="F526" s="267" t="s">
        <v>278</v>
      </c>
      <c r="H526" s="540">
        <v>38472</v>
      </c>
      <c r="I526" s="275">
        <v>1000</v>
      </c>
      <c r="K526" s="265">
        <v>9.0700000000000003E-2</v>
      </c>
      <c r="L526" s="265">
        <v>9.2999999999999992E-3</v>
      </c>
      <c r="M526" s="241" t="s">
        <v>232</v>
      </c>
      <c r="N526" s="242">
        <f t="shared" ref="N526:Y526" si="326">N476*$L526</f>
        <v>152.79899999999998</v>
      </c>
      <c r="O526" s="242">
        <f t="shared" si="326"/>
        <v>140.61600000000001</v>
      </c>
      <c r="P526" s="242">
        <f t="shared" si="326"/>
        <v>158.565</v>
      </c>
      <c r="Q526" s="242">
        <f t="shared" si="326"/>
        <v>164.60999999999999</v>
      </c>
      <c r="R526" s="242">
        <f t="shared" si="326"/>
        <v>0</v>
      </c>
      <c r="S526" s="242">
        <f t="shared" si="326"/>
        <v>0</v>
      </c>
      <c r="T526" s="242">
        <f t="shared" si="326"/>
        <v>0</v>
      </c>
      <c r="U526" s="242">
        <f t="shared" si="326"/>
        <v>0</v>
      </c>
      <c r="V526" s="242">
        <f t="shared" si="326"/>
        <v>0</v>
      </c>
      <c r="W526" s="242">
        <f t="shared" si="326"/>
        <v>0</v>
      </c>
      <c r="X526" s="242">
        <f t="shared" si="326"/>
        <v>0</v>
      </c>
      <c r="Y526" s="242">
        <f t="shared" si="326"/>
        <v>0</v>
      </c>
      <c r="AF526" s="375"/>
    </row>
    <row r="527" spans="1:32" ht="12.75" customHeight="1" x14ac:dyDescent="0.2">
      <c r="A527" s="239" t="s">
        <v>163</v>
      </c>
      <c r="B527" s="239" t="s">
        <v>282</v>
      </c>
      <c r="C527" s="239" t="s">
        <v>229</v>
      </c>
      <c r="D527" s="239" t="s">
        <v>223</v>
      </c>
      <c r="E527" s="267">
        <v>25031</v>
      </c>
      <c r="F527" s="267" t="s">
        <v>279</v>
      </c>
      <c r="H527" s="270">
        <v>39051</v>
      </c>
      <c r="I527" s="275">
        <v>0</v>
      </c>
      <c r="K527" s="239"/>
      <c r="N527" s="242">
        <f t="shared" ref="N527:Y527" si="327">N477*$L527</f>
        <v>0</v>
      </c>
      <c r="O527" s="242">
        <f t="shared" si="327"/>
        <v>0</v>
      </c>
      <c r="P527" s="242">
        <f t="shared" si="327"/>
        <v>0</v>
      </c>
      <c r="Q527" s="242">
        <f t="shared" si="327"/>
        <v>0</v>
      </c>
      <c r="R527" s="242">
        <f t="shared" si="327"/>
        <v>0</v>
      </c>
      <c r="S527" s="242">
        <f t="shared" si="327"/>
        <v>0</v>
      </c>
      <c r="T527" s="242">
        <f t="shared" si="327"/>
        <v>0</v>
      </c>
      <c r="U527" s="242">
        <f t="shared" si="327"/>
        <v>0</v>
      </c>
      <c r="V527" s="242">
        <f t="shared" si="327"/>
        <v>0</v>
      </c>
      <c r="W527" s="242">
        <f t="shared" si="327"/>
        <v>0</v>
      </c>
      <c r="X527" s="242">
        <f t="shared" si="327"/>
        <v>0</v>
      </c>
      <c r="Y527" s="242">
        <f t="shared" si="327"/>
        <v>0</v>
      </c>
      <c r="AF527" s="375">
        <f t="shared" si="321"/>
        <v>0</v>
      </c>
    </row>
    <row r="528" spans="1:32" ht="12.75" customHeight="1" x14ac:dyDescent="0.2">
      <c r="A528" s="239" t="s">
        <v>163</v>
      </c>
      <c r="B528" s="239" t="s">
        <v>282</v>
      </c>
      <c r="C528" s="239" t="s">
        <v>229</v>
      </c>
      <c r="D528" s="239" t="s">
        <v>223</v>
      </c>
      <c r="E528" s="267" t="s">
        <v>280</v>
      </c>
      <c r="F528" s="267" t="s">
        <v>236</v>
      </c>
      <c r="H528" s="268">
        <v>36950</v>
      </c>
      <c r="I528" s="275">
        <v>10000</v>
      </c>
      <c r="K528" s="265">
        <v>1.0699999999999999E-2</v>
      </c>
      <c r="L528" s="265">
        <v>9.2999999999999992E-3</v>
      </c>
      <c r="M528" s="241" t="s">
        <v>226</v>
      </c>
      <c r="N528" s="242">
        <f t="shared" ref="N528:Y528" si="328">N478*$L528</f>
        <v>1527.9899999999998</v>
      </c>
      <c r="O528" s="242">
        <f t="shared" si="328"/>
        <v>1406.1599999999999</v>
      </c>
      <c r="P528" s="242">
        <f t="shared" si="328"/>
        <v>0</v>
      </c>
      <c r="Q528" s="242">
        <f t="shared" si="328"/>
        <v>0</v>
      </c>
      <c r="R528" s="242">
        <f t="shared" si="328"/>
        <v>0</v>
      </c>
      <c r="S528" s="242">
        <f t="shared" si="328"/>
        <v>0</v>
      </c>
      <c r="T528" s="242">
        <f t="shared" si="328"/>
        <v>0</v>
      </c>
      <c r="U528" s="242">
        <f t="shared" si="328"/>
        <v>0</v>
      </c>
      <c r="V528" s="242">
        <f t="shared" si="328"/>
        <v>0</v>
      </c>
      <c r="W528" s="242">
        <f t="shared" si="328"/>
        <v>0</v>
      </c>
      <c r="X528" s="242">
        <f t="shared" si="328"/>
        <v>0</v>
      </c>
      <c r="Y528" s="242">
        <f t="shared" si="328"/>
        <v>0</v>
      </c>
      <c r="AF528" s="375">
        <f t="shared" si="321"/>
        <v>2934.1499999999996</v>
      </c>
    </row>
    <row r="529" spans="1:82" ht="12.75" customHeight="1" x14ac:dyDescent="0.2">
      <c r="A529" s="239" t="s">
        <v>163</v>
      </c>
      <c r="B529" s="239" t="s">
        <v>282</v>
      </c>
      <c r="C529" s="239" t="s">
        <v>229</v>
      </c>
      <c r="D529" s="239" t="s">
        <v>223</v>
      </c>
      <c r="E529" s="267">
        <v>27161</v>
      </c>
      <c r="F529" s="267" t="s">
        <v>276</v>
      </c>
      <c r="H529" s="536">
        <v>37711</v>
      </c>
      <c r="I529" s="274">
        <v>400000</v>
      </c>
      <c r="K529" s="265">
        <v>7.4999999999999997E-3</v>
      </c>
      <c r="L529" s="265">
        <v>9.2999999999999992E-3</v>
      </c>
      <c r="M529" s="241" t="s">
        <v>232</v>
      </c>
      <c r="N529" s="242">
        <f t="shared" ref="N529:Y529" si="329">N479*$L529</f>
        <v>40362</v>
      </c>
      <c r="O529" s="242">
        <f t="shared" si="329"/>
        <v>36455.999999999993</v>
      </c>
      <c r="P529" s="242">
        <f t="shared" si="329"/>
        <v>40362</v>
      </c>
      <c r="Q529" s="242">
        <f t="shared" si="329"/>
        <v>39060</v>
      </c>
      <c r="R529" s="242">
        <f t="shared" si="329"/>
        <v>40362</v>
      </c>
      <c r="S529" s="242">
        <f t="shared" si="329"/>
        <v>39060</v>
      </c>
      <c r="T529" s="242">
        <f t="shared" si="329"/>
        <v>40362</v>
      </c>
      <c r="U529" s="242">
        <f t="shared" si="329"/>
        <v>40362</v>
      </c>
      <c r="V529" s="242">
        <f t="shared" si="329"/>
        <v>39060</v>
      </c>
      <c r="W529" s="242">
        <f t="shared" si="329"/>
        <v>40362</v>
      </c>
      <c r="X529" s="242">
        <f t="shared" si="329"/>
        <v>0</v>
      </c>
      <c r="Y529" s="242">
        <f t="shared" si="329"/>
        <v>0</v>
      </c>
      <c r="AF529" s="375"/>
    </row>
    <row r="530" spans="1:82" ht="12.75" customHeight="1" x14ac:dyDescent="0.2">
      <c r="A530" s="239" t="s">
        <v>163</v>
      </c>
      <c r="B530" s="239" t="s">
        <v>282</v>
      </c>
      <c r="C530" s="239" t="s">
        <v>229</v>
      </c>
      <c r="D530" s="239" t="s">
        <v>223</v>
      </c>
      <c r="E530" s="267" t="s">
        <v>281</v>
      </c>
      <c r="F530" s="267" t="s">
        <v>230</v>
      </c>
      <c r="H530" s="525">
        <v>37925</v>
      </c>
      <c r="I530" s="274">
        <v>40000</v>
      </c>
      <c r="K530" s="265">
        <v>5.0700000000000002E-2</v>
      </c>
      <c r="L530" s="265">
        <v>9.2999999999999992E-3</v>
      </c>
      <c r="M530" s="241" t="s">
        <v>226</v>
      </c>
      <c r="N530" s="242">
        <f t="shared" ref="N530:Y530" si="330">N480*$L530</f>
        <v>6111.9599999999991</v>
      </c>
      <c r="O530" s="242">
        <f t="shared" si="330"/>
        <v>5624.6399999999994</v>
      </c>
      <c r="P530" s="242">
        <f t="shared" si="330"/>
        <v>6342.5999999999995</v>
      </c>
      <c r="Q530" s="242">
        <f t="shared" si="330"/>
        <v>6584.4</v>
      </c>
      <c r="R530" s="242">
        <f t="shared" si="330"/>
        <v>7265.16</v>
      </c>
      <c r="S530" s="242">
        <f t="shared" si="330"/>
        <v>7666.92</v>
      </c>
      <c r="T530" s="242">
        <f t="shared" si="330"/>
        <v>6803.8799999999992</v>
      </c>
      <c r="U530" s="242">
        <f t="shared" si="330"/>
        <v>7265.16</v>
      </c>
      <c r="V530" s="242">
        <f t="shared" si="330"/>
        <v>5914.7999999999993</v>
      </c>
      <c r="W530" s="242">
        <f t="shared" si="330"/>
        <v>7034.5199999999995</v>
      </c>
      <c r="X530" s="242">
        <f t="shared" si="330"/>
        <v>0</v>
      </c>
      <c r="Y530" s="242">
        <f t="shared" si="330"/>
        <v>0</v>
      </c>
      <c r="AF530" s="375">
        <f t="shared" si="321"/>
        <v>66614.040000000008</v>
      </c>
    </row>
    <row r="531" spans="1:82" ht="12.75" customHeight="1" x14ac:dyDescent="0.2">
      <c r="A531" s="239" t="s">
        <v>163</v>
      </c>
      <c r="B531" s="239" t="s">
        <v>282</v>
      </c>
      <c r="C531" s="239" t="s">
        <v>229</v>
      </c>
      <c r="D531" s="239" t="s">
        <v>223</v>
      </c>
      <c r="E531" s="267">
        <v>27104</v>
      </c>
      <c r="F531" s="267" t="s">
        <v>380</v>
      </c>
      <c r="H531" s="268">
        <v>37652</v>
      </c>
      <c r="I531" s="274">
        <v>1613</v>
      </c>
      <c r="K531" s="265">
        <v>4.07E-2</v>
      </c>
      <c r="L531" s="265">
        <v>3.3E-3</v>
      </c>
      <c r="M531" s="241" t="s">
        <v>226</v>
      </c>
      <c r="N531" s="242">
        <f t="shared" ref="N531:Y531" si="331">N481*$L531</f>
        <v>87.455247</v>
      </c>
      <c r="O531" s="242">
        <f t="shared" si="331"/>
        <v>80.482247999999998</v>
      </c>
      <c r="P531" s="242">
        <f t="shared" si="331"/>
        <v>90.755445000000009</v>
      </c>
      <c r="Q531" s="242">
        <f t="shared" si="331"/>
        <v>94.215329999999994</v>
      </c>
      <c r="R531" s="242">
        <f t="shared" si="331"/>
        <v>103.956237</v>
      </c>
      <c r="S531" s="242">
        <f t="shared" si="331"/>
        <v>109.70496900000001</v>
      </c>
      <c r="T531" s="242">
        <f t="shared" si="331"/>
        <v>846.92942400000004</v>
      </c>
      <c r="U531" s="242">
        <f t="shared" si="331"/>
        <v>675.68331599999999</v>
      </c>
      <c r="V531" s="242">
        <f t="shared" si="331"/>
        <v>67.686300000000003</v>
      </c>
      <c r="W531" s="242">
        <f t="shared" si="331"/>
        <v>0</v>
      </c>
      <c r="X531" s="242">
        <f t="shared" si="331"/>
        <v>0</v>
      </c>
      <c r="Y531" s="242">
        <f t="shared" si="331"/>
        <v>0</v>
      </c>
      <c r="AF531" s="375">
        <f t="shared" si="321"/>
        <v>2156.868516</v>
      </c>
    </row>
    <row r="532" spans="1:82" ht="12.75" customHeight="1" x14ac:dyDescent="0.2">
      <c r="A532" s="450" t="s">
        <v>163</v>
      </c>
      <c r="B532" s="450" t="s">
        <v>282</v>
      </c>
      <c r="C532" s="450" t="s">
        <v>229</v>
      </c>
      <c r="D532" s="450" t="s">
        <v>223</v>
      </c>
      <c r="E532" s="455">
        <v>24194</v>
      </c>
      <c r="F532" s="455" t="s">
        <v>375</v>
      </c>
      <c r="G532" s="450" t="s">
        <v>374</v>
      </c>
      <c r="H532" s="457"/>
      <c r="I532" s="458">
        <v>25000</v>
      </c>
      <c r="K532" s="461">
        <v>7.0699999999999999E-2</v>
      </c>
      <c r="L532" s="462">
        <v>9.2999999999999992E-3</v>
      </c>
      <c r="M532" s="454" t="s">
        <v>226</v>
      </c>
      <c r="N532" s="452">
        <f t="shared" ref="N532:Q540" si="332">N482*$L532</f>
        <v>0</v>
      </c>
      <c r="O532" s="452">
        <f t="shared" si="332"/>
        <v>0</v>
      </c>
      <c r="P532" s="452">
        <f t="shared" si="332"/>
        <v>0</v>
      </c>
      <c r="Q532" s="452">
        <f t="shared" si="332"/>
        <v>0</v>
      </c>
      <c r="W532" s="452">
        <f t="shared" ref="W532:Y541" si="333">W482*$L532</f>
        <v>6155.2049999999999</v>
      </c>
      <c r="X532" s="452">
        <f t="shared" si="333"/>
        <v>13838.4</v>
      </c>
      <c r="Y532" s="452">
        <f t="shared" si="333"/>
        <v>14830.151999999998</v>
      </c>
      <c r="AC532" s="375">
        <f t="shared" ref="AC532:AC537" si="334">SUM(N532:Y532)</f>
        <v>34823.756999999998</v>
      </c>
      <c r="AD532" s="375">
        <f>AC532</f>
        <v>34823.756999999998</v>
      </c>
      <c r="AF532" s="375"/>
    </row>
    <row r="533" spans="1:82" ht="12.75" customHeight="1" x14ac:dyDescent="0.2">
      <c r="A533" s="450" t="s">
        <v>163</v>
      </c>
      <c r="B533" s="450" t="s">
        <v>282</v>
      </c>
      <c r="C533" s="450" t="s">
        <v>229</v>
      </c>
      <c r="D533" s="450" t="s">
        <v>223</v>
      </c>
      <c r="E533" s="455">
        <v>24690</v>
      </c>
      <c r="F533" s="455" t="s">
        <v>277</v>
      </c>
      <c r="G533" s="450" t="s">
        <v>374</v>
      </c>
      <c r="H533" s="457"/>
      <c r="I533" s="458">
        <v>0</v>
      </c>
      <c r="K533" s="463">
        <v>2.5700000000000001E-2</v>
      </c>
      <c r="L533" s="463">
        <v>9.2999999999999992E-3</v>
      </c>
      <c r="M533" s="454" t="s">
        <v>226</v>
      </c>
      <c r="N533" s="452">
        <f t="shared" si="332"/>
        <v>0</v>
      </c>
      <c r="O533" s="452">
        <f t="shared" si="332"/>
        <v>0</v>
      </c>
      <c r="P533" s="452">
        <f t="shared" si="332"/>
        <v>0</v>
      </c>
      <c r="Q533" s="452">
        <f t="shared" si="332"/>
        <v>0</v>
      </c>
      <c r="R533" s="452">
        <f t="shared" ref="R533:V541" si="335">R483*$L533</f>
        <v>0</v>
      </c>
      <c r="S533" s="452">
        <f t="shared" si="335"/>
        <v>0</v>
      </c>
      <c r="T533" s="452">
        <f t="shared" si="335"/>
        <v>0</v>
      </c>
      <c r="U533" s="452">
        <f t="shared" si="335"/>
        <v>0</v>
      </c>
      <c r="V533" s="452">
        <f t="shared" si="335"/>
        <v>0</v>
      </c>
      <c r="W533" s="452">
        <f t="shared" si="333"/>
        <v>0</v>
      </c>
      <c r="X533" s="452">
        <f t="shared" si="333"/>
        <v>0</v>
      </c>
      <c r="Y533" s="452">
        <f t="shared" si="333"/>
        <v>0</v>
      </c>
      <c r="AC533" s="375">
        <f t="shared" si="334"/>
        <v>0</v>
      </c>
      <c r="AD533" s="375">
        <f t="shared" ref="AD533:AD545" si="336">AC533</f>
        <v>0</v>
      </c>
      <c r="AF533" s="375"/>
    </row>
    <row r="534" spans="1:82" ht="12.75" customHeight="1" x14ac:dyDescent="0.2">
      <c r="A534" s="450" t="s">
        <v>163</v>
      </c>
      <c r="B534" s="450" t="s">
        <v>282</v>
      </c>
      <c r="C534" s="450" t="s">
        <v>229</v>
      </c>
      <c r="D534" s="450" t="s">
        <v>223</v>
      </c>
      <c r="E534" s="455">
        <v>24754</v>
      </c>
      <c r="F534" s="455" t="s">
        <v>278</v>
      </c>
      <c r="G534" s="523" t="s">
        <v>381</v>
      </c>
      <c r="H534" s="540">
        <v>38472</v>
      </c>
      <c r="I534" s="458">
        <v>1000</v>
      </c>
      <c r="K534" s="463">
        <v>9.0700000000000003E-2</v>
      </c>
      <c r="L534" s="463">
        <v>9.2999999999999992E-3</v>
      </c>
      <c r="M534" s="454" t="s">
        <v>226</v>
      </c>
      <c r="N534" s="242">
        <f t="shared" si="332"/>
        <v>0</v>
      </c>
      <c r="O534" s="242">
        <f t="shared" si="332"/>
        <v>0</v>
      </c>
      <c r="P534" s="242">
        <f t="shared" si="332"/>
        <v>0</v>
      </c>
      <c r="Q534" s="242">
        <f t="shared" si="332"/>
        <v>0</v>
      </c>
      <c r="R534" s="452">
        <f t="shared" si="335"/>
        <v>181.62899999999999</v>
      </c>
      <c r="S534" s="452">
        <f t="shared" si="335"/>
        <v>191.67299999999997</v>
      </c>
      <c r="T534" s="452">
        <f t="shared" si="335"/>
        <v>170.09699999999998</v>
      </c>
      <c r="U534" s="452">
        <f t="shared" si="335"/>
        <v>181.62899999999999</v>
      </c>
      <c r="V534" s="452">
        <f t="shared" si="335"/>
        <v>147.86999999999998</v>
      </c>
      <c r="W534" s="452">
        <f t="shared" si="333"/>
        <v>175.863</v>
      </c>
      <c r="X534" s="452">
        <f t="shared" si="333"/>
        <v>172.98</v>
      </c>
      <c r="Y534" s="452">
        <f t="shared" si="333"/>
        <v>185.37689999999998</v>
      </c>
      <c r="AC534" s="375">
        <f t="shared" si="334"/>
        <v>1407.1179</v>
      </c>
      <c r="AD534" s="375">
        <f t="shared" si="336"/>
        <v>1407.1179</v>
      </c>
      <c r="AF534" s="375"/>
    </row>
    <row r="535" spans="1:82" ht="12.75" customHeight="1" x14ac:dyDescent="0.2">
      <c r="A535" s="450" t="s">
        <v>163</v>
      </c>
      <c r="B535" s="450" t="s">
        <v>282</v>
      </c>
      <c r="C535" s="450" t="s">
        <v>229</v>
      </c>
      <c r="D535" s="450" t="s">
        <v>223</v>
      </c>
      <c r="E535" s="530">
        <v>27349</v>
      </c>
      <c r="F535" s="523" t="s">
        <v>236</v>
      </c>
      <c r="G535" s="533">
        <v>36892</v>
      </c>
      <c r="H535" s="525">
        <v>38717</v>
      </c>
      <c r="I535" s="537">
        <v>20000</v>
      </c>
      <c r="K535" s="534">
        <v>4.07E-2</v>
      </c>
      <c r="L535" s="534">
        <v>9.2999999999999992E-3</v>
      </c>
      <c r="M535" s="454" t="s">
        <v>226</v>
      </c>
      <c r="N535" s="452">
        <f t="shared" si="332"/>
        <v>3055.9799999999996</v>
      </c>
      <c r="O535" s="452">
        <f t="shared" si="332"/>
        <v>2812.3199999999997</v>
      </c>
      <c r="P535" s="452">
        <f t="shared" si="332"/>
        <v>3171.2999999999997</v>
      </c>
      <c r="Q535" s="452">
        <f t="shared" si="332"/>
        <v>3292.2</v>
      </c>
      <c r="R535" s="452">
        <f t="shared" si="335"/>
        <v>3632.58</v>
      </c>
      <c r="S535" s="452">
        <f t="shared" si="335"/>
        <v>3833.46</v>
      </c>
      <c r="T535" s="452">
        <f t="shared" si="335"/>
        <v>3401.9399999999996</v>
      </c>
      <c r="U535" s="452">
        <f t="shared" si="335"/>
        <v>3632.58</v>
      </c>
      <c r="V535" s="452">
        <f t="shared" si="335"/>
        <v>2957.3999999999996</v>
      </c>
      <c r="W535" s="452">
        <f t="shared" si="333"/>
        <v>3517.2599999999998</v>
      </c>
      <c r="X535" s="452">
        <f t="shared" si="333"/>
        <v>3459.6</v>
      </c>
      <c r="Y535" s="452">
        <f t="shared" si="333"/>
        <v>3707.5379999999996</v>
      </c>
      <c r="AC535" s="375">
        <f t="shared" si="334"/>
        <v>40474.158000000003</v>
      </c>
      <c r="AD535" s="375">
        <f t="shared" si="336"/>
        <v>40474.158000000003</v>
      </c>
      <c r="AF535" s="375"/>
    </row>
    <row r="536" spans="1:82" ht="12.75" customHeight="1" x14ac:dyDescent="0.2">
      <c r="A536" s="450" t="s">
        <v>163</v>
      </c>
      <c r="B536" s="450" t="s">
        <v>282</v>
      </c>
      <c r="C536" s="450" t="s">
        <v>229</v>
      </c>
      <c r="D536" s="450" t="s">
        <v>223</v>
      </c>
      <c r="E536" s="456">
        <v>27161</v>
      </c>
      <c r="F536" s="450" t="s">
        <v>276</v>
      </c>
      <c r="G536" s="523" t="s">
        <v>381</v>
      </c>
      <c r="H536" s="536">
        <v>37711</v>
      </c>
      <c r="I536" s="452">
        <v>400000</v>
      </c>
      <c r="K536" s="463">
        <v>7.4999999999999997E-3</v>
      </c>
      <c r="L536" s="463">
        <v>9.2999999999999992E-3</v>
      </c>
      <c r="M536" s="454" t="s">
        <v>232</v>
      </c>
      <c r="N536" s="242">
        <f t="shared" si="332"/>
        <v>0</v>
      </c>
      <c r="O536" s="242">
        <f t="shared" si="332"/>
        <v>0</v>
      </c>
      <c r="P536" s="242">
        <f t="shared" si="332"/>
        <v>0</v>
      </c>
      <c r="Q536" s="242">
        <f t="shared" si="332"/>
        <v>0</v>
      </c>
      <c r="R536" s="452">
        <f t="shared" si="335"/>
        <v>0</v>
      </c>
      <c r="S536" s="452">
        <f t="shared" si="335"/>
        <v>0</v>
      </c>
      <c r="T536" s="452">
        <f t="shared" si="335"/>
        <v>0</v>
      </c>
      <c r="U536" s="452">
        <f t="shared" si="335"/>
        <v>0</v>
      </c>
      <c r="V536" s="452">
        <f t="shared" si="335"/>
        <v>0</v>
      </c>
      <c r="W536" s="452">
        <f t="shared" si="333"/>
        <v>0</v>
      </c>
      <c r="X536" s="464">
        <f t="shared" si="333"/>
        <v>39060</v>
      </c>
      <c r="Y536" s="464">
        <f t="shared" si="333"/>
        <v>40362</v>
      </c>
      <c r="AC536" s="375">
        <f>SUM(N536:Y536)</f>
        <v>79422</v>
      </c>
      <c r="AD536" s="375">
        <f t="shared" si="336"/>
        <v>79422</v>
      </c>
      <c r="AF536" s="375"/>
    </row>
    <row r="537" spans="1:82" ht="12.75" customHeight="1" x14ac:dyDescent="0.2">
      <c r="A537" s="450" t="s">
        <v>163</v>
      </c>
      <c r="B537" s="450" t="s">
        <v>282</v>
      </c>
      <c r="C537" s="450" t="s">
        <v>229</v>
      </c>
      <c r="D537" s="450" t="s">
        <v>223</v>
      </c>
      <c r="E537" s="456">
        <v>26490</v>
      </c>
      <c r="F537" s="450" t="s">
        <v>230</v>
      </c>
      <c r="G537" s="523" t="s">
        <v>381</v>
      </c>
      <c r="H537" s="525">
        <v>37925</v>
      </c>
      <c r="I537" s="464">
        <v>40000</v>
      </c>
      <c r="K537" s="463">
        <v>6.0699999999999997E-2</v>
      </c>
      <c r="L537" s="463">
        <v>9.2999999999999992E-3</v>
      </c>
      <c r="M537" s="454" t="s">
        <v>226</v>
      </c>
      <c r="N537" s="242">
        <f t="shared" si="332"/>
        <v>0</v>
      </c>
      <c r="O537" s="242">
        <f t="shared" si="332"/>
        <v>0</v>
      </c>
      <c r="P537" s="242">
        <f t="shared" si="332"/>
        <v>0</v>
      </c>
      <c r="Q537" s="242">
        <f t="shared" si="332"/>
        <v>0</v>
      </c>
      <c r="R537" s="452">
        <f t="shared" si="335"/>
        <v>0</v>
      </c>
      <c r="S537" s="452">
        <f t="shared" si="335"/>
        <v>0</v>
      </c>
      <c r="T537" s="452">
        <f t="shared" si="335"/>
        <v>0</v>
      </c>
      <c r="U537" s="452">
        <f t="shared" si="335"/>
        <v>0</v>
      </c>
      <c r="V537" s="452">
        <f t="shared" si="335"/>
        <v>0</v>
      </c>
      <c r="W537" s="452">
        <f t="shared" si="333"/>
        <v>0</v>
      </c>
      <c r="X537" s="464">
        <f t="shared" si="333"/>
        <v>6919.2</v>
      </c>
      <c r="Y537" s="464">
        <f t="shared" si="333"/>
        <v>7415.0759999999991</v>
      </c>
      <c r="AC537" s="375">
        <f t="shared" si="334"/>
        <v>14334.275999999998</v>
      </c>
      <c r="AD537" s="375">
        <f t="shared" si="336"/>
        <v>14334.275999999998</v>
      </c>
      <c r="AF537" s="375"/>
    </row>
    <row r="538" spans="1:82" ht="12.75" customHeight="1" x14ac:dyDescent="0.2">
      <c r="A538" s="523" t="s">
        <v>163</v>
      </c>
      <c r="B538" s="523" t="s">
        <v>282</v>
      </c>
      <c r="C538" s="523" t="s">
        <v>229</v>
      </c>
      <c r="D538" s="523" t="s">
        <v>223</v>
      </c>
      <c r="E538" s="530">
        <v>27420</v>
      </c>
      <c r="F538" s="523" t="s">
        <v>435</v>
      </c>
      <c r="G538" s="533">
        <v>36861</v>
      </c>
      <c r="H538" s="525">
        <v>37225</v>
      </c>
      <c r="I538" s="537">
        <v>1932</v>
      </c>
      <c r="K538" s="534">
        <v>5.57E-2</v>
      </c>
      <c r="L538" s="534">
        <v>9.2999999999999992E-3</v>
      </c>
      <c r="M538" s="454" t="s">
        <v>226</v>
      </c>
      <c r="N538" s="524">
        <f t="shared" si="332"/>
        <v>295.20766800000001</v>
      </c>
      <c r="O538" s="524">
        <f t="shared" si="332"/>
        <v>271.67011199999996</v>
      </c>
      <c r="P538" s="524">
        <f t="shared" si="332"/>
        <v>306.34758000000005</v>
      </c>
      <c r="Q538" s="524">
        <f t="shared" si="332"/>
        <v>318.02652</v>
      </c>
      <c r="R538" s="524">
        <f t="shared" si="335"/>
        <v>350.90722799999998</v>
      </c>
      <c r="S538" s="524">
        <f t="shared" si="335"/>
        <v>370.31223599999998</v>
      </c>
      <c r="T538" s="524">
        <f t="shared" si="335"/>
        <v>425.24249999999995</v>
      </c>
      <c r="U538" s="524">
        <f t="shared" si="335"/>
        <v>454.07249999999999</v>
      </c>
      <c r="V538" s="524">
        <f t="shared" si="335"/>
        <v>369.67499999999995</v>
      </c>
      <c r="W538" s="524">
        <f t="shared" si="333"/>
        <v>439.65749999999997</v>
      </c>
      <c r="X538" s="537">
        <f t="shared" si="333"/>
        <v>432.45</v>
      </c>
      <c r="Y538" s="537">
        <f t="shared" si="333"/>
        <v>0</v>
      </c>
      <c r="AC538" s="375"/>
      <c r="AD538" s="375"/>
      <c r="AF538" s="375"/>
    </row>
    <row r="539" spans="1:82" ht="12.75" customHeight="1" x14ac:dyDescent="0.2">
      <c r="A539" s="523" t="s">
        <v>163</v>
      </c>
      <c r="B539" s="523" t="s">
        <v>282</v>
      </c>
      <c r="C539" s="523" t="s">
        <v>229</v>
      </c>
      <c r="D539" s="523" t="s">
        <v>223</v>
      </c>
      <c r="E539" s="530">
        <v>27377</v>
      </c>
      <c r="F539" s="523" t="s">
        <v>230</v>
      </c>
      <c r="G539" s="533">
        <v>36951</v>
      </c>
      <c r="H539" s="525">
        <v>37315</v>
      </c>
      <c r="I539" s="537">
        <v>10000</v>
      </c>
      <c r="K539" s="534">
        <v>4.07E-2</v>
      </c>
      <c r="L539" s="534">
        <v>9.2999999999999992E-3</v>
      </c>
      <c r="M539" s="454" t="s">
        <v>226</v>
      </c>
      <c r="N539" s="524">
        <f t="shared" si="332"/>
        <v>0</v>
      </c>
      <c r="O539" s="524">
        <f t="shared" si="332"/>
        <v>0</v>
      </c>
      <c r="P539" s="524">
        <f t="shared" si="332"/>
        <v>1585.6499999999999</v>
      </c>
      <c r="Q539" s="524">
        <f t="shared" si="332"/>
        <v>1646.1</v>
      </c>
      <c r="R539" s="524">
        <f t="shared" si="335"/>
        <v>1816.29</v>
      </c>
      <c r="S539" s="524">
        <f t="shared" si="335"/>
        <v>1916.73</v>
      </c>
      <c r="T539" s="524">
        <f t="shared" si="335"/>
        <v>1700.9699999999998</v>
      </c>
      <c r="U539" s="524">
        <f t="shared" si="335"/>
        <v>1816.29</v>
      </c>
      <c r="V539" s="524">
        <f t="shared" si="335"/>
        <v>1478.6999999999998</v>
      </c>
      <c r="W539" s="524">
        <f t="shared" si="333"/>
        <v>1758.6299999999999</v>
      </c>
      <c r="X539" s="537">
        <f t="shared" si="333"/>
        <v>1729.8</v>
      </c>
      <c r="Y539" s="537">
        <f t="shared" si="333"/>
        <v>1853.7689999999998</v>
      </c>
      <c r="AC539" s="375"/>
      <c r="AD539" s="375"/>
      <c r="AF539" s="375"/>
    </row>
    <row r="540" spans="1:82" ht="12.75" customHeight="1" x14ac:dyDescent="0.2">
      <c r="A540" s="523" t="s">
        <v>163</v>
      </c>
      <c r="B540" s="523" t="s">
        <v>282</v>
      </c>
      <c r="C540" s="523" t="s">
        <v>229</v>
      </c>
      <c r="D540" s="523" t="s">
        <v>223</v>
      </c>
      <c r="E540" s="530">
        <v>27495</v>
      </c>
      <c r="F540" s="523" t="s">
        <v>436</v>
      </c>
      <c r="G540" s="533">
        <v>36951</v>
      </c>
      <c r="H540" s="525">
        <v>37711</v>
      </c>
      <c r="I540" s="537">
        <v>50000</v>
      </c>
      <c r="K540" s="534">
        <v>2.3199999999999998E-2</v>
      </c>
      <c r="L540" s="534">
        <v>9.2999999999999992E-3</v>
      </c>
      <c r="M540" s="454" t="s">
        <v>226</v>
      </c>
      <c r="N540" s="537">
        <f t="shared" si="332"/>
        <v>0</v>
      </c>
      <c r="O540" s="537">
        <f t="shared" si="332"/>
        <v>0</v>
      </c>
      <c r="P540" s="537">
        <f t="shared" si="332"/>
        <v>7928.25</v>
      </c>
      <c r="Q540" s="537">
        <f t="shared" si="332"/>
        <v>8230.5</v>
      </c>
      <c r="R540" s="537">
        <f t="shared" si="335"/>
        <v>9081.4499999999989</v>
      </c>
      <c r="S540" s="537">
        <f t="shared" si="335"/>
        <v>9583.65</v>
      </c>
      <c r="T540" s="537">
        <f t="shared" si="335"/>
        <v>8504.8499999999985</v>
      </c>
      <c r="U540" s="537">
        <f t="shared" si="335"/>
        <v>9081.4499999999989</v>
      </c>
      <c r="V540" s="537">
        <f t="shared" si="335"/>
        <v>7393.4999999999991</v>
      </c>
      <c r="W540" s="537">
        <f t="shared" si="333"/>
        <v>8793.15</v>
      </c>
      <c r="X540" s="537">
        <f t="shared" si="333"/>
        <v>8649</v>
      </c>
      <c r="Y540" s="537">
        <f t="shared" si="333"/>
        <v>9268.8449999999993</v>
      </c>
      <c r="AC540" s="375"/>
      <c r="AD540" s="375"/>
      <c r="AF540" s="375"/>
    </row>
    <row r="541" spans="1:82" ht="12.75" customHeight="1" x14ac:dyDescent="0.2">
      <c r="A541" s="584" t="s">
        <v>163</v>
      </c>
      <c r="B541" s="584" t="s">
        <v>282</v>
      </c>
      <c r="C541" s="584" t="s">
        <v>229</v>
      </c>
      <c r="D541" s="584" t="s">
        <v>223</v>
      </c>
      <c r="E541" s="585">
        <v>27579</v>
      </c>
      <c r="F541" s="584" t="s">
        <v>236</v>
      </c>
      <c r="G541" s="586">
        <v>37012</v>
      </c>
      <c r="H541" s="587">
        <v>37407</v>
      </c>
      <c r="I541" s="588">
        <v>20000</v>
      </c>
      <c r="J541" s="584"/>
      <c r="K541" s="591">
        <v>5.0700000000000002E-2</v>
      </c>
      <c r="L541" s="591">
        <v>9.2999999999999992E-3</v>
      </c>
      <c r="M541" s="590" t="s">
        <v>226</v>
      </c>
      <c r="N541" s="537"/>
      <c r="O541" s="537"/>
      <c r="P541" s="537"/>
      <c r="Q541" s="537"/>
      <c r="R541" s="588">
        <f t="shared" si="335"/>
        <v>3632.58</v>
      </c>
      <c r="S541" s="588">
        <f t="shared" si="335"/>
        <v>3833.46</v>
      </c>
      <c r="T541" s="588">
        <f t="shared" si="335"/>
        <v>3401.9399999999996</v>
      </c>
      <c r="U541" s="588">
        <f t="shared" si="335"/>
        <v>3632.58</v>
      </c>
      <c r="V541" s="588">
        <f t="shared" si="335"/>
        <v>2957.3999999999996</v>
      </c>
      <c r="W541" s="588">
        <f t="shared" si="333"/>
        <v>3517.2599999999998</v>
      </c>
      <c r="X541" s="588">
        <f t="shared" si="333"/>
        <v>3459.6</v>
      </c>
      <c r="Y541" s="588">
        <f t="shared" si="333"/>
        <v>3707.5379999999996</v>
      </c>
      <c r="Z541" s="592">
        <f>SUM(N541:Y541)</f>
        <v>28142.357999999997</v>
      </c>
      <c r="AC541" s="375"/>
      <c r="AD541" s="375"/>
      <c r="AF541" s="375"/>
    </row>
    <row r="542" spans="1:82" ht="12.75" customHeight="1" x14ac:dyDescent="0.2">
      <c r="A542" s="523" t="s">
        <v>163</v>
      </c>
      <c r="B542" s="523" t="s">
        <v>282</v>
      </c>
      <c r="C542" s="523" t="s">
        <v>229</v>
      </c>
      <c r="D542" s="523" t="s">
        <v>223</v>
      </c>
      <c r="E542" s="530">
        <v>27529</v>
      </c>
      <c r="F542" s="523" t="s">
        <v>432</v>
      </c>
      <c r="G542" s="533">
        <v>36951</v>
      </c>
      <c r="H542" s="525">
        <v>36981</v>
      </c>
      <c r="I542" s="537">
        <v>100000</v>
      </c>
      <c r="K542" s="534">
        <v>6.9999999999999999E-4</v>
      </c>
      <c r="L542" s="534">
        <v>9.2999999999999992E-3</v>
      </c>
      <c r="M542" s="454" t="s">
        <v>226</v>
      </c>
      <c r="N542" s="246"/>
      <c r="O542" s="246"/>
      <c r="P542" s="537">
        <f>P492*$L542</f>
        <v>15856.5</v>
      </c>
      <c r="Q542" s="246"/>
      <c r="R542" s="246"/>
      <c r="S542" s="246"/>
      <c r="T542" s="246"/>
      <c r="U542" s="246"/>
      <c r="V542" s="246"/>
      <c r="W542" s="246"/>
      <c r="X542" s="464"/>
      <c r="Y542" s="464"/>
      <c r="Z542" s="298"/>
      <c r="AA542" s="298"/>
      <c r="AB542" s="298"/>
      <c r="AC542" s="610"/>
      <c r="AD542" s="610"/>
      <c r="AE542" s="298"/>
      <c r="AF542" s="610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  <c r="BI542" s="298"/>
      <c r="BJ542" s="298"/>
      <c r="BK542" s="298"/>
      <c r="BL542" s="298"/>
      <c r="BM542" s="298"/>
      <c r="BN542" s="298"/>
      <c r="BO542" s="298"/>
      <c r="BP542" s="298"/>
      <c r="BQ542" s="298"/>
      <c r="BR542" s="298"/>
      <c r="BS542" s="298"/>
      <c r="BT542" s="298"/>
      <c r="BU542" s="298"/>
      <c r="BV542" s="298"/>
      <c r="BW542" s="298"/>
      <c r="BX542" s="298"/>
      <c r="BY542" s="298"/>
      <c r="BZ542" s="298"/>
      <c r="CA542" s="298"/>
      <c r="CB542" s="298"/>
      <c r="CC542" s="298"/>
      <c r="CD542" s="298"/>
    </row>
    <row r="543" spans="1:82" ht="12.75" customHeight="1" x14ac:dyDescent="0.2">
      <c r="A543" s="523" t="s">
        <v>163</v>
      </c>
      <c r="B543" s="523" t="s">
        <v>282</v>
      </c>
      <c r="C543" s="523" t="s">
        <v>229</v>
      </c>
      <c r="D543" s="523" t="s">
        <v>223</v>
      </c>
      <c r="E543" s="530">
        <v>27600</v>
      </c>
      <c r="F543" s="523" t="s">
        <v>496</v>
      </c>
      <c r="G543" s="533">
        <v>37043</v>
      </c>
      <c r="H543" s="525">
        <v>37407</v>
      </c>
      <c r="I543" s="539">
        <v>2500</v>
      </c>
      <c r="K543" s="534">
        <v>8.0699999999999994E-2</v>
      </c>
      <c r="L543" s="534">
        <v>9.2999999999999992E-3</v>
      </c>
      <c r="M543" s="454" t="s">
        <v>226</v>
      </c>
      <c r="N543" s="245"/>
      <c r="O543" s="245"/>
      <c r="P543" s="539"/>
      <c r="Q543" s="245"/>
      <c r="R543" s="245"/>
      <c r="S543" s="245"/>
      <c r="T543" s="609">
        <f t="shared" ref="T543:Y543" si="337">T493*$L543</f>
        <v>425.24249999999995</v>
      </c>
      <c r="U543" s="609">
        <f t="shared" si="337"/>
        <v>454.07249999999999</v>
      </c>
      <c r="V543" s="609">
        <f t="shared" si="337"/>
        <v>369.67499999999995</v>
      </c>
      <c r="W543" s="609">
        <f t="shared" si="337"/>
        <v>439.65749999999997</v>
      </c>
      <c r="X543" s="609">
        <f t="shared" si="337"/>
        <v>432.45</v>
      </c>
      <c r="Y543" s="609">
        <f t="shared" si="337"/>
        <v>463.44224999999994</v>
      </c>
      <c r="AC543" s="375"/>
      <c r="AD543" s="375"/>
      <c r="AF543" s="375"/>
    </row>
    <row r="544" spans="1:82" ht="12.75" customHeight="1" x14ac:dyDescent="0.15">
      <c r="I544" s="242">
        <f>SUM(I521:I543)</f>
        <v>1226759</v>
      </c>
      <c r="N544" s="242">
        <f t="shared" ref="N544:S544" si="338">SUM(N521:N542)</f>
        <v>69732.772400999995</v>
      </c>
      <c r="O544" s="242">
        <f t="shared" si="338"/>
        <v>63484.976183999999</v>
      </c>
      <c r="P544" s="242">
        <f t="shared" si="338"/>
        <v>92247.378434999991</v>
      </c>
      <c r="Q544" s="242">
        <f t="shared" si="338"/>
        <v>73993.263389999993</v>
      </c>
      <c r="R544" s="242">
        <f t="shared" si="338"/>
        <v>79815.152570999999</v>
      </c>
      <c r="S544" s="242">
        <f t="shared" si="338"/>
        <v>80694.893727000002</v>
      </c>
      <c r="T544" s="242">
        <f t="shared" ref="T544:Y544" si="339">SUM(T521:T543)</f>
        <v>78581.621681999997</v>
      </c>
      <c r="U544" s="242">
        <f t="shared" si="339"/>
        <v>80944.117421999996</v>
      </c>
      <c r="V544" s="242">
        <f t="shared" si="339"/>
        <v>66335.766300000003</v>
      </c>
      <c r="W544" s="242">
        <f t="shared" si="339"/>
        <v>77117.366999999984</v>
      </c>
      <c r="X544" s="242">
        <f t="shared" si="339"/>
        <v>82996.92</v>
      </c>
      <c r="Y544" s="242">
        <f t="shared" si="339"/>
        <v>93604.84095659999</v>
      </c>
      <c r="Z544" s="375">
        <f>SUM(N544:Y544)</f>
        <v>939549.07006860001</v>
      </c>
      <c r="AD544" s="375">
        <f t="shared" si="336"/>
        <v>0</v>
      </c>
      <c r="AE544" s="375">
        <f>Z544</f>
        <v>939549.07006860001</v>
      </c>
    </row>
    <row r="545" spans="1:30" ht="12.75" customHeight="1" x14ac:dyDescent="0.15">
      <c r="AD545" s="375">
        <f t="shared" si="336"/>
        <v>0</v>
      </c>
    </row>
    <row r="546" spans="1:30" ht="12.75" customHeight="1" x14ac:dyDescent="0.15">
      <c r="A546" s="239" t="s">
        <v>163</v>
      </c>
      <c r="B546" s="239" t="s">
        <v>282</v>
      </c>
      <c r="C546" s="239" t="s">
        <v>228</v>
      </c>
      <c r="D546" s="239" t="s">
        <v>362</v>
      </c>
      <c r="N546" s="242">
        <v>35200</v>
      </c>
      <c r="O546" s="242">
        <v>23900</v>
      </c>
      <c r="P546" s="242">
        <v>26400</v>
      </c>
      <c r="Q546" s="242">
        <v>23900</v>
      </c>
      <c r="R546" s="242">
        <v>20000</v>
      </c>
      <c r="S546" s="242">
        <v>23900</v>
      </c>
      <c r="T546" s="242">
        <v>22800</v>
      </c>
      <c r="U546" s="242">
        <v>12200</v>
      </c>
      <c r="V546" s="242">
        <v>20200</v>
      </c>
      <c r="W546" s="242">
        <v>10600</v>
      </c>
      <c r="X546" s="242">
        <v>13800</v>
      </c>
      <c r="Y546" s="242">
        <v>27300</v>
      </c>
    </row>
    <row r="547" spans="1:30" ht="12.75" customHeight="1" x14ac:dyDescent="0.15">
      <c r="A547" s="239" t="s">
        <v>163</v>
      </c>
      <c r="B547" s="239" t="s">
        <v>282</v>
      </c>
      <c r="C547" s="239" t="s">
        <v>157</v>
      </c>
      <c r="D547" s="239" t="s">
        <v>362</v>
      </c>
      <c r="N547" s="251">
        <v>5.2900000000000003E-2</v>
      </c>
      <c r="O547" s="251">
        <v>3.7600000000000001E-2</v>
      </c>
      <c r="P547" s="251">
        <v>5.0200000000000002E-2</v>
      </c>
      <c r="Q547" s="251">
        <v>3.7999999999999999E-2</v>
      </c>
      <c r="R547" s="251">
        <v>4.4299999999999999E-2</v>
      </c>
      <c r="S547" s="251">
        <v>4.7800000000000002E-2</v>
      </c>
      <c r="T547" s="251">
        <v>6.0299999999999999E-2</v>
      </c>
      <c r="U547" s="251">
        <v>3.2300000000000002E-2</v>
      </c>
      <c r="V547" s="251">
        <v>0.04</v>
      </c>
      <c r="W547" s="251">
        <v>3.1199999999999999E-2</v>
      </c>
      <c r="X547" s="251">
        <v>4.2700000000000002E-2</v>
      </c>
      <c r="Y547" s="251">
        <v>4.9099999999999998E-2</v>
      </c>
    </row>
    <row r="548" spans="1:30" ht="12.75" customHeight="1" x14ac:dyDescent="0.15">
      <c r="A548" s="239" t="s">
        <v>163</v>
      </c>
      <c r="B548" s="239" t="s">
        <v>282</v>
      </c>
      <c r="C548" s="239" t="s">
        <v>229</v>
      </c>
      <c r="D548" s="239" t="s">
        <v>362</v>
      </c>
      <c r="N548" s="242">
        <f t="shared" ref="N548:Y548" si="340">N546*N547*N1</f>
        <v>57724.480000000003</v>
      </c>
      <c r="O548" s="242">
        <f t="shared" si="340"/>
        <v>25161.919999999998</v>
      </c>
      <c r="P548" s="242">
        <f t="shared" si="340"/>
        <v>41083.68</v>
      </c>
      <c r="Q548" s="242">
        <f t="shared" si="340"/>
        <v>27245.999999999996</v>
      </c>
      <c r="R548" s="242">
        <f t="shared" si="340"/>
        <v>27466</v>
      </c>
      <c r="S548" s="242">
        <f t="shared" si="340"/>
        <v>34272.600000000006</v>
      </c>
      <c r="T548" s="242">
        <f t="shared" si="340"/>
        <v>42620.04</v>
      </c>
      <c r="U548" s="242">
        <f t="shared" si="340"/>
        <v>12215.86</v>
      </c>
      <c r="V548" s="242">
        <f t="shared" si="340"/>
        <v>24240</v>
      </c>
      <c r="W548" s="242">
        <f t="shared" si="340"/>
        <v>10252.32</v>
      </c>
      <c r="X548" s="242">
        <f t="shared" si="340"/>
        <v>17677.8</v>
      </c>
      <c r="Y548" s="242">
        <f t="shared" si="340"/>
        <v>41553.329999999994</v>
      </c>
      <c r="Z548" s="375">
        <f>SUM(N548:Y548)</f>
        <v>361514.03</v>
      </c>
    </row>
    <row r="552" spans="1:30" ht="12.75" customHeight="1" x14ac:dyDescent="0.2">
      <c r="A552" s="239" t="s">
        <v>163</v>
      </c>
      <c r="B552" s="239" t="s">
        <v>282</v>
      </c>
      <c r="C552" s="239" t="s">
        <v>294</v>
      </c>
      <c r="E552" s="267">
        <v>24690</v>
      </c>
      <c r="F552" s="267" t="s">
        <v>277</v>
      </c>
      <c r="H552" s="268">
        <v>36981</v>
      </c>
      <c r="I552" s="242">
        <v>15000</v>
      </c>
      <c r="N552" s="242">
        <f t="shared" ref="N552:P553" si="341">N448*$K552</f>
        <v>0</v>
      </c>
      <c r="O552" s="242">
        <f t="shared" si="341"/>
        <v>0</v>
      </c>
      <c r="P552" s="242">
        <f t="shared" si="341"/>
        <v>0</v>
      </c>
    </row>
    <row r="553" spans="1:30" ht="12.75" customHeight="1" x14ac:dyDescent="0.2">
      <c r="A553" s="239" t="s">
        <v>163</v>
      </c>
      <c r="B553" s="239" t="s">
        <v>282</v>
      </c>
      <c r="C553" s="239" t="s">
        <v>294</v>
      </c>
      <c r="E553" s="267">
        <v>24754</v>
      </c>
      <c r="F553" s="267" t="s">
        <v>278</v>
      </c>
      <c r="H553" s="271">
        <v>37011</v>
      </c>
      <c r="I553" s="275">
        <v>1000</v>
      </c>
      <c r="N553" s="242">
        <f t="shared" si="341"/>
        <v>0</v>
      </c>
      <c r="O553" s="242">
        <f t="shared" si="341"/>
        <v>0</v>
      </c>
      <c r="P553" s="242">
        <f t="shared" si="341"/>
        <v>0</v>
      </c>
      <c r="Q553" s="242">
        <f>Q449*$K553</f>
        <v>0</v>
      </c>
    </row>
    <row r="554" spans="1:30" ht="12.75" customHeight="1" x14ac:dyDescent="0.2">
      <c r="A554" s="239" t="s">
        <v>163</v>
      </c>
      <c r="B554" s="239" t="s">
        <v>282</v>
      </c>
      <c r="C554" s="239" t="s">
        <v>294</v>
      </c>
      <c r="E554" s="266">
        <v>24194</v>
      </c>
      <c r="F554" s="266" t="s">
        <v>273</v>
      </c>
      <c r="H554" s="269">
        <v>37164</v>
      </c>
      <c r="I554" s="273">
        <v>20000</v>
      </c>
      <c r="K554" s="251">
        <v>3.0000000000000001E-3</v>
      </c>
      <c r="N554" s="242">
        <f t="shared" ref="N554:Y554" si="342">N443*N1*$K554</f>
        <v>1860</v>
      </c>
      <c r="O554" s="242">
        <f t="shared" si="342"/>
        <v>1680</v>
      </c>
      <c r="P554" s="242">
        <f t="shared" si="342"/>
        <v>1860</v>
      </c>
      <c r="Q554" s="242">
        <f t="shared" si="342"/>
        <v>1800</v>
      </c>
      <c r="R554" s="242">
        <f t="shared" si="342"/>
        <v>930</v>
      </c>
      <c r="S554" s="242">
        <f t="shared" si="342"/>
        <v>900</v>
      </c>
      <c r="T554" s="242">
        <f t="shared" si="342"/>
        <v>930</v>
      </c>
      <c r="U554" s="242">
        <f t="shared" si="342"/>
        <v>930</v>
      </c>
      <c r="V554" s="242">
        <f t="shared" si="342"/>
        <v>900</v>
      </c>
      <c r="W554" s="242">
        <f t="shared" si="342"/>
        <v>1860</v>
      </c>
      <c r="X554" s="242">
        <f t="shared" si="342"/>
        <v>1800</v>
      </c>
      <c r="Y554" s="242">
        <f t="shared" si="342"/>
        <v>1860</v>
      </c>
    </row>
    <row r="555" spans="1:30" ht="12.75" customHeight="1" x14ac:dyDescent="0.2">
      <c r="E555" s="267"/>
      <c r="F555" s="267"/>
      <c r="H555" s="272"/>
      <c r="N555" s="245"/>
      <c r="O555" s="245"/>
      <c r="P555" s="245"/>
      <c r="Q555" s="245"/>
      <c r="R555" s="245"/>
      <c r="S555" s="245"/>
      <c r="T555" s="245"/>
      <c r="U555" s="245"/>
      <c r="V555" s="245"/>
      <c r="W555" s="245"/>
      <c r="X555" s="245"/>
      <c r="Y555" s="245"/>
    </row>
    <row r="556" spans="1:30" ht="12.75" customHeight="1" x14ac:dyDescent="0.15">
      <c r="N556" s="242">
        <f>SUM(N552:N555)</f>
        <v>1860</v>
      </c>
      <c r="O556" s="242">
        <f t="shared" ref="O556:Y556" si="343">SUM(O552:O555)</f>
        <v>1680</v>
      </c>
      <c r="P556" s="242">
        <f t="shared" si="343"/>
        <v>1860</v>
      </c>
      <c r="Q556" s="242">
        <f t="shared" si="343"/>
        <v>1800</v>
      </c>
      <c r="R556" s="242">
        <f t="shared" si="343"/>
        <v>930</v>
      </c>
      <c r="S556" s="242">
        <f t="shared" si="343"/>
        <v>900</v>
      </c>
      <c r="T556" s="242">
        <f t="shared" si="343"/>
        <v>930</v>
      </c>
      <c r="U556" s="242">
        <f t="shared" si="343"/>
        <v>930</v>
      </c>
      <c r="V556" s="242">
        <f t="shared" si="343"/>
        <v>900</v>
      </c>
      <c r="W556" s="242">
        <f t="shared" si="343"/>
        <v>1860</v>
      </c>
      <c r="X556" s="242">
        <f t="shared" si="343"/>
        <v>1800</v>
      </c>
      <c r="Y556" s="242">
        <f t="shared" si="343"/>
        <v>1860</v>
      </c>
      <c r="Z556" s="375">
        <f>SUM(N556:Y556)</f>
        <v>17310</v>
      </c>
      <c r="AA556" s="242">
        <v>38082</v>
      </c>
      <c r="AB556" s="375">
        <f>AA556-Z556</f>
        <v>20772</v>
      </c>
    </row>
    <row r="557" spans="1:30" s="247" customFormat="1" ht="12.75" customHeight="1" x14ac:dyDescent="0.15">
      <c r="E557" s="248"/>
      <c r="H557" s="248"/>
      <c r="I557" s="249"/>
      <c r="K557" s="252"/>
      <c r="M557" s="250"/>
      <c r="N557" s="249"/>
      <c r="O557" s="249"/>
      <c r="P557" s="249"/>
      <c r="Q557" s="249"/>
      <c r="R557" s="249"/>
      <c r="S557" s="249"/>
      <c r="T557" s="249"/>
      <c r="U557" s="249"/>
      <c r="V557" s="249"/>
      <c r="W557" s="249"/>
      <c r="X557" s="249"/>
      <c r="Y557" s="249"/>
    </row>
    <row r="560" spans="1:30" ht="12.75" customHeight="1" x14ac:dyDescent="0.2">
      <c r="A560" s="239" t="s">
        <v>163</v>
      </c>
      <c r="B560" s="239" t="s">
        <v>284</v>
      </c>
      <c r="C560" s="239" t="s">
        <v>228</v>
      </c>
      <c r="D560" s="239" t="s">
        <v>220</v>
      </c>
      <c r="E560" s="278">
        <v>24654</v>
      </c>
      <c r="F560" s="267" t="s">
        <v>264</v>
      </c>
      <c r="G560" s="279" t="s">
        <v>285</v>
      </c>
      <c r="H560" s="279">
        <v>37256</v>
      </c>
      <c r="I560" s="280">
        <v>8000</v>
      </c>
      <c r="K560" s="265"/>
      <c r="L560" s="265"/>
      <c r="M560" s="284" t="s">
        <v>287</v>
      </c>
      <c r="N560" s="242">
        <f t="shared" ref="N560:Y560" si="344">$I$560*N$1</f>
        <v>248000</v>
      </c>
      <c r="O560" s="242">
        <f t="shared" si="344"/>
        <v>224000</v>
      </c>
      <c r="P560" s="242">
        <f t="shared" si="344"/>
        <v>248000</v>
      </c>
      <c r="Q560" s="242">
        <f t="shared" si="344"/>
        <v>240000</v>
      </c>
      <c r="R560" s="242">
        <f t="shared" si="344"/>
        <v>248000</v>
      </c>
      <c r="S560" s="242">
        <f t="shared" si="344"/>
        <v>240000</v>
      </c>
      <c r="T560" s="242">
        <f t="shared" si="344"/>
        <v>248000</v>
      </c>
      <c r="U560" s="242">
        <f t="shared" si="344"/>
        <v>248000</v>
      </c>
      <c r="V560" s="242">
        <f t="shared" si="344"/>
        <v>240000</v>
      </c>
      <c r="W560" s="242">
        <f t="shared" si="344"/>
        <v>248000</v>
      </c>
      <c r="X560" s="242">
        <f t="shared" si="344"/>
        <v>240000</v>
      </c>
      <c r="Y560" s="242">
        <f t="shared" si="344"/>
        <v>248000</v>
      </c>
    </row>
    <row r="561" spans="1:25" ht="12.75" customHeight="1" x14ac:dyDescent="0.2">
      <c r="A561" s="239" t="s">
        <v>163</v>
      </c>
      <c r="B561" s="239" t="s">
        <v>284</v>
      </c>
      <c r="C561" s="239" t="s">
        <v>228</v>
      </c>
      <c r="D561" s="239" t="s">
        <v>220</v>
      </c>
      <c r="E561" s="281">
        <v>24568</v>
      </c>
      <c r="F561" s="266" t="s">
        <v>286</v>
      </c>
      <c r="G561" s="282" t="s">
        <v>285</v>
      </c>
      <c r="H561" s="282">
        <v>37256</v>
      </c>
      <c r="I561" s="283">
        <v>32000</v>
      </c>
      <c r="K561" s="276"/>
      <c r="L561" s="276"/>
      <c r="M561" s="284" t="s">
        <v>287</v>
      </c>
      <c r="N561" s="242">
        <f t="shared" ref="N561:Y561" si="345">$I$561*N$1</f>
        <v>992000</v>
      </c>
      <c r="O561" s="242">
        <f t="shared" si="345"/>
        <v>896000</v>
      </c>
      <c r="P561" s="242">
        <f t="shared" si="345"/>
        <v>992000</v>
      </c>
      <c r="Q561" s="242">
        <f t="shared" si="345"/>
        <v>960000</v>
      </c>
      <c r="R561" s="242">
        <f t="shared" si="345"/>
        <v>992000</v>
      </c>
      <c r="S561" s="242">
        <f t="shared" si="345"/>
        <v>960000</v>
      </c>
      <c r="T561" s="242">
        <f t="shared" si="345"/>
        <v>992000</v>
      </c>
      <c r="U561" s="242">
        <f t="shared" si="345"/>
        <v>992000</v>
      </c>
      <c r="V561" s="242">
        <f t="shared" si="345"/>
        <v>960000</v>
      </c>
      <c r="W561" s="242">
        <f t="shared" si="345"/>
        <v>992000</v>
      </c>
      <c r="X561" s="242">
        <f t="shared" si="345"/>
        <v>960000</v>
      </c>
      <c r="Y561" s="242">
        <f t="shared" si="345"/>
        <v>992000</v>
      </c>
    </row>
    <row r="563" spans="1:25" ht="12.75" customHeight="1" x14ac:dyDescent="0.15">
      <c r="I563" s="245"/>
      <c r="N563" s="245"/>
      <c r="O563" s="245"/>
      <c r="P563" s="245"/>
      <c r="Q563" s="245"/>
      <c r="R563" s="245"/>
      <c r="S563" s="245"/>
      <c r="T563" s="245"/>
      <c r="U563" s="245"/>
      <c r="V563" s="245"/>
      <c r="W563" s="245"/>
      <c r="X563" s="245"/>
      <c r="Y563" s="245"/>
    </row>
    <row r="564" spans="1:25" ht="12.75" customHeight="1" x14ac:dyDescent="0.15">
      <c r="I564" s="242">
        <f>SUM(I560:I563)</f>
        <v>40000</v>
      </c>
      <c r="N564" s="242">
        <f>SUM(N560:N563)</f>
        <v>1240000</v>
      </c>
      <c r="O564" s="242">
        <f t="shared" ref="O564:Y564" si="346">SUM(O560:O563)</f>
        <v>1120000</v>
      </c>
      <c r="P564" s="242">
        <f t="shared" si="346"/>
        <v>1240000</v>
      </c>
      <c r="Q564" s="242">
        <f t="shared" si="346"/>
        <v>1200000</v>
      </c>
      <c r="R564" s="242">
        <f t="shared" si="346"/>
        <v>1240000</v>
      </c>
      <c r="S564" s="242">
        <f t="shared" si="346"/>
        <v>1200000</v>
      </c>
      <c r="T564" s="242">
        <f t="shared" si="346"/>
        <v>1240000</v>
      </c>
      <c r="U564" s="242">
        <f t="shared" si="346"/>
        <v>1240000</v>
      </c>
      <c r="V564" s="242">
        <f t="shared" si="346"/>
        <v>1200000</v>
      </c>
      <c r="W564" s="242">
        <f t="shared" si="346"/>
        <v>1240000</v>
      </c>
      <c r="X564" s="242">
        <f t="shared" si="346"/>
        <v>1200000</v>
      </c>
      <c r="Y564" s="242">
        <f t="shared" si="346"/>
        <v>1240000</v>
      </c>
    </row>
    <row r="566" spans="1:25" ht="12.75" customHeight="1" x14ac:dyDescent="0.15">
      <c r="A566" s="424" t="s">
        <v>357</v>
      </c>
      <c r="B566" s="425"/>
      <c r="C566" s="425"/>
      <c r="D566" s="425"/>
      <c r="E566" s="426"/>
      <c r="F566" s="425"/>
      <c r="G566" s="425"/>
      <c r="H566" s="426"/>
      <c r="I566" s="427"/>
      <c r="J566" s="425"/>
      <c r="K566" s="428"/>
      <c r="L566" s="425"/>
      <c r="M566" s="429"/>
      <c r="N566" s="430">
        <v>0.45</v>
      </c>
      <c r="O566" s="430">
        <v>0.68</v>
      </c>
      <c r="P566" s="430">
        <v>0.61</v>
      </c>
      <c r="Q566" s="430">
        <v>0.56000000000000005</v>
      </c>
      <c r="R566" s="430">
        <v>0.55000000000000004</v>
      </c>
      <c r="S566" s="430">
        <v>0.68</v>
      </c>
      <c r="T566" s="430">
        <v>0.79</v>
      </c>
      <c r="U566" s="430">
        <v>0.66500000000000004</v>
      </c>
      <c r="V566" s="430">
        <v>0.80500000000000005</v>
      </c>
      <c r="W566" s="430">
        <v>0.43</v>
      </c>
      <c r="X566" s="430">
        <v>0.64</v>
      </c>
      <c r="Y566" s="432">
        <v>0.64</v>
      </c>
    </row>
    <row r="567" spans="1:25" ht="12.75" customHeight="1" x14ac:dyDescent="0.2">
      <c r="A567" s="239" t="s">
        <v>163</v>
      </c>
      <c r="B567" s="239" t="s">
        <v>284</v>
      </c>
      <c r="C567" s="239" t="s">
        <v>228</v>
      </c>
      <c r="D567" s="239" t="s">
        <v>223</v>
      </c>
      <c r="E567" s="278">
        <v>24654</v>
      </c>
      <c r="F567" s="267" t="s">
        <v>264</v>
      </c>
      <c r="G567" s="279" t="s">
        <v>285</v>
      </c>
      <c r="H567" s="279">
        <v>37256</v>
      </c>
      <c r="I567" s="280">
        <v>8000</v>
      </c>
      <c r="K567" s="265"/>
      <c r="L567" s="265"/>
      <c r="M567" s="284" t="s">
        <v>287</v>
      </c>
      <c r="N567" s="242">
        <f>N560*N$566</f>
        <v>111600</v>
      </c>
      <c r="O567" s="242">
        <f t="shared" ref="O567:Y567" si="347">O560*O$566</f>
        <v>152320</v>
      </c>
      <c r="P567" s="242">
        <f t="shared" si="347"/>
        <v>151280</v>
      </c>
      <c r="Q567" s="242">
        <f t="shared" si="347"/>
        <v>134400</v>
      </c>
      <c r="R567" s="242">
        <f t="shared" si="347"/>
        <v>136400</v>
      </c>
      <c r="S567" s="242">
        <f t="shared" si="347"/>
        <v>163200</v>
      </c>
      <c r="T567" s="242">
        <f t="shared" si="347"/>
        <v>195920</v>
      </c>
      <c r="U567" s="242">
        <f t="shared" si="347"/>
        <v>164920</v>
      </c>
      <c r="V567" s="242">
        <f t="shared" si="347"/>
        <v>193200</v>
      </c>
      <c r="W567" s="242">
        <f t="shared" si="347"/>
        <v>106640</v>
      </c>
      <c r="X567" s="242">
        <f t="shared" si="347"/>
        <v>153600</v>
      </c>
      <c r="Y567" s="242">
        <f t="shared" si="347"/>
        <v>158720</v>
      </c>
    </row>
    <row r="568" spans="1:25" ht="12.75" customHeight="1" x14ac:dyDescent="0.2">
      <c r="A568" s="239" t="s">
        <v>163</v>
      </c>
      <c r="B568" s="239" t="s">
        <v>284</v>
      </c>
      <c r="C568" s="239" t="s">
        <v>228</v>
      </c>
      <c r="D568" s="239" t="s">
        <v>223</v>
      </c>
      <c r="E568" s="281">
        <v>24568</v>
      </c>
      <c r="F568" s="266" t="s">
        <v>286</v>
      </c>
      <c r="G568" s="282" t="s">
        <v>285</v>
      </c>
      <c r="H568" s="282">
        <v>37256</v>
      </c>
      <c r="I568" s="283">
        <v>32000</v>
      </c>
      <c r="K568" s="276"/>
      <c r="L568" s="276"/>
      <c r="M568" s="284" t="s">
        <v>287</v>
      </c>
      <c r="N568" s="242">
        <f>N561*N$566</f>
        <v>446400</v>
      </c>
      <c r="O568" s="242">
        <f t="shared" ref="O568:Y568" si="348">O561*O$566</f>
        <v>609280</v>
      </c>
      <c r="P568" s="242">
        <f t="shared" si="348"/>
        <v>605120</v>
      </c>
      <c r="Q568" s="242">
        <f t="shared" si="348"/>
        <v>537600</v>
      </c>
      <c r="R568" s="242">
        <f t="shared" si="348"/>
        <v>545600</v>
      </c>
      <c r="S568" s="242">
        <f t="shared" si="348"/>
        <v>652800</v>
      </c>
      <c r="T568" s="242">
        <f t="shared" si="348"/>
        <v>783680</v>
      </c>
      <c r="U568" s="242">
        <f t="shared" si="348"/>
        <v>659680</v>
      </c>
      <c r="V568" s="242">
        <f t="shared" si="348"/>
        <v>772800</v>
      </c>
      <c r="W568" s="242">
        <f t="shared" si="348"/>
        <v>426560</v>
      </c>
      <c r="X568" s="242">
        <f t="shared" si="348"/>
        <v>614400</v>
      </c>
      <c r="Y568" s="242">
        <f t="shared" si="348"/>
        <v>634880</v>
      </c>
    </row>
    <row r="570" spans="1:25" ht="12.75" customHeight="1" x14ac:dyDescent="0.15">
      <c r="N570" s="245"/>
      <c r="O570" s="245"/>
      <c r="P570" s="245"/>
      <c r="Q570" s="245"/>
      <c r="R570" s="245"/>
      <c r="S570" s="245"/>
      <c r="T570" s="245"/>
      <c r="U570" s="245"/>
      <c r="V570" s="245"/>
      <c r="W570" s="245"/>
      <c r="X570" s="245"/>
      <c r="Y570" s="245"/>
    </row>
    <row r="571" spans="1:25" ht="12.75" customHeight="1" x14ac:dyDescent="0.15">
      <c r="N571" s="242">
        <f>SUM(N567:N570)</f>
        <v>558000</v>
      </c>
      <c r="O571" s="242">
        <f t="shared" ref="O571:Y571" si="349">SUM(O567:O570)</f>
        <v>761600</v>
      </c>
      <c r="P571" s="242">
        <f t="shared" si="349"/>
        <v>756400</v>
      </c>
      <c r="Q571" s="242">
        <f t="shared" si="349"/>
        <v>672000</v>
      </c>
      <c r="R571" s="242">
        <f t="shared" si="349"/>
        <v>682000</v>
      </c>
      <c r="S571" s="242">
        <f t="shared" si="349"/>
        <v>816000</v>
      </c>
      <c r="T571" s="242">
        <f t="shared" si="349"/>
        <v>979600</v>
      </c>
      <c r="U571" s="242">
        <f t="shared" si="349"/>
        <v>824600</v>
      </c>
      <c r="V571" s="242">
        <f t="shared" si="349"/>
        <v>966000</v>
      </c>
      <c r="W571" s="242">
        <f t="shared" si="349"/>
        <v>533200</v>
      </c>
      <c r="X571" s="242">
        <f t="shared" si="349"/>
        <v>768000</v>
      </c>
      <c r="Y571" s="242">
        <f t="shared" si="349"/>
        <v>793600</v>
      </c>
    </row>
    <row r="574" spans="1:25" ht="12.75" customHeight="1" x14ac:dyDescent="0.2">
      <c r="A574" s="239" t="s">
        <v>163</v>
      </c>
      <c r="B574" s="239" t="s">
        <v>284</v>
      </c>
      <c r="C574" s="239" t="s">
        <v>229</v>
      </c>
      <c r="D574" s="239" t="s">
        <v>220</v>
      </c>
      <c r="E574" s="278">
        <v>24654</v>
      </c>
      <c r="F574" s="267" t="s">
        <v>264</v>
      </c>
      <c r="G574" s="279" t="s">
        <v>285</v>
      </c>
      <c r="H574" s="279">
        <v>37256</v>
      </c>
      <c r="I574" s="280"/>
      <c r="K574" s="265">
        <v>0.20399999999999999</v>
      </c>
      <c r="L574" s="265">
        <v>1.6E-2</v>
      </c>
      <c r="M574" s="284" t="s">
        <v>287</v>
      </c>
      <c r="N574" s="242">
        <f>N560*($K574)</f>
        <v>50592</v>
      </c>
      <c r="O574" s="242">
        <f t="shared" ref="O574:Y574" si="350">O560*($K574)</f>
        <v>45696</v>
      </c>
      <c r="P574" s="242">
        <f t="shared" si="350"/>
        <v>50592</v>
      </c>
      <c r="Q574" s="242">
        <f t="shared" si="350"/>
        <v>48960</v>
      </c>
      <c r="R574" s="242">
        <f t="shared" si="350"/>
        <v>50592</v>
      </c>
      <c r="S574" s="242">
        <f t="shared" si="350"/>
        <v>48960</v>
      </c>
      <c r="T574" s="242">
        <f t="shared" si="350"/>
        <v>50592</v>
      </c>
      <c r="U574" s="242">
        <f t="shared" si="350"/>
        <v>50592</v>
      </c>
      <c r="V574" s="242">
        <f t="shared" si="350"/>
        <v>48960</v>
      </c>
      <c r="W574" s="242">
        <f t="shared" si="350"/>
        <v>50592</v>
      </c>
      <c r="X574" s="242">
        <f t="shared" si="350"/>
        <v>48960</v>
      </c>
      <c r="Y574" s="242">
        <f t="shared" si="350"/>
        <v>50592</v>
      </c>
    </row>
    <row r="575" spans="1:25" ht="12.75" customHeight="1" x14ac:dyDescent="0.2">
      <c r="A575" s="239" t="s">
        <v>163</v>
      </c>
      <c r="B575" s="239" t="s">
        <v>284</v>
      </c>
      <c r="C575" s="239" t="s">
        <v>229</v>
      </c>
      <c r="D575" s="239" t="s">
        <v>220</v>
      </c>
      <c r="E575" s="281">
        <v>24568</v>
      </c>
      <c r="F575" s="266" t="s">
        <v>286</v>
      </c>
      <c r="G575" s="282" t="s">
        <v>285</v>
      </c>
      <c r="H575" s="282">
        <v>37256</v>
      </c>
      <c r="I575" s="283"/>
      <c r="K575" s="276">
        <v>0.20399999999999999</v>
      </c>
      <c r="L575" s="276">
        <v>1.35E-2</v>
      </c>
      <c r="M575" s="284" t="s">
        <v>287</v>
      </c>
      <c r="N575" s="242">
        <f>N561*($K575)</f>
        <v>202368</v>
      </c>
      <c r="O575" s="242">
        <f t="shared" ref="O575:Y575" si="351">O561*($K575)</f>
        <v>182784</v>
      </c>
      <c r="P575" s="242">
        <f t="shared" si="351"/>
        <v>202368</v>
      </c>
      <c r="Q575" s="242">
        <f t="shared" si="351"/>
        <v>195840</v>
      </c>
      <c r="R575" s="242">
        <f t="shared" si="351"/>
        <v>202368</v>
      </c>
      <c r="S575" s="242">
        <f t="shared" si="351"/>
        <v>195840</v>
      </c>
      <c r="T575" s="242">
        <f t="shared" si="351"/>
        <v>202368</v>
      </c>
      <c r="U575" s="242">
        <f t="shared" si="351"/>
        <v>202368</v>
      </c>
      <c r="V575" s="242">
        <f t="shared" si="351"/>
        <v>195840</v>
      </c>
      <c r="W575" s="242">
        <f t="shared" si="351"/>
        <v>202368</v>
      </c>
      <c r="X575" s="242">
        <f t="shared" si="351"/>
        <v>195840</v>
      </c>
      <c r="Y575" s="242">
        <f t="shared" si="351"/>
        <v>202368</v>
      </c>
    </row>
    <row r="577" spans="1:32" ht="12.75" customHeight="1" x14ac:dyDescent="0.15">
      <c r="N577" s="245"/>
      <c r="O577" s="245"/>
      <c r="P577" s="245"/>
      <c r="Q577" s="245"/>
      <c r="R577" s="245"/>
      <c r="S577" s="245"/>
      <c r="T577" s="245"/>
      <c r="U577" s="245"/>
      <c r="V577" s="245"/>
      <c r="W577" s="245"/>
      <c r="X577" s="245"/>
      <c r="Y577" s="245"/>
    </row>
    <row r="578" spans="1:32" ht="12.75" customHeight="1" x14ac:dyDescent="0.15">
      <c r="N578" s="242">
        <f>SUM(N574:N577)</f>
        <v>252960</v>
      </c>
      <c r="O578" s="242">
        <f t="shared" ref="O578:Y578" si="352">SUM(O574:O577)</f>
        <v>228480</v>
      </c>
      <c r="P578" s="242">
        <f t="shared" si="352"/>
        <v>252960</v>
      </c>
      <c r="Q578" s="242">
        <f t="shared" si="352"/>
        <v>244800</v>
      </c>
      <c r="R578" s="242">
        <f t="shared" si="352"/>
        <v>252960</v>
      </c>
      <c r="S578" s="242">
        <f t="shared" si="352"/>
        <v>244800</v>
      </c>
      <c r="T578" s="242">
        <f t="shared" si="352"/>
        <v>252960</v>
      </c>
      <c r="U578" s="242">
        <f t="shared" si="352"/>
        <v>252960</v>
      </c>
      <c r="V578" s="242">
        <f t="shared" si="352"/>
        <v>244800</v>
      </c>
      <c r="W578" s="242">
        <f t="shared" si="352"/>
        <v>252960</v>
      </c>
      <c r="X578" s="242">
        <f t="shared" si="352"/>
        <v>244800</v>
      </c>
      <c r="Y578" s="242">
        <f t="shared" si="352"/>
        <v>252960</v>
      </c>
      <c r="Z578" s="375">
        <f>SUM(N578:Y578)</f>
        <v>2978400</v>
      </c>
    </row>
    <row r="581" spans="1:32" ht="12.75" customHeight="1" x14ac:dyDescent="0.2">
      <c r="A581" s="239" t="s">
        <v>163</v>
      </c>
      <c r="B581" s="239" t="s">
        <v>284</v>
      </c>
      <c r="C581" s="239" t="s">
        <v>229</v>
      </c>
      <c r="D581" s="239" t="s">
        <v>223</v>
      </c>
      <c r="E581" s="278">
        <v>24654</v>
      </c>
      <c r="F581" s="267" t="s">
        <v>264</v>
      </c>
      <c r="G581" s="279" t="s">
        <v>285</v>
      </c>
      <c r="H581" s="279">
        <v>37256</v>
      </c>
      <c r="I581" s="280"/>
      <c r="K581" s="265">
        <v>0.20399999999999999</v>
      </c>
      <c r="L581" s="265">
        <v>1.6799999999999999E-2</v>
      </c>
      <c r="M581" s="284" t="s">
        <v>287</v>
      </c>
      <c r="N581" s="242">
        <f>N567*$L581</f>
        <v>1874.8799999999999</v>
      </c>
      <c r="O581" s="242">
        <f t="shared" ref="O581:Y581" si="353">O567*$L581</f>
        <v>2558.9759999999997</v>
      </c>
      <c r="P581" s="242">
        <f t="shared" si="353"/>
        <v>2541.5039999999999</v>
      </c>
      <c r="Q581" s="242">
        <f t="shared" si="353"/>
        <v>2257.92</v>
      </c>
      <c r="R581" s="242">
        <f t="shared" si="353"/>
        <v>2291.52</v>
      </c>
      <c r="S581" s="242">
        <f t="shared" si="353"/>
        <v>2741.7599999999998</v>
      </c>
      <c r="T581" s="242">
        <f t="shared" si="353"/>
        <v>3291.4559999999997</v>
      </c>
      <c r="U581" s="242">
        <f t="shared" si="353"/>
        <v>2770.6559999999999</v>
      </c>
      <c r="V581" s="242">
        <f t="shared" si="353"/>
        <v>3245.7599999999998</v>
      </c>
      <c r="W581" s="242">
        <f t="shared" si="353"/>
        <v>1791.5519999999999</v>
      </c>
      <c r="X581" s="242">
        <f t="shared" si="353"/>
        <v>2580.48</v>
      </c>
      <c r="Y581" s="242">
        <f t="shared" si="353"/>
        <v>2666.4959999999996</v>
      </c>
      <c r="AF581" s="375">
        <f>SUM(N581:Y581)</f>
        <v>30612.959999999995</v>
      </c>
    </row>
    <row r="582" spans="1:32" ht="12.75" customHeight="1" x14ac:dyDescent="0.2">
      <c r="A582" s="239" t="s">
        <v>163</v>
      </c>
      <c r="B582" s="239" t="s">
        <v>284</v>
      </c>
      <c r="C582" s="239" t="s">
        <v>229</v>
      </c>
      <c r="D582" s="239" t="s">
        <v>223</v>
      </c>
      <c r="E582" s="281">
        <v>24568</v>
      </c>
      <c r="F582" s="266" t="s">
        <v>286</v>
      </c>
      <c r="G582" s="282" t="s">
        <v>285</v>
      </c>
      <c r="H582" s="282">
        <v>37256</v>
      </c>
      <c r="I582" s="283"/>
      <c r="K582" s="276">
        <v>0.20399999999999999</v>
      </c>
      <c r="L582" s="276">
        <v>1.35E-2</v>
      </c>
      <c r="M582" s="284" t="s">
        <v>287</v>
      </c>
      <c r="N582" s="242">
        <f>N568*$L582</f>
        <v>6026.4</v>
      </c>
      <c r="O582" s="242">
        <f t="shared" ref="O582:Y582" si="354">O568*$L582</f>
        <v>8225.2800000000007</v>
      </c>
      <c r="P582" s="242">
        <f t="shared" si="354"/>
        <v>8169.12</v>
      </c>
      <c r="Q582" s="242">
        <f t="shared" si="354"/>
        <v>7257.6</v>
      </c>
      <c r="R582" s="242">
        <f t="shared" si="354"/>
        <v>7365.6</v>
      </c>
      <c r="S582" s="242">
        <f t="shared" si="354"/>
        <v>8812.7999999999993</v>
      </c>
      <c r="T582" s="242">
        <f t="shared" si="354"/>
        <v>10579.68</v>
      </c>
      <c r="U582" s="242">
        <f t="shared" si="354"/>
        <v>8905.68</v>
      </c>
      <c r="V582" s="242">
        <f t="shared" si="354"/>
        <v>10432.799999999999</v>
      </c>
      <c r="W582" s="242">
        <f t="shared" si="354"/>
        <v>5758.5599999999995</v>
      </c>
      <c r="X582" s="242">
        <f t="shared" si="354"/>
        <v>8294.4</v>
      </c>
      <c r="Y582" s="242">
        <f t="shared" si="354"/>
        <v>8570.8799999999992</v>
      </c>
      <c r="AF582" s="375">
        <f>SUM(N582:Y582)</f>
        <v>98398.8</v>
      </c>
    </row>
    <row r="584" spans="1:32" ht="12.75" customHeight="1" x14ac:dyDescent="0.15">
      <c r="N584" s="245"/>
      <c r="O584" s="245"/>
      <c r="P584" s="245"/>
      <c r="Q584" s="245"/>
      <c r="R584" s="245"/>
      <c r="S584" s="245"/>
      <c r="T584" s="245"/>
      <c r="U584" s="245"/>
      <c r="V584" s="245"/>
      <c r="W584" s="245"/>
      <c r="X584" s="245"/>
      <c r="Y584" s="245"/>
    </row>
    <row r="585" spans="1:32" ht="12.75" customHeight="1" x14ac:dyDescent="0.15">
      <c r="N585" s="242">
        <f>SUM(N581:N584)</f>
        <v>7901.28</v>
      </c>
      <c r="O585" s="242">
        <f t="shared" ref="O585:Y585" si="355">SUM(O581:O584)</f>
        <v>10784.256000000001</v>
      </c>
      <c r="P585" s="242">
        <f t="shared" si="355"/>
        <v>10710.624</v>
      </c>
      <c r="Q585" s="242">
        <f t="shared" si="355"/>
        <v>9515.52</v>
      </c>
      <c r="R585" s="242">
        <f t="shared" si="355"/>
        <v>9657.1200000000008</v>
      </c>
      <c r="S585" s="242">
        <f t="shared" si="355"/>
        <v>11554.56</v>
      </c>
      <c r="T585" s="242">
        <f t="shared" si="355"/>
        <v>13871.136</v>
      </c>
      <c r="U585" s="242">
        <f t="shared" si="355"/>
        <v>11676.335999999999</v>
      </c>
      <c r="V585" s="242">
        <f t="shared" si="355"/>
        <v>13678.56</v>
      </c>
      <c r="W585" s="242">
        <f t="shared" si="355"/>
        <v>7550.1119999999992</v>
      </c>
      <c r="X585" s="242">
        <f t="shared" si="355"/>
        <v>10874.88</v>
      </c>
      <c r="Y585" s="242">
        <f t="shared" si="355"/>
        <v>11237.375999999998</v>
      </c>
      <c r="Z585" s="375">
        <f>SUM(N585:Y585)</f>
        <v>129011.76</v>
      </c>
      <c r="AE585" s="375">
        <f>Z585</f>
        <v>129011.76</v>
      </c>
    </row>
    <row r="587" spans="1:32" ht="12.75" customHeight="1" x14ac:dyDescent="0.2">
      <c r="A587" s="239" t="s">
        <v>163</v>
      </c>
      <c r="B587" s="239" t="s">
        <v>284</v>
      </c>
      <c r="C587" s="239" t="s">
        <v>294</v>
      </c>
      <c r="E587" s="281">
        <v>24568</v>
      </c>
      <c r="F587" s="266" t="s">
        <v>286</v>
      </c>
      <c r="G587" s="282" t="s">
        <v>285</v>
      </c>
      <c r="H587" s="282">
        <v>37256</v>
      </c>
      <c r="I587" s="283">
        <v>32000</v>
      </c>
      <c r="K587" s="251">
        <v>2E-3</v>
      </c>
      <c r="N587" s="242">
        <f>N561*$K587</f>
        <v>1984</v>
      </c>
      <c r="O587" s="242">
        <f t="shared" ref="O587:Y587" si="356">O561*$K587</f>
        <v>1792</v>
      </c>
      <c r="P587" s="242">
        <f t="shared" si="356"/>
        <v>1984</v>
      </c>
      <c r="Q587" s="242">
        <f t="shared" si="356"/>
        <v>1920</v>
      </c>
      <c r="R587" s="242">
        <f t="shared" si="356"/>
        <v>1984</v>
      </c>
      <c r="S587" s="242">
        <f t="shared" si="356"/>
        <v>1920</v>
      </c>
      <c r="T587" s="242">
        <f t="shared" si="356"/>
        <v>1984</v>
      </c>
      <c r="U587" s="242">
        <f t="shared" si="356"/>
        <v>1984</v>
      </c>
      <c r="V587" s="242">
        <f t="shared" si="356"/>
        <v>1920</v>
      </c>
      <c r="W587" s="242">
        <f t="shared" si="356"/>
        <v>1984</v>
      </c>
      <c r="X587" s="242">
        <f t="shared" si="356"/>
        <v>1920</v>
      </c>
      <c r="Y587" s="242">
        <f t="shared" si="356"/>
        <v>1984</v>
      </c>
      <c r="AA587" s="242"/>
    </row>
    <row r="588" spans="1:32" ht="12.75" customHeight="1" x14ac:dyDescent="0.2">
      <c r="A588" s="239" t="s">
        <v>163</v>
      </c>
      <c r="B588" s="239" t="s">
        <v>284</v>
      </c>
      <c r="C588" s="239" t="s">
        <v>294</v>
      </c>
      <c r="E588" s="243">
        <v>24654</v>
      </c>
      <c r="F588" s="267" t="s">
        <v>264</v>
      </c>
      <c r="G588" s="279" t="s">
        <v>285</v>
      </c>
      <c r="H588" s="279">
        <v>37256</v>
      </c>
      <c r="I588" s="280">
        <v>8000</v>
      </c>
      <c r="K588" s="251">
        <v>2E-3</v>
      </c>
      <c r="N588" s="242">
        <f>N560*$K588</f>
        <v>496</v>
      </c>
      <c r="O588" s="242">
        <f t="shared" ref="O588:Y588" si="357">O560*$K588</f>
        <v>448</v>
      </c>
      <c r="P588" s="242">
        <f t="shared" si="357"/>
        <v>496</v>
      </c>
      <c r="Q588" s="242">
        <f t="shared" si="357"/>
        <v>480</v>
      </c>
      <c r="R588" s="242">
        <f t="shared" si="357"/>
        <v>496</v>
      </c>
      <c r="S588" s="242">
        <f t="shared" si="357"/>
        <v>480</v>
      </c>
      <c r="T588" s="242">
        <f t="shared" si="357"/>
        <v>496</v>
      </c>
      <c r="U588" s="242">
        <f t="shared" si="357"/>
        <v>496</v>
      </c>
      <c r="V588" s="242">
        <f t="shared" si="357"/>
        <v>480</v>
      </c>
      <c r="W588" s="242">
        <f t="shared" si="357"/>
        <v>496</v>
      </c>
      <c r="X588" s="242">
        <f t="shared" si="357"/>
        <v>480</v>
      </c>
      <c r="Y588" s="242">
        <f t="shared" si="357"/>
        <v>496</v>
      </c>
      <c r="AA588" s="242"/>
    </row>
    <row r="589" spans="1:32" ht="12.75" customHeight="1" x14ac:dyDescent="0.15">
      <c r="N589" s="245"/>
      <c r="O589" s="245"/>
      <c r="P589" s="245"/>
      <c r="Q589" s="245"/>
      <c r="R589" s="245"/>
      <c r="S589" s="245"/>
      <c r="T589" s="245"/>
      <c r="U589" s="245"/>
      <c r="V589" s="245"/>
      <c r="W589" s="245"/>
      <c r="X589" s="245"/>
      <c r="Y589" s="245"/>
      <c r="AA589" s="449"/>
    </row>
    <row r="590" spans="1:32" ht="12.75" customHeight="1" x14ac:dyDescent="0.15">
      <c r="N590" s="242">
        <f>SUM(N587:N589)</f>
        <v>2480</v>
      </c>
      <c r="O590" s="242">
        <f t="shared" ref="O590:Y590" si="358">SUM(O587:O589)</f>
        <v>2240</v>
      </c>
      <c r="P590" s="242">
        <f t="shared" si="358"/>
        <v>2480</v>
      </c>
      <c r="Q590" s="242">
        <f t="shared" si="358"/>
        <v>2400</v>
      </c>
      <c r="R590" s="242">
        <f t="shared" si="358"/>
        <v>2480</v>
      </c>
      <c r="S590" s="242">
        <f t="shared" si="358"/>
        <v>2400</v>
      </c>
      <c r="T590" s="242">
        <f t="shared" si="358"/>
        <v>2480</v>
      </c>
      <c r="U590" s="242">
        <f t="shared" si="358"/>
        <v>2480</v>
      </c>
      <c r="V590" s="242">
        <f t="shared" si="358"/>
        <v>2400</v>
      </c>
      <c r="W590" s="242">
        <f t="shared" si="358"/>
        <v>2480</v>
      </c>
      <c r="X590" s="242">
        <f t="shared" si="358"/>
        <v>2400</v>
      </c>
      <c r="Y590" s="242">
        <f t="shared" si="358"/>
        <v>2480</v>
      </c>
      <c r="Z590" s="375">
        <f>SUM(N590:Y590)</f>
        <v>29200</v>
      </c>
      <c r="AA590" s="375">
        <v>58400</v>
      </c>
      <c r="AB590" s="375">
        <f>AA590-Z590</f>
        <v>29200</v>
      </c>
    </row>
    <row r="591" spans="1:32" s="247" customFormat="1" ht="12.75" customHeight="1" x14ac:dyDescent="0.15">
      <c r="E591" s="248"/>
      <c r="H591" s="248"/>
      <c r="I591" s="249"/>
      <c r="K591" s="252"/>
      <c r="M591" s="250"/>
      <c r="N591" s="249"/>
      <c r="O591" s="249"/>
      <c r="P591" s="249"/>
      <c r="Q591" s="249"/>
      <c r="R591" s="249"/>
      <c r="S591" s="249"/>
      <c r="T591" s="249"/>
      <c r="U591" s="249"/>
      <c r="V591" s="249"/>
      <c r="W591" s="249"/>
      <c r="X591" s="249"/>
      <c r="Y591" s="249"/>
    </row>
    <row r="594" spans="1:25" ht="12.75" customHeight="1" x14ac:dyDescent="0.2">
      <c r="A594" s="239" t="s">
        <v>163</v>
      </c>
      <c r="B594" s="239" t="s">
        <v>288</v>
      </c>
      <c r="C594" s="239" t="s">
        <v>228</v>
      </c>
      <c r="D594" s="239" t="s">
        <v>220</v>
      </c>
      <c r="E594" s="278">
        <v>24809</v>
      </c>
      <c r="F594" s="278" t="s">
        <v>289</v>
      </c>
      <c r="G594" s="279" t="s">
        <v>290</v>
      </c>
      <c r="H594" s="282">
        <v>37225</v>
      </c>
      <c r="I594" s="280">
        <v>20000</v>
      </c>
      <c r="J594" s="285"/>
      <c r="K594" s="265"/>
      <c r="L594" s="265"/>
      <c r="M594" s="287" t="s">
        <v>292</v>
      </c>
      <c r="N594" s="242">
        <f t="shared" ref="N594:X594" si="359">$I$594*N$1</f>
        <v>620000</v>
      </c>
      <c r="O594" s="242">
        <f t="shared" si="359"/>
        <v>560000</v>
      </c>
      <c r="P594" s="242">
        <f t="shared" si="359"/>
        <v>620000</v>
      </c>
      <c r="Q594" s="242">
        <f t="shared" si="359"/>
        <v>600000</v>
      </c>
      <c r="R594" s="242">
        <f t="shared" si="359"/>
        <v>620000</v>
      </c>
      <c r="S594" s="242">
        <f t="shared" si="359"/>
        <v>600000</v>
      </c>
      <c r="T594" s="242">
        <f t="shared" si="359"/>
        <v>620000</v>
      </c>
      <c r="U594" s="242">
        <f t="shared" si="359"/>
        <v>620000</v>
      </c>
      <c r="V594" s="242">
        <f t="shared" si="359"/>
        <v>600000</v>
      </c>
      <c r="W594" s="242">
        <f t="shared" si="359"/>
        <v>620000</v>
      </c>
      <c r="X594" s="242">
        <f t="shared" si="359"/>
        <v>600000</v>
      </c>
    </row>
    <row r="595" spans="1:25" ht="12.75" customHeight="1" x14ac:dyDescent="0.2">
      <c r="A595" s="239" t="s">
        <v>163</v>
      </c>
      <c r="B595" s="239" t="s">
        <v>288</v>
      </c>
      <c r="C595" s="239" t="s">
        <v>228</v>
      </c>
      <c r="D595" s="239" t="s">
        <v>220</v>
      </c>
      <c r="E595" s="278">
        <v>25025</v>
      </c>
      <c r="F595" s="278" t="s">
        <v>279</v>
      </c>
      <c r="G595" s="279" t="s">
        <v>291</v>
      </c>
      <c r="H595" s="279">
        <v>39051</v>
      </c>
      <c r="I595" s="280">
        <v>80000</v>
      </c>
      <c r="J595" s="286"/>
      <c r="K595" s="265"/>
      <c r="L595" s="265"/>
      <c r="M595" s="284" t="s">
        <v>226</v>
      </c>
      <c r="N595" s="242">
        <f t="shared" ref="N595:Y595" si="360">$I$595*N$1</f>
        <v>2480000</v>
      </c>
      <c r="O595" s="242">
        <f t="shared" si="360"/>
        <v>2240000</v>
      </c>
      <c r="P595" s="242">
        <f t="shared" si="360"/>
        <v>2480000</v>
      </c>
      <c r="Q595" s="242">
        <f t="shared" si="360"/>
        <v>2400000</v>
      </c>
      <c r="R595" s="242">
        <f t="shared" si="360"/>
        <v>2480000</v>
      </c>
      <c r="S595" s="242">
        <f t="shared" si="360"/>
        <v>2400000</v>
      </c>
      <c r="T595" s="242">
        <f t="shared" si="360"/>
        <v>2480000</v>
      </c>
      <c r="U595" s="242">
        <f t="shared" si="360"/>
        <v>2480000</v>
      </c>
      <c r="V595" s="242">
        <f t="shared" si="360"/>
        <v>2400000</v>
      </c>
      <c r="W595" s="242">
        <f t="shared" si="360"/>
        <v>2480000</v>
      </c>
      <c r="X595" s="242">
        <f t="shared" si="360"/>
        <v>2400000</v>
      </c>
      <c r="Y595" s="242">
        <f t="shared" si="360"/>
        <v>2480000</v>
      </c>
    </row>
    <row r="597" spans="1:25" ht="12.75" customHeight="1" x14ac:dyDescent="0.15">
      <c r="I597" s="245"/>
      <c r="N597" s="245"/>
      <c r="O597" s="245"/>
      <c r="P597" s="245"/>
      <c r="Q597" s="245"/>
      <c r="R597" s="245"/>
      <c r="S597" s="245"/>
      <c r="T597" s="245"/>
      <c r="U597" s="245"/>
      <c r="V597" s="245"/>
      <c r="W597" s="245"/>
      <c r="X597" s="245"/>
      <c r="Y597" s="245"/>
    </row>
    <row r="598" spans="1:25" ht="12.75" customHeight="1" x14ac:dyDescent="0.15">
      <c r="I598" s="242">
        <f>SUM(I594:I597)</f>
        <v>100000</v>
      </c>
      <c r="N598" s="242">
        <f>SUM(N594:N597)</f>
        <v>3100000</v>
      </c>
      <c r="O598" s="242">
        <f t="shared" ref="O598:Y598" si="361">SUM(O594:O597)</f>
        <v>2800000</v>
      </c>
      <c r="P598" s="242">
        <f t="shared" si="361"/>
        <v>3100000</v>
      </c>
      <c r="Q598" s="242">
        <f t="shared" si="361"/>
        <v>3000000</v>
      </c>
      <c r="R598" s="242">
        <f t="shared" si="361"/>
        <v>3100000</v>
      </c>
      <c r="S598" s="242">
        <f t="shared" si="361"/>
        <v>3000000</v>
      </c>
      <c r="T598" s="242">
        <f t="shared" si="361"/>
        <v>3100000</v>
      </c>
      <c r="U598" s="242">
        <f t="shared" si="361"/>
        <v>3100000</v>
      </c>
      <c r="V598" s="242">
        <f t="shared" si="361"/>
        <v>3000000</v>
      </c>
      <c r="W598" s="242">
        <f t="shared" si="361"/>
        <v>3100000</v>
      </c>
      <c r="X598" s="242">
        <f t="shared" si="361"/>
        <v>3000000</v>
      </c>
      <c r="Y598" s="242">
        <f t="shared" si="361"/>
        <v>2480000</v>
      </c>
    </row>
    <row r="599" spans="1:25" ht="12.75" customHeight="1" x14ac:dyDescent="0.15">
      <c r="A599" s="424" t="s">
        <v>354</v>
      </c>
      <c r="B599" s="425"/>
      <c r="C599" s="425"/>
      <c r="D599" s="425"/>
      <c r="E599" s="426"/>
      <c r="F599" s="425"/>
      <c r="G599" s="425"/>
      <c r="H599" s="426"/>
      <c r="I599" s="427"/>
      <c r="J599" s="425"/>
      <c r="K599" s="428"/>
      <c r="L599" s="425"/>
      <c r="M599" s="429"/>
      <c r="N599" s="430">
        <v>0.97</v>
      </c>
      <c r="O599" s="430">
        <v>0.98</v>
      </c>
      <c r="P599" s="430">
        <v>0.95</v>
      </c>
      <c r="Q599" s="430">
        <v>0.97499999999999998</v>
      </c>
      <c r="R599" s="430">
        <v>0.98199999999999998</v>
      </c>
      <c r="S599" s="430">
        <v>0.95499999999999996</v>
      </c>
      <c r="T599" s="430">
        <v>0.95399999999999996</v>
      </c>
      <c r="U599" s="430">
        <v>0.92500000000000004</v>
      </c>
      <c r="V599" s="430">
        <v>0.98</v>
      </c>
      <c r="W599" s="430">
        <v>0.95</v>
      </c>
      <c r="X599" s="430">
        <v>0.95</v>
      </c>
      <c r="Y599" s="432">
        <v>0.94</v>
      </c>
    </row>
    <row r="600" spans="1:25" ht="12.75" customHeight="1" x14ac:dyDescent="0.2">
      <c r="A600" s="239" t="s">
        <v>163</v>
      </c>
      <c r="B600" s="239" t="s">
        <v>288</v>
      </c>
      <c r="C600" s="239" t="s">
        <v>228</v>
      </c>
      <c r="D600" s="239" t="s">
        <v>223</v>
      </c>
      <c r="E600" s="278">
        <v>24809</v>
      </c>
      <c r="F600" s="278" t="s">
        <v>289</v>
      </c>
      <c r="G600" s="279" t="s">
        <v>290</v>
      </c>
      <c r="H600" s="282">
        <v>37225</v>
      </c>
      <c r="I600" s="280">
        <v>20000</v>
      </c>
      <c r="J600" s="285"/>
      <c r="K600" s="265"/>
      <c r="L600" s="265"/>
      <c r="M600" s="287" t="s">
        <v>292</v>
      </c>
      <c r="N600" s="242">
        <f>N594*N$599</f>
        <v>601400</v>
      </c>
      <c r="O600" s="242">
        <f t="shared" ref="O600:Y600" si="362">O594*O$599</f>
        <v>548800</v>
      </c>
      <c r="P600" s="242">
        <f t="shared" si="362"/>
        <v>589000</v>
      </c>
      <c r="Q600" s="242">
        <f t="shared" si="362"/>
        <v>585000</v>
      </c>
      <c r="R600" s="242">
        <f t="shared" si="362"/>
        <v>608840</v>
      </c>
      <c r="S600" s="242">
        <f t="shared" si="362"/>
        <v>573000</v>
      </c>
      <c r="T600" s="242">
        <f t="shared" si="362"/>
        <v>591480</v>
      </c>
      <c r="U600" s="242">
        <f t="shared" si="362"/>
        <v>573500</v>
      </c>
      <c r="V600" s="242">
        <f t="shared" si="362"/>
        <v>588000</v>
      </c>
      <c r="W600" s="242">
        <f t="shared" si="362"/>
        <v>589000</v>
      </c>
      <c r="X600" s="242">
        <f t="shared" si="362"/>
        <v>570000</v>
      </c>
      <c r="Y600" s="242">
        <f t="shared" si="362"/>
        <v>0</v>
      </c>
    </row>
    <row r="601" spans="1:25" ht="12.75" customHeight="1" x14ac:dyDescent="0.2">
      <c r="A601" s="239" t="s">
        <v>163</v>
      </c>
      <c r="B601" s="239" t="s">
        <v>288</v>
      </c>
      <c r="C601" s="239" t="s">
        <v>228</v>
      </c>
      <c r="D601" s="239" t="s">
        <v>223</v>
      </c>
      <c r="E601" s="278">
        <v>25025</v>
      </c>
      <c r="F601" s="278" t="s">
        <v>279</v>
      </c>
      <c r="G601" s="279" t="s">
        <v>291</v>
      </c>
      <c r="H601" s="279">
        <v>39051</v>
      </c>
      <c r="I601" s="280">
        <v>80000</v>
      </c>
      <c r="J601" s="286"/>
      <c r="K601" s="265"/>
      <c r="L601" s="265"/>
      <c r="M601" s="284" t="s">
        <v>226</v>
      </c>
      <c r="N601" s="242">
        <f>N595*N$599</f>
        <v>2405600</v>
      </c>
      <c r="O601" s="242">
        <f t="shared" ref="O601:Y601" si="363">O595*O$599</f>
        <v>2195200</v>
      </c>
      <c r="P601" s="242">
        <f t="shared" si="363"/>
        <v>2356000</v>
      </c>
      <c r="Q601" s="242">
        <f t="shared" si="363"/>
        <v>2340000</v>
      </c>
      <c r="R601" s="242">
        <f t="shared" si="363"/>
        <v>2435360</v>
      </c>
      <c r="S601" s="242">
        <f t="shared" si="363"/>
        <v>2292000</v>
      </c>
      <c r="T601" s="242">
        <f t="shared" si="363"/>
        <v>2365920</v>
      </c>
      <c r="U601" s="242">
        <f t="shared" si="363"/>
        <v>2294000</v>
      </c>
      <c r="V601" s="242">
        <f t="shared" si="363"/>
        <v>2352000</v>
      </c>
      <c r="W601" s="242">
        <f t="shared" si="363"/>
        <v>2356000</v>
      </c>
      <c r="X601" s="242">
        <f t="shared" si="363"/>
        <v>2280000</v>
      </c>
      <c r="Y601" s="242">
        <f t="shared" si="363"/>
        <v>2331200</v>
      </c>
    </row>
    <row r="603" spans="1:25" ht="12.75" customHeight="1" x14ac:dyDescent="0.15">
      <c r="I603" s="245"/>
      <c r="N603" s="245"/>
      <c r="O603" s="245"/>
      <c r="P603" s="245"/>
      <c r="Q603" s="245"/>
      <c r="R603" s="245"/>
      <c r="S603" s="245"/>
      <c r="T603" s="245"/>
      <c r="U603" s="245"/>
      <c r="V603" s="245"/>
      <c r="W603" s="245"/>
      <c r="X603" s="245"/>
      <c r="Y603" s="245"/>
    </row>
    <row r="604" spans="1:25" ht="12.75" customHeight="1" x14ac:dyDescent="0.15">
      <c r="I604" s="242">
        <f>SUM(I600:I603)</f>
        <v>100000</v>
      </c>
      <c r="N604" s="242">
        <f>SUM(N600:N603)</f>
        <v>3007000</v>
      </c>
      <c r="O604" s="242">
        <f t="shared" ref="O604:Y604" si="364">SUM(O600:O603)</f>
        <v>2744000</v>
      </c>
      <c r="P604" s="242">
        <f t="shared" si="364"/>
        <v>2945000</v>
      </c>
      <c r="Q604" s="242">
        <f t="shared" si="364"/>
        <v>2925000</v>
      </c>
      <c r="R604" s="242">
        <f t="shared" si="364"/>
        <v>3044200</v>
      </c>
      <c r="S604" s="242">
        <f t="shared" si="364"/>
        <v>2865000</v>
      </c>
      <c r="T604" s="242">
        <f t="shared" si="364"/>
        <v>2957400</v>
      </c>
      <c r="U604" s="242">
        <f t="shared" si="364"/>
        <v>2867500</v>
      </c>
      <c r="V604" s="242">
        <f t="shared" si="364"/>
        <v>2940000</v>
      </c>
      <c r="W604" s="242">
        <f t="shared" si="364"/>
        <v>2945000</v>
      </c>
      <c r="X604" s="242">
        <f t="shared" si="364"/>
        <v>2850000</v>
      </c>
      <c r="Y604" s="242">
        <f t="shared" si="364"/>
        <v>2331200</v>
      </c>
    </row>
    <row r="606" spans="1:25" ht="12.75" customHeight="1" x14ac:dyDescent="0.2">
      <c r="A606" s="239" t="s">
        <v>163</v>
      </c>
      <c r="B606" s="239" t="s">
        <v>288</v>
      </c>
      <c r="C606" s="239" t="s">
        <v>229</v>
      </c>
      <c r="D606" s="239" t="s">
        <v>220</v>
      </c>
      <c r="E606" s="278">
        <v>24809</v>
      </c>
      <c r="F606" s="278" t="s">
        <v>289</v>
      </c>
      <c r="G606" s="279" t="s">
        <v>290</v>
      </c>
      <c r="H606" s="282">
        <v>37225</v>
      </c>
      <c r="I606" s="280"/>
      <c r="J606" s="285"/>
      <c r="K606" s="265">
        <f>0.2106-0.0066+0.003</f>
        <v>0.20700000000000002</v>
      </c>
      <c r="L606" s="265">
        <v>1.9199999999999998E-2</v>
      </c>
      <c r="M606" s="287" t="s">
        <v>292</v>
      </c>
      <c r="N606" s="242">
        <f>N594*$K606</f>
        <v>128340.00000000001</v>
      </c>
      <c r="O606" s="242">
        <f t="shared" ref="O606:Y606" si="365">O594*$K606</f>
        <v>115920.00000000001</v>
      </c>
      <c r="P606" s="242">
        <f t="shared" si="365"/>
        <v>128340.00000000001</v>
      </c>
      <c r="Q606" s="242">
        <f t="shared" si="365"/>
        <v>124200.00000000001</v>
      </c>
      <c r="R606" s="242">
        <f t="shared" si="365"/>
        <v>128340.00000000001</v>
      </c>
      <c r="S606" s="242">
        <f t="shared" si="365"/>
        <v>124200.00000000001</v>
      </c>
      <c r="T606" s="242">
        <f t="shared" si="365"/>
        <v>128340.00000000001</v>
      </c>
      <c r="U606" s="242">
        <f t="shared" si="365"/>
        <v>128340.00000000001</v>
      </c>
      <c r="V606" s="242">
        <f t="shared" si="365"/>
        <v>124200.00000000001</v>
      </c>
      <c r="W606" s="242">
        <f t="shared" si="365"/>
        <v>128340.00000000001</v>
      </c>
      <c r="X606" s="242">
        <f t="shared" si="365"/>
        <v>124200.00000000001</v>
      </c>
      <c r="Y606" s="242">
        <f t="shared" si="365"/>
        <v>0</v>
      </c>
    </row>
    <row r="607" spans="1:25" ht="12.75" customHeight="1" x14ac:dyDescent="0.2">
      <c r="A607" s="239" t="s">
        <v>163</v>
      </c>
      <c r="B607" s="239" t="s">
        <v>288</v>
      </c>
      <c r="C607" s="239" t="s">
        <v>229</v>
      </c>
      <c r="D607" s="239" t="s">
        <v>220</v>
      </c>
      <c r="E607" s="278">
        <v>25025</v>
      </c>
      <c r="F607" s="278" t="s">
        <v>279</v>
      </c>
      <c r="G607" s="279" t="s">
        <v>291</v>
      </c>
      <c r="H607" s="279">
        <v>39051</v>
      </c>
      <c r="I607" s="280"/>
      <c r="J607" s="286"/>
      <c r="K607" s="265">
        <v>0.1346</v>
      </c>
      <c r="L607" s="265">
        <v>1.04E-2</v>
      </c>
      <c r="M607" s="284" t="s">
        <v>226</v>
      </c>
      <c r="N607" s="242">
        <f>N595*($K607+$L607)-N613</f>
        <v>334581.76000000001</v>
      </c>
      <c r="O607" s="242">
        <f t="shared" ref="O607:Y607" si="366">O595*($K607+$L607)-O613</f>
        <v>301969.91999999998</v>
      </c>
      <c r="P607" s="242">
        <f t="shared" si="366"/>
        <v>335097.59999999998</v>
      </c>
      <c r="Q607" s="242">
        <f t="shared" si="366"/>
        <v>323664</v>
      </c>
      <c r="R607" s="242">
        <f t="shared" si="366"/>
        <v>334272.25599999999</v>
      </c>
      <c r="S607" s="242">
        <f t="shared" si="366"/>
        <v>324163.20000000001</v>
      </c>
      <c r="T607" s="242">
        <f t="shared" si="366"/>
        <v>334994.43200000003</v>
      </c>
      <c r="U607" s="242">
        <f t="shared" si="366"/>
        <v>335742.4</v>
      </c>
      <c r="V607" s="242">
        <f t="shared" si="366"/>
        <v>323539.20000000001</v>
      </c>
      <c r="W607" s="242">
        <f t="shared" si="366"/>
        <v>335097.59999999998</v>
      </c>
      <c r="X607" s="242">
        <f t="shared" si="366"/>
        <v>324288</v>
      </c>
      <c r="Y607" s="242">
        <f t="shared" si="366"/>
        <v>335355.52000000002</v>
      </c>
    </row>
    <row r="609" spans="1:32" ht="12.75" customHeight="1" x14ac:dyDescent="0.15">
      <c r="I609" s="245"/>
      <c r="N609" s="245"/>
      <c r="O609" s="245"/>
      <c r="P609" s="245"/>
      <c r="Q609" s="245"/>
      <c r="R609" s="245"/>
      <c r="S609" s="245"/>
      <c r="T609" s="245"/>
      <c r="U609" s="245"/>
      <c r="V609" s="245"/>
      <c r="W609" s="245"/>
      <c r="X609" s="245"/>
      <c r="Y609" s="245"/>
    </row>
    <row r="610" spans="1:32" ht="12.75" customHeight="1" x14ac:dyDescent="0.15">
      <c r="I610" s="242">
        <f>SUM(I606:I609)</f>
        <v>0</v>
      </c>
      <c r="N610" s="242">
        <f t="shared" ref="N610:Y610" si="367">SUM(N606:N609)</f>
        <v>462921.76</v>
      </c>
      <c r="O610" s="242">
        <f t="shared" si="367"/>
        <v>417889.92</v>
      </c>
      <c r="P610" s="242">
        <f t="shared" si="367"/>
        <v>463437.6</v>
      </c>
      <c r="Q610" s="242">
        <f t="shared" si="367"/>
        <v>447864</v>
      </c>
      <c r="R610" s="242">
        <f t="shared" si="367"/>
        <v>462612.25599999999</v>
      </c>
      <c r="S610" s="242">
        <f t="shared" si="367"/>
        <v>448363.2</v>
      </c>
      <c r="T610" s="242">
        <f t="shared" si="367"/>
        <v>463334.43200000003</v>
      </c>
      <c r="U610" s="242">
        <f t="shared" si="367"/>
        <v>464082.4</v>
      </c>
      <c r="V610" s="242">
        <f t="shared" si="367"/>
        <v>447739.2</v>
      </c>
      <c r="W610" s="242">
        <f t="shared" si="367"/>
        <v>463437.6</v>
      </c>
      <c r="X610" s="242">
        <f t="shared" si="367"/>
        <v>448488</v>
      </c>
      <c r="Y610" s="242">
        <f t="shared" si="367"/>
        <v>335355.52000000002</v>
      </c>
      <c r="Z610" s="375">
        <f>SUM(N610:Y610)</f>
        <v>5325525.8880000003</v>
      </c>
    </row>
    <row r="612" spans="1:32" ht="12.75" customHeight="1" x14ac:dyDescent="0.2">
      <c r="A612" s="239" t="s">
        <v>163</v>
      </c>
      <c r="B612" s="239" t="s">
        <v>288</v>
      </c>
      <c r="C612" s="239" t="s">
        <v>229</v>
      </c>
      <c r="D612" s="239" t="s">
        <v>223</v>
      </c>
      <c r="E612" s="278">
        <v>24809</v>
      </c>
      <c r="F612" s="278" t="s">
        <v>289</v>
      </c>
      <c r="G612" s="279" t="s">
        <v>290</v>
      </c>
      <c r="H612" s="282">
        <v>37225</v>
      </c>
      <c r="I612" s="280"/>
      <c r="J612" s="285"/>
      <c r="K612" s="265">
        <f>0.2106-0.0066+0.003</f>
        <v>0.20700000000000002</v>
      </c>
      <c r="L612" s="265">
        <v>1.9199999999999998E-2</v>
      </c>
      <c r="M612" s="287" t="s">
        <v>292</v>
      </c>
      <c r="N612" s="242">
        <f>N600*$L612</f>
        <v>11546.88</v>
      </c>
      <c r="O612" s="242">
        <f t="shared" ref="O612:Y612" si="368">O600*$L612</f>
        <v>10536.96</v>
      </c>
      <c r="P612" s="242">
        <f t="shared" si="368"/>
        <v>11308.8</v>
      </c>
      <c r="Q612" s="242">
        <f t="shared" si="368"/>
        <v>11231.999999999998</v>
      </c>
      <c r="R612" s="242">
        <f t="shared" si="368"/>
        <v>11689.727999999999</v>
      </c>
      <c r="S612" s="242">
        <f t="shared" si="368"/>
        <v>11001.599999999999</v>
      </c>
      <c r="T612" s="242">
        <f t="shared" si="368"/>
        <v>11356.415999999999</v>
      </c>
      <c r="U612" s="242">
        <f t="shared" si="368"/>
        <v>11011.199999999999</v>
      </c>
      <c r="V612" s="242">
        <f t="shared" si="368"/>
        <v>11289.599999999999</v>
      </c>
      <c r="W612" s="242">
        <f t="shared" si="368"/>
        <v>11308.8</v>
      </c>
      <c r="X612" s="242">
        <f t="shared" si="368"/>
        <v>10943.999999999998</v>
      </c>
      <c r="Y612" s="242">
        <f t="shared" si="368"/>
        <v>0</v>
      </c>
    </row>
    <row r="613" spans="1:32" ht="12.75" customHeight="1" x14ac:dyDescent="0.2">
      <c r="A613" s="239" t="s">
        <v>163</v>
      </c>
      <c r="B613" s="239" t="s">
        <v>288</v>
      </c>
      <c r="C613" s="239" t="s">
        <v>229</v>
      </c>
      <c r="D613" s="239" t="s">
        <v>223</v>
      </c>
      <c r="E613" s="278">
        <v>25025</v>
      </c>
      <c r="F613" s="278" t="s">
        <v>279</v>
      </c>
      <c r="G613" s="279" t="s">
        <v>291</v>
      </c>
      <c r="H613" s="279">
        <v>39051</v>
      </c>
      <c r="I613" s="280"/>
      <c r="J613" s="286"/>
      <c r="K613" s="265">
        <v>0.1346</v>
      </c>
      <c r="L613" s="265">
        <v>1.04E-2</v>
      </c>
      <c r="M613" s="284" t="s">
        <v>226</v>
      </c>
      <c r="N613" s="242">
        <f>N601*$L613</f>
        <v>25018.239999999998</v>
      </c>
      <c r="O613" s="242">
        <f t="shared" ref="O613:Y613" si="369">O601*$L613</f>
        <v>22830.079999999998</v>
      </c>
      <c r="P613" s="242">
        <f t="shared" si="369"/>
        <v>24502.399999999998</v>
      </c>
      <c r="Q613" s="242">
        <f t="shared" si="369"/>
        <v>24336</v>
      </c>
      <c r="R613" s="242">
        <f t="shared" si="369"/>
        <v>25327.743999999999</v>
      </c>
      <c r="S613" s="242">
        <f t="shared" si="369"/>
        <v>23836.799999999999</v>
      </c>
      <c r="T613" s="242">
        <f t="shared" si="369"/>
        <v>24605.567999999999</v>
      </c>
      <c r="U613" s="242">
        <f t="shared" si="369"/>
        <v>23857.599999999999</v>
      </c>
      <c r="V613" s="242">
        <f t="shared" si="369"/>
        <v>24460.799999999999</v>
      </c>
      <c r="W613" s="242">
        <f t="shared" si="369"/>
        <v>24502.399999999998</v>
      </c>
      <c r="X613" s="242">
        <f t="shared" si="369"/>
        <v>23712</v>
      </c>
      <c r="Y613" s="242">
        <f t="shared" si="369"/>
        <v>24244.48</v>
      </c>
      <c r="AF613" s="375">
        <f>SUM(N613:Y613)</f>
        <v>291234.11199999996</v>
      </c>
    </row>
    <row r="615" spans="1:32" ht="12.75" customHeight="1" x14ac:dyDescent="0.15">
      <c r="I615" s="245"/>
      <c r="N615" s="245"/>
      <c r="O615" s="245"/>
      <c r="P615" s="245"/>
      <c r="Q615" s="245"/>
      <c r="R615" s="245"/>
      <c r="S615" s="245"/>
      <c r="T615" s="245"/>
      <c r="U615" s="245"/>
      <c r="V615" s="245"/>
      <c r="W615" s="245"/>
      <c r="X615" s="245"/>
      <c r="Y615" s="245"/>
    </row>
    <row r="616" spans="1:32" ht="12.75" customHeight="1" x14ac:dyDescent="0.15">
      <c r="I616" s="242">
        <f>SUM(I612:I615)</f>
        <v>0</v>
      </c>
      <c r="N616" s="242">
        <f>SUM(N612:N615)</f>
        <v>36565.119999999995</v>
      </c>
      <c r="O616" s="242">
        <f t="shared" ref="O616:Y616" si="370">SUM(O612:O615)</f>
        <v>33367.039999999994</v>
      </c>
      <c r="P616" s="242">
        <f t="shared" si="370"/>
        <v>35811.199999999997</v>
      </c>
      <c r="Q616" s="242">
        <f t="shared" si="370"/>
        <v>35568</v>
      </c>
      <c r="R616" s="242">
        <f t="shared" si="370"/>
        <v>37017.471999999994</v>
      </c>
      <c r="S616" s="242">
        <f t="shared" si="370"/>
        <v>34838.399999999994</v>
      </c>
      <c r="T616" s="242">
        <f t="shared" si="370"/>
        <v>35961.983999999997</v>
      </c>
      <c r="U616" s="242">
        <f t="shared" si="370"/>
        <v>34868.799999999996</v>
      </c>
      <c r="V616" s="242">
        <f t="shared" si="370"/>
        <v>35750.399999999994</v>
      </c>
      <c r="W616" s="242">
        <f t="shared" si="370"/>
        <v>35811.199999999997</v>
      </c>
      <c r="X616" s="242">
        <f t="shared" si="370"/>
        <v>34656</v>
      </c>
      <c r="Y616" s="242">
        <f t="shared" si="370"/>
        <v>24244.48</v>
      </c>
      <c r="Z616" s="375">
        <f>SUM(N616:Y616)</f>
        <v>414460.09599999996</v>
      </c>
      <c r="AE616" s="375">
        <f>Z616</f>
        <v>414460.09599999996</v>
      </c>
    </row>
    <row r="618" spans="1:32" ht="12.75" customHeight="1" x14ac:dyDescent="0.15">
      <c r="A618" s="239" t="s">
        <v>163</v>
      </c>
      <c r="B618" s="239" t="s">
        <v>288</v>
      </c>
      <c r="C618" s="239" t="s">
        <v>228</v>
      </c>
      <c r="D618" s="239" t="s">
        <v>362</v>
      </c>
      <c r="N618" s="242">
        <v>1900</v>
      </c>
      <c r="O618" s="242">
        <v>1800</v>
      </c>
      <c r="P618" s="242">
        <v>2500</v>
      </c>
      <c r="Q618" s="242">
        <v>8000</v>
      </c>
      <c r="R618" s="242">
        <v>7000</v>
      </c>
      <c r="S618" s="242">
        <v>20600</v>
      </c>
      <c r="T618" s="242">
        <v>1900</v>
      </c>
      <c r="U618" s="242">
        <v>1800</v>
      </c>
      <c r="V618" s="242">
        <v>2500</v>
      </c>
      <c r="W618" s="242">
        <v>8000</v>
      </c>
      <c r="X618" s="242">
        <v>7000</v>
      </c>
      <c r="Y618" s="242">
        <v>20600</v>
      </c>
    </row>
    <row r="619" spans="1:32" ht="12.75" customHeight="1" x14ac:dyDescent="0.15">
      <c r="C619" s="239" t="s">
        <v>157</v>
      </c>
      <c r="D619" s="239" t="s">
        <v>362</v>
      </c>
      <c r="N619" s="251">
        <v>0.23039999999999999</v>
      </c>
      <c r="O619" s="251">
        <v>4.9799999999999997E-2</v>
      </c>
      <c r="P619" s="251">
        <v>0.05</v>
      </c>
      <c r="Q619" s="251">
        <v>0.05</v>
      </c>
      <c r="R619" s="251">
        <v>5.16E-2</v>
      </c>
      <c r="S619" s="251">
        <v>5.33E-2</v>
      </c>
      <c r="T619" s="251">
        <v>0.05</v>
      </c>
      <c r="U619" s="251">
        <v>4.9799999999999997E-2</v>
      </c>
      <c r="V619" s="251">
        <v>0.05</v>
      </c>
      <c r="W619" s="251">
        <v>0.05</v>
      </c>
      <c r="X619" s="251">
        <v>5.16E-2</v>
      </c>
      <c r="Y619" s="251">
        <v>5.33E-2</v>
      </c>
    </row>
    <row r="620" spans="1:32" ht="12.75" customHeight="1" x14ac:dyDescent="0.15">
      <c r="C620" s="239" t="s">
        <v>229</v>
      </c>
      <c r="D620" s="239" t="s">
        <v>362</v>
      </c>
      <c r="N620" s="242">
        <f t="shared" ref="N620:Y620" si="371">N618*N619*N1</f>
        <v>13570.56</v>
      </c>
      <c r="O620" s="242">
        <f t="shared" si="371"/>
        <v>2509.92</v>
      </c>
      <c r="P620" s="242">
        <f t="shared" si="371"/>
        <v>3875</v>
      </c>
      <c r="Q620" s="242">
        <f t="shared" si="371"/>
        <v>12000</v>
      </c>
      <c r="R620" s="242">
        <f t="shared" si="371"/>
        <v>11197.199999999999</v>
      </c>
      <c r="S620" s="242">
        <f t="shared" si="371"/>
        <v>32939.4</v>
      </c>
      <c r="T620" s="242">
        <f t="shared" si="371"/>
        <v>2945</v>
      </c>
      <c r="U620" s="242">
        <f t="shared" si="371"/>
        <v>2778.84</v>
      </c>
      <c r="V620" s="242">
        <f t="shared" si="371"/>
        <v>3750</v>
      </c>
      <c r="W620" s="242">
        <f t="shared" si="371"/>
        <v>12400</v>
      </c>
      <c r="X620" s="242">
        <f t="shared" si="371"/>
        <v>10836</v>
      </c>
      <c r="Y620" s="242">
        <f t="shared" si="371"/>
        <v>34037.379999999997</v>
      </c>
      <c r="Z620" s="375">
        <f>SUM(N620:Y620)</f>
        <v>142839.29999999999</v>
      </c>
    </row>
    <row r="623" spans="1:32" ht="12.75" customHeight="1" x14ac:dyDescent="0.2">
      <c r="A623" s="239" t="s">
        <v>163</v>
      </c>
      <c r="B623" s="239" t="s">
        <v>288</v>
      </c>
      <c r="C623" s="239" t="s">
        <v>294</v>
      </c>
      <c r="E623" s="243">
        <v>24809</v>
      </c>
      <c r="F623" s="278" t="s">
        <v>289</v>
      </c>
      <c r="G623" s="279" t="s">
        <v>290</v>
      </c>
      <c r="H623" s="282">
        <v>37225</v>
      </c>
      <c r="I623" s="280">
        <v>20000</v>
      </c>
      <c r="K623" s="251">
        <v>3.0000000000000001E-3</v>
      </c>
      <c r="N623" s="242">
        <f>N594*$K623</f>
        <v>1860</v>
      </c>
      <c r="O623" s="242">
        <f t="shared" ref="O623:Y623" si="372">O594*$K623</f>
        <v>1680</v>
      </c>
      <c r="P623" s="242">
        <f t="shared" si="372"/>
        <v>1860</v>
      </c>
      <c r="Q623" s="242">
        <f t="shared" si="372"/>
        <v>1800</v>
      </c>
      <c r="R623" s="242">
        <f t="shared" si="372"/>
        <v>1860</v>
      </c>
      <c r="S623" s="242">
        <f t="shared" si="372"/>
        <v>1800</v>
      </c>
      <c r="T623" s="242">
        <f t="shared" si="372"/>
        <v>1860</v>
      </c>
      <c r="U623" s="242">
        <f t="shared" si="372"/>
        <v>1860</v>
      </c>
      <c r="V623" s="242">
        <f t="shared" si="372"/>
        <v>1800</v>
      </c>
      <c r="W623" s="242">
        <f t="shared" si="372"/>
        <v>1860</v>
      </c>
      <c r="X623" s="242">
        <f t="shared" si="372"/>
        <v>1800</v>
      </c>
      <c r="Y623" s="242">
        <f t="shared" si="372"/>
        <v>0</v>
      </c>
      <c r="Z623" s="375">
        <f>SUM(N623:Y623)</f>
        <v>20040</v>
      </c>
      <c r="AA623" s="242">
        <v>44088</v>
      </c>
      <c r="AB623" s="375">
        <f>AA623-Z623</f>
        <v>24048</v>
      </c>
    </row>
    <row r="628" spans="5:32" s="247" customFormat="1" ht="12.75" customHeight="1" x14ac:dyDescent="0.15">
      <c r="E628" s="248"/>
      <c r="H628" s="248"/>
      <c r="I628" s="249"/>
      <c r="K628" s="252"/>
      <c r="M628" s="250"/>
      <c r="N628" s="249"/>
      <c r="O628" s="249"/>
      <c r="P628" s="249"/>
      <c r="Q628" s="249"/>
      <c r="R628" s="249"/>
      <c r="S628" s="249"/>
      <c r="T628" s="249"/>
      <c r="U628" s="249"/>
      <c r="V628" s="249"/>
      <c r="W628" s="249"/>
      <c r="X628" s="249"/>
      <c r="Y628" s="249"/>
    </row>
    <row r="630" spans="5:32" ht="12.75" customHeight="1" x14ac:dyDescent="0.15">
      <c r="Z630" s="487">
        <f t="shared" ref="Z630:AF630" si="373">SUM(Z5:Z629)</f>
        <v>167067182.99759999</v>
      </c>
      <c r="AA630" s="487">
        <f t="shared" si="373"/>
        <v>1408744</v>
      </c>
      <c r="AB630" s="487">
        <f t="shared" si="373"/>
        <v>751624</v>
      </c>
      <c r="AC630" s="487">
        <f t="shared" si="373"/>
        <v>7951312.5000000019</v>
      </c>
      <c r="AD630" s="487">
        <f t="shared" si="373"/>
        <v>585645.37086999998</v>
      </c>
      <c r="AE630" s="487">
        <f t="shared" si="373"/>
        <v>11125307.598938601</v>
      </c>
      <c r="AF630" s="487">
        <f t="shared" si="373"/>
        <v>3559849.3244746001</v>
      </c>
    </row>
    <row r="631" spans="5:32" ht="12.75" customHeight="1" x14ac:dyDescent="0.15">
      <c r="Z631" s="375">
        <f>Z630-AA630+AB630-Z104-Z177</f>
        <v>156561040.59759998</v>
      </c>
    </row>
    <row r="632" spans="5:32" ht="12.75" customHeight="1" x14ac:dyDescent="0.15">
      <c r="AE632" s="375">
        <f>AE630-AD630</f>
        <v>10539662.228068601</v>
      </c>
    </row>
  </sheetData>
  <phoneticPr fontId="6" type="noConversion"/>
  <printOptions headings="1"/>
  <pageMargins left="0.25" right="0.25" top="0.5" bottom="0.5" header="0.25" footer="0.25"/>
  <pageSetup paperSize="5" scale="51" fitToHeight="12" orientation="landscape" r:id="rId1"/>
  <headerFooter alignWithMargins="0">
    <oddHeader xml:space="preserve">&amp;L&amp;10Transwestern Pipeline Company
2001 Forecast- Commercial&amp;7
</oddHeader>
    <oddFooter>&amp;L&amp;D
&amp;T&amp;C&amp;P&amp;R&amp;F&amp;A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341"/>
  <sheetViews>
    <sheetView topLeftCell="A312" workbookViewId="0">
      <selection activeCell="I41" sqref="I41"/>
    </sheetView>
  </sheetViews>
  <sheetFormatPr defaultRowHeight="12.75" x14ac:dyDescent="0.15"/>
  <cols>
    <col min="1" max="1" width="15.59765625" style="239" customWidth="1"/>
    <col min="2" max="2" width="0" style="239" hidden="1" customWidth="1"/>
    <col min="3" max="3" width="22.796875" style="239" customWidth="1"/>
    <col min="4" max="4" width="28.3984375" style="239" customWidth="1"/>
    <col min="5" max="5" width="17" style="239" hidden="1" customWidth="1"/>
    <col min="6" max="6" width="17" style="242" customWidth="1"/>
    <col min="7" max="7" width="17.19921875" style="239" customWidth="1"/>
    <col min="8" max="16384" width="9.59765625" style="239"/>
  </cols>
  <sheetData>
    <row r="2" spans="1:7" ht="25.5" x14ac:dyDescent="0.15">
      <c r="A2" s="289" t="s">
        <v>296</v>
      </c>
      <c r="B2" s="239" t="s">
        <v>297</v>
      </c>
      <c r="C2" s="239" t="s">
        <v>299</v>
      </c>
      <c r="D2" s="239" t="s">
        <v>298</v>
      </c>
      <c r="E2" s="239" t="s">
        <v>300</v>
      </c>
      <c r="F2" s="242" t="s">
        <v>310</v>
      </c>
      <c r="G2" s="239" t="s">
        <v>309</v>
      </c>
    </row>
    <row r="3" spans="1:7" x14ac:dyDescent="0.15">
      <c r="A3" s="240">
        <v>35431</v>
      </c>
      <c r="B3" s="239" t="s">
        <v>301</v>
      </c>
      <c r="C3" s="239" t="s">
        <v>302</v>
      </c>
      <c r="D3" s="239" t="s">
        <v>302</v>
      </c>
      <c r="E3" s="288">
        <v>1528263</v>
      </c>
      <c r="F3" s="242">
        <f>E3/31</f>
        <v>49298.806451612902</v>
      </c>
      <c r="G3" s="288">
        <v>87136.17</v>
      </c>
    </row>
    <row r="4" spans="1:7" x14ac:dyDescent="0.15">
      <c r="A4" s="240">
        <v>35462</v>
      </c>
      <c r="B4" s="239" t="s">
        <v>301</v>
      </c>
      <c r="C4" s="239" t="s">
        <v>302</v>
      </c>
      <c r="D4" s="239" t="s">
        <v>302</v>
      </c>
      <c r="E4" s="288">
        <v>1233398</v>
      </c>
      <c r="F4" s="242">
        <f>E4/28</f>
        <v>44049.928571428572</v>
      </c>
      <c r="G4" s="288">
        <v>72155.23</v>
      </c>
    </row>
    <row r="5" spans="1:7" x14ac:dyDescent="0.15">
      <c r="A5" s="240">
        <v>35490</v>
      </c>
      <c r="B5" s="239" t="s">
        <v>301</v>
      </c>
      <c r="C5" s="239" t="s">
        <v>302</v>
      </c>
      <c r="D5" s="239" t="s">
        <v>302</v>
      </c>
      <c r="E5" s="288">
        <v>794698</v>
      </c>
      <c r="F5" s="242">
        <f>(E5/31)-73</f>
        <v>25562.419354838708</v>
      </c>
      <c r="G5" s="288">
        <f>44463.77-270.38</f>
        <v>44193.39</v>
      </c>
    </row>
    <row r="6" spans="1:7" x14ac:dyDescent="0.15">
      <c r="A6" s="240">
        <v>35521</v>
      </c>
      <c r="B6" s="239" t="s">
        <v>301</v>
      </c>
      <c r="C6" s="239" t="s">
        <v>302</v>
      </c>
      <c r="D6" s="239" t="s">
        <v>302</v>
      </c>
      <c r="E6" s="288">
        <v>545886</v>
      </c>
      <c r="F6" s="242">
        <f>E6/30</f>
        <v>18196.2</v>
      </c>
      <c r="G6" s="288">
        <v>41114.089999999997</v>
      </c>
    </row>
    <row r="7" spans="1:7" x14ac:dyDescent="0.15">
      <c r="A7" s="240">
        <v>35551</v>
      </c>
      <c r="B7" s="239" t="s">
        <v>301</v>
      </c>
      <c r="C7" s="239" t="s">
        <v>302</v>
      </c>
      <c r="D7" s="239" t="s">
        <v>302</v>
      </c>
      <c r="E7" s="288">
        <v>808237</v>
      </c>
      <c r="F7" s="242">
        <f>E7/31</f>
        <v>26072.16129032258</v>
      </c>
      <c r="G7" s="288">
        <v>45080.49</v>
      </c>
    </row>
    <row r="8" spans="1:7" x14ac:dyDescent="0.15">
      <c r="A8" s="240">
        <v>35582</v>
      </c>
      <c r="B8" s="239" t="s">
        <v>301</v>
      </c>
      <c r="C8" s="239" t="s">
        <v>302</v>
      </c>
      <c r="D8" s="239" t="s">
        <v>302</v>
      </c>
      <c r="E8" s="288">
        <v>660986</v>
      </c>
      <c r="F8" s="242">
        <f>E8/30</f>
        <v>22032.866666666665</v>
      </c>
      <c r="G8" s="288">
        <v>41145.199999999997</v>
      </c>
    </row>
    <row r="9" spans="1:7" x14ac:dyDescent="0.15">
      <c r="A9" s="240">
        <v>35612</v>
      </c>
      <c r="B9" s="239" t="s">
        <v>301</v>
      </c>
      <c r="C9" s="239" t="s">
        <v>302</v>
      </c>
      <c r="D9" s="239" t="s">
        <v>302</v>
      </c>
      <c r="E9" s="288">
        <v>519243</v>
      </c>
      <c r="F9" s="242">
        <f>E9/31</f>
        <v>16749.774193548386</v>
      </c>
      <c r="G9" s="288">
        <v>34941.629999999997</v>
      </c>
    </row>
    <row r="10" spans="1:7" x14ac:dyDescent="0.15">
      <c r="A10" s="240">
        <v>35643</v>
      </c>
      <c r="B10" s="239" t="s">
        <v>301</v>
      </c>
      <c r="C10" s="239" t="s">
        <v>302</v>
      </c>
      <c r="D10" s="239" t="s">
        <v>302</v>
      </c>
      <c r="E10" s="288">
        <v>784475</v>
      </c>
      <c r="F10" s="242">
        <f>E10/31</f>
        <v>25305.645161290322</v>
      </c>
      <c r="G10" s="288">
        <f>47548.02-400</f>
        <v>47148.02</v>
      </c>
    </row>
    <row r="11" spans="1:7" x14ac:dyDescent="0.15">
      <c r="A11" s="240">
        <v>35674</v>
      </c>
      <c r="B11" s="239" t="s">
        <v>301</v>
      </c>
      <c r="C11" s="239" t="s">
        <v>302</v>
      </c>
      <c r="D11" s="239" t="s">
        <v>302</v>
      </c>
      <c r="E11" s="288">
        <v>501675</v>
      </c>
      <c r="F11" s="242">
        <f>E11/30</f>
        <v>16722.5</v>
      </c>
      <c r="G11" s="288">
        <v>30678.34</v>
      </c>
    </row>
    <row r="12" spans="1:7" x14ac:dyDescent="0.15">
      <c r="A12" s="240">
        <v>35704</v>
      </c>
      <c r="B12" s="239" t="s">
        <v>301</v>
      </c>
      <c r="C12" s="239" t="s">
        <v>302</v>
      </c>
      <c r="D12" s="239" t="s">
        <v>302</v>
      </c>
      <c r="E12" s="288">
        <v>1327475</v>
      </c>
      <c r="F12" s="242">
        <f>E12/31</f>
        <v>42821.774193548386</v>
      </c>
      <c r="G12" s="288">
        <v>75440.929999999993</v>
      </c>
    </row>
    <row r="13" spans="1:7" x14ac:dyDescent="0.15">
      <c r="A13" s="240">
        <v>35735</v>
      </c>
      <c r="B13" s="239" t="s">
        <v>301</v>
      </c>
      <c r="C13" s="239" t="s">
        <v>302</v>
      </c>
      <c r="D13" s="239" t="s">
        <v>302</v>
      </c>
      <c r="E13" s="288">
        <v>1803408</v>
      </c>
      <c r="F13" s="242">
        <f>(E13/30)-1254</f>
        <v>58859.6</v>
      </c>
      <c r="G13" s="288">
        <f>97274.55-349.87</f>
        <v>96924.680000000008</v>
      </c>
    </row>
    <row r="14" spans="1:7" x14ac:dyDescent="0.15">
      <c r="A14" s="240">
        <v>35765</v>
      </c>
      <c r="B14" s="239" t="s">
        <v>301</v>
      </c>
      <c r="C14" s="239" t="s">
        <v>302</v>
      </c>
      <c r="D14" s="239" t="s">
        <v>302</v>
      </c>
      <c r="E14" s="288">
        <v>1895055</v>
      </c>
      <c r="F14" s="242">
        <f>(E14/31)+1214</f>
        <v>62344.806451612902</v>
      </c>
      <c r="G14" s="288">
        <f>85420.34-3706.23</f>
        <v>81714.11</v>
      </c>
    </row>
    <row r="15" spans="1:7" x14ac:dyDescent="0.15">
      <c r="A15" s="240">
        <v>35796</v>
      </c>
      <c r="B15" s="239" t="s">
        <v>301</v>
      </c>
      <c r="C15" s="239" t="s">
        <v>302</v>
      </c>
      <c r="D15" s="239" t="s">
        <v>302</v>
      </c>
      <c r="E15" s="288">
        <v>1280243</v>
      </c>
      <c r="F15" s="242">
        <f>E15/31</f>
        <v>41298.161290322583</v>
      </c>
      <c r="G15" s="288">
        <v>70567.649999999994</v>
      </c>
    </row>
    <row r="16" spans="1:7" x14ac:dyDescent="0.15">
      <c r="A16" s="240">
        <v>35827</v>
      </c>
      <c r="B16" s="239" t="s">
        <v>301</v>
      </c>
      <c r="C16" s="239" t="s">
        <v>302</v>
      </c>
      <c r="D16" s="239" t="s">
        <v>302</v>
      </c>
      <c r="E16" s="288">
        <v>432272</v>
      </c>
      <c r="F16" s="242">
        <f>E16/28</f>
        <v>15438.285714285714</v>
      </c>
      <c r="G16" s="288">
        <v>20828.669999999998</v>
      </c>
    </row>
    <row r="17" spans="1:7" x14ac:dyDescent="0.15">
      <c r="A17" s="240">
        <v>35855</v>
      </c>
      <c r="B17" s="239" t="s">
        <v>301</v>
      </c>
      <c r="C17" s="239" t="s">
        <v>302</v>
      </c>
      <c r="D17" s="239" t="s">
        <v>302</v>
      </c>
      <c r="E17" s="288">
        <v>663007</v>
      </c>
      <c r="F17" s="242">
        <f>E17/31</f>
        <v>21387.322580645163</v>
      </c>
      <c r="G17" s="288">
        <v>33358.39</v>
      </c>
    </row>
    <row r="18" spans="1:7" x14ac:dyDescent="0.15">
      <c r="A18" s="240">
        <v>35886</v>
      </c>
      <c r="B18" s="239" t="s">
        <v>301</v>
      </c>
      <c r="C18" s="239" t="s">
        <v>302</v>
      </c>
      <c r="D18" s="239" t="s">
        <v>302</v>
      </c>
      <c r="E18" s="288">
        <v>653649</v>
      </c>
      <c r="F18" s="242">
        <f>E18/30</f>
        <v>21788.3</v>
      </c>
      <c r="G18" s="288">
        <v>30406.39</v>
      </c>
    </row>
    <row r="19" spans="1:7" x14ac:dyDescent="0.15">
      <c r="A19" s="240">
        <v>35916</v>
      </c>
      <c r="B19" s="239" t="s">
        <v>301</v>
      </c>
      <c r="C19" s="239" t="s">
        <v>302</v>
      </c>
      <c r="D19" s="239" t="s">
        <v>302</v>
      </c>
      <c r="E19" s="288">
        <v>1175684</v>
      </c>
      <c r="F19" s="242">
        <f>E19/31</f>
        <v>37925.290322580644</v>
      </c>
      <c r="G19" s="288">
        <v>54614.35</v>
      </c>
    </row>
    <row r="20" spans="1:7" x14ac:dyDescent="0.15">
      <c r="A20" s="240">
        <v>35947</v>
      </c>
      <c r="B20" s="239" t="s">
        <v>301</v>
      </c>
      <c r="C20" s="239" t="s">
        <v>302</v>
      </c>
      <c r="D20" s="239" t="s">
        <v>302</v>
      </c>
      <c r="E20" s="288">
        <v>1741705</v>
      </c>
      <c r="F20" s="242">
        <f>(E20/30)-79</f>
        <v>57977.833333333336</v>
      </c>
      <c r="G20" s="288">
        <f>98618.51-189.12</f>
        <v>98429.39</v>
      </c>
    </row>
    <row r="21" spans="1:7" x14ac:dyDescent="0.15">
      <c r="A21" s="240">
        <v>35977</v>
      </c>
      <c r="B21" s="239" t="s">
        <v>301</v>
      </c>
      <c r="C21" s="239" t="s">
        <v>302</v>
      </c>
      <c r="D21" s="239" t="s">
        <v>302</v>
      </c>
      <c r="E21" s="288">
        <v>1202736</v>
      </c>
      <c r="F21" s="242">
        <f>E21/31</f>
        <v>38797.93548387097</v>
      </c>
      <c r="G21" s="288">
        <v>78901.570000000007</v>
      </c>
    </row>
    <row r="22" spans="1:7" x14ac:dyDescent="0.15">
      <c r="A22" s="240">
        <v>36008</v>
      </c>
      <c r="B22" s="239" t="s">
        <v>301</v>
      </c>
      <c r="C22" s="239" t="s">
        <v>302</v>
      </c>
      <c r="D22" s="239" t="s">
        <v>302</v>
      </c>
      <c r="E22" s="288">
        <v>1089594</v>
      </c>
      <c r="F22" s="242">
        <f>E22/31</f>
        <v>35148.193548387098</v>
      </c>
      <c r="G22" s="288">
        <f>60451.78-943.58</f>
        <v>59508.2</v>
      </c>
    </row>
    <row r="23" spans="1:7" x14ac:dyDescent="0.15">
      <c r="A23" s="240">
        <v>36039</v>
      </c>
      <c r="B23" s="239" t="s">
        <v>301</v>
      </c>
      <c r="C23" s="239" t="s">
        <v>302</v>
      </c>
      <c r="D23" s="239" t="s">
        <v>302</v>
      </c>
      <c r="E23" s="288">
        <v>309204</v>
      </c>
      <c r="F23" s="242">
        <f>E23/30</f>
        <v>10306.799999999999</v>
      </c>
      <c r="G23" s="288">
        <v>25052.35</v>
      </c>
    </row>
    <row r="24" spans="1:7" x14ac:dyDescent="0.15">
      <c r="A24" s="240">
        <v>36069</v>
      </c>
      <c r="B24" s="239" t="s">
        <v>301</v>
      </c>
      <c r="C24" s="239" t="s">
        <v>302</v>
      </c>
      <c r="D24" s="239" t="s">
        <v>302</v>
      </c>
      <c r="E24" s="288">
        <v>949236</v>
      </c>
      <c r="F24" s="242">
        <f>E24/31</f>
        <v>30620.516129032258</v>
      </c>
      <c r="G24" s="288">
        <v>24963.96</v>
      </c>
    </row>
    <row r="25" spans="1:7" x14ac:dyDescent="0.15">
      <c r="A25" s="240">
        <v>36100</v>
      </c>
      <c r="B25" s="239" t="s">
        <v>301</v>
      </c>
      <c r="C25" s="239" t="s">
        <v>302</v>
      </c>
      <c r="D25" s="239" t="s">
        <v>302</v>
      </c>
      <c r="E25" s="288">
        <v>376804</v>
      </c>
      <c r="F25" s="242">
        <f>E25/30</f>
        <v>12560.133333333333</v>
      </c>
      <c r="G25" s="288">
        <v>9176.18</v>
      </c>
    </row>
    <row r="26" spans="1:7" x14ac:dyDescent="0.15">
      <c r="A26" s="240">
        <v>36130</v>
      </c>
      <c r="B26" s="239" t="s">
        <v>301</v>
      </c>
      <c r="C26" s="239" t="s">
        <v>302</v>
      </c>
      <c r="D26" s="239" t="s">
        <v>302</v>
      </c>
      <c r="E26" s="288">
        <v>637046</v>
      </c>
      <c r="F26" s="242">
        <f>E26/31-89</f>
        <v>20460.870967741936</v>
      </c>
      <c r="G26" s="288">
        <f>30405.37-331.13</f>
        <v>30074.239999999998</v>
      </c>
    </row>
    <row r="27" spans="1:7" x14ac:dyDescent="0.15">
      <c r="A27" s="240">
        <v>36161</v>
      </c>
      <c r="B27" s="239" t="s">
        <v>301</v>
      </c>
      <c r="C27" s="239" t="s">
        <v>302</v>
      </c>
      <c r="D27" s="239" t="s">
        <v>302</v>
      </c>
      <c r="E27" s="288">
        <v>254953</v>
      </c>
      <c r="F27" s="242">
        <f>E27/31-17</f>
        <v>8207.2903225806458</v>
      </c>
      <c r="G27" s="288">
        <f>18878.6-64.88</f>
        <v>18813.719999999998</v>
      </c>
    </row>
    <row r="28" spans="1:7" x14ac:dyDescent="0.15">
      <c r="A28" s="240">
        <v>36192</v>
      </c>
      <c r="B28" s="239" t="s">
        <v>307</v>
      </c>
      <c r="C28" s="239" t="s">
        <v>302</v>
      </c>
      <c r="D28" s="239" t="s">
        <v>302</v>
      </c>
      <c r="E28" s="239">
        <v>260</v>
      </c>
      <c r="F28" s="242">
        <f>E28/29</f>
        <v>8.9655172413793096</v>
      </c>
      <c r="G28" s="239">
        <v>31.22</v>
      </c>
    </row>
    <row r="29" spans="1:7" x14ac:dyDescent="0.15">
      <c r="A29" s="240">
        <v>36192</v>
      </c>
      <c r="B29" s="239" t="s">
        <v>301</v>
      </c>
      <c r="C29" s="239" t="s">
        <v>302</v>
      </c>
      <c r="D29" s="239" t="s">
        <v>302</v>
      </c>
      <c r="E29" s="288">
        <v>431672</v>
      </c>
      <c r="F29" s="242">
        <f>E29/29</f>
        <v>14885.241379310344</v>
      </c>
      <c r="G29" s="288">
        <v>9019.35</v>
      </c>
    </row>
    <row r="30" spans="1:7" x14ac:dyDescent="0.15">
      <c r="A30" s="240">
        <v>36220</v>
      </c>
      <c r="B30" s="239" t="s">
        <v>301</v>
      </c>
      <c r="C30" s="239" t="s">
        <v>302</v>
      </c>
      <c r="D30" s="239" t="s">
        <v>302</v>
      </c>
      <c r="E30" s="288">
        <v>681322</v>
      </c>
      <c r="F30" s="242">
        <f>E30/31</f>
        <v>21978.129032258064</v>
      </c>
      <c r="G30" s="288">
        <v>33185.75</v>
      </c>
    </row>
    <row r="31" spans="1:7" x14ac:dyDescent="0.15">
      <c r="A31" s="240">
        <v>36251</v>
      </c>
      <c r="B31" s="239" t="s">
        <v>301</v>
      </c>
      <c r="C31" s="239" t="s">
        <v>302</v>
      </c>
      <c r="D31" s="239" t="s">
        <v>302</v>
      </c>
      <c r="E31" s="288">
        <v>1121668</v>
      </c>
      <c r="F31" s="242">
        <f>E31/30</f>
        <v>37388.933333333334</v>
      </c>
      <c r="G31" s="288">
        <v>55536.94</v>
      </c>
    </row>
    <row r="32" spans="1:7" x14ac:dyDescent="0.15">
      <c r="A32" s="240">
        <v>36281</v>
      </c>
      <c r="B32" s="239" t="s">
        <v>301</v>
      </c>
      <c r="C32" s="239" t="s">
        <v>302</v>
      </c>
      <c r="D32" s="239" t="s">
        <v>302</v>
      </c>
      <c r="E32" s="288">
        <v>925846</v>
      </c>
      <c r="F32" s="242">
        <f>E32/30</f>
        <v>30861.533333333333</v>
      </c>
      <c r="G32" s="288">
        <v>57556.75</v>
      </c>
    </row>
    <row r="33" spans="1:7" x14ac:dyDescent="0.15">
      <c r="A33" s="240">
        <v>36312</v>
      </c>
      <c r="B33" s="239" t="s">
        <v>301</v>
      </c>
      <c r="C33" s="239" t="s">
        <v>302</v>
      </c>
      <c r="D33" s="239" t="s">
        <v>302</v>
      </c>
      <c r="E33" s="288">
        <v>943754</v>
      </c>
      <c r="F33" s="242">
        <f>E33/30</f>
        <v>31458.466666666667</v>
      </c>
      <c r="G33" s="288">
        <v>45146.29</v>
      </c>
    </row>
    <row r="34" spans="1:7" x14ac:dyDescent="0.15">
      <c r="A34" s="240">
        <v>36342</v>
      </c>
      <c r="B34" s="239" t="s">
        <v>301</v>
      </c>
      <c r="C34" s="239" t="s">
        <v>302</v>
      </c>
      <c r="D34" s="239" t="s">
        <v>302</v>
      </c>
      <c r="E34" s="288">
        <v>706002</v>
      </c>
      <c r="F34" s="242">
        <f>E34/31</f>
        <v>22774.258064516129</v>
      </c>
      <c r="G34" s="288">
        <v>42595.24</v>
      </c>
    </row>
    <row r="35" spans="1:7" x14ac:dyDescent="0.15">
      <c r="A35" s="240">
        <v>36373</v>
      </c>
      <c r="B35" s="239" t="s">
        <v>301</v>
      </c>
      <c r="C35" s="239" t="s">
        <v>302</v>
      </c>
      <c r="D35" s="239" t="s">
        <v>302</v>
      </c>
      <c r="E35" s="288">
        <v>378643</v>
      </c>
      <c r="F35" s="242">
        <f>E35/31</f>
        <v>12214.290322580646</v>
      </c>
      <c r="G35" s="288">
        <v>12217.49</v>
      </c>
    </row>
    <row r="36" spans="1:7" x14ac:dyDescent="0.15">
      <c r="A36" s="240">
        <v>36404</v>
      </c>
      <c r="B36" s="239" t="s">
        <v>301</v>
      </c>
      <c r="C36" s="239" t="s">
        <v>302</v>
      </c>
      <c r="D36" s="239" t="s">
        <v>302</v>
      </c>
      <c r="E36" s="288">
        <v>606655</v>
      </c>
      <c r="F36" s="242">
        <f>E36/30</f>
        <v>20221.833333333332</v>
      </c>
      <c r="G36" s="288">
        <v>24263.99</v>
      </c>
    </row>
    <row r="37" spans="1:7" x14ac:dyDescent="0.15">
      <c r="A37" s="240">
        <v>36434</v>
      </c>
      <c r="B37" s="239" t="s">
        <v>301</v>
      </c>
      <c r="C37" s="239" t="s">
        <v>302</v>
      </c>
      <c r="D37" s="239" t="s">
        <v>302</v>
      </c>
      <c r="E37" s="288">
        <v>328918</v>
      </c>
      <c r="F37" s="242">
        <f>E37/31</f>
        <v>10610.258064516129</v>
      </c>
      <c r="G37" s="288">
        <v>10247.98</v>
      </c>
    </row>
    <row r="38" spans="1:7" x14ac:dyDescent="0.15">
      <c r="A38" s="240">
        <v>36465</v>
      </c>
      <c r="B38" s="239" t="s">
        <v>301</v>
      </c>
      <c r="C38" s="239" t="s">
        <v>302</v>
      </c>
      <c r="D38" s="239" t="s">
        <v>302</v>
      </c>
      <c r="E38" s="288">
        <v>415457</v>
      </c>
      <c r="F38" s="242">
        <f>E38/30</f>
        <v>13848.566666666668</v>
      </c>
      <c r="G38" s="288">
        <v>17738.39</v>
      </c>
    </row>
    <row r="39" spans="1:7" x14ac:dyDescent="0.15">
      <c r="A39" s="240">
        <v>36495</v>
      </c>
      <c r="B39" s="239" t="s">
        <v>301</v>
      </c>
      <c r="C39" s="239" t="s">
        <v>302</v>
      </c>
      <c r="D39" s="239" t="s">
        <v>302</v>
      </c>
      <c r="E39" s="288">
        <v>844074</v>
      </c>
      <c r="F39" s="242">
        <f>E39/31</f>
        <v>27228.193548387098</v>
      </c>
      <c r="G39" s="288">
        <v>41462.61</v>
      </c>
    </row>
    <row r="40" spans="1:7" x14ac:dyDescent="0.15">
      <c r="A40" s="240">
        <v>35431</v>
      </c>
      <c r="B40" s="239" t="s">
        <v>301</v>
      </c>
      <c r="C40" s="239" t="s">
        <v>303</v>
      </c>
      <c r="D40" s="239" t="s">
        <v>302</v>
      </c>
      <c r="E40" s="288">
        <v>136952</v>
      </c>
      <c r="F40" s="242">
        <f>E40/31</f>
        <v>4417.8064516129034</v>
      </c>
      <c r="G40" s="288">
        <v>18785.189999999999</v>
      </c>
    </row>
    <row r="41" spans="1:7" x14ac:dyDescent="0.15">
      <c r="A41" s="240">
        <v>35462</v>
      </c>
      <c r="B41" s="239" t="s">
        <v>301</v>
      </c>
      <c r="C41" s="239" t="s">
        <v>303</v>
      </c>
      <c r="D41" s="239" t="s">
        <v>302</v>
      </c>
      <c r="E41" s="288">
        <v>325861</v>
      </c>
      <c r="F41" s="242">
        <f>E41/28</f>
        <v>11637.892857142857</v>
      </c>
      <c r="G41" s="288">
        <v>25498.06</v>
      </c>
    </row>
    <row r="42" spans="1:7" x14ac:dyDescent="0.15">
      <c r="A42" s="240">
        <v>35490</v>
      </c>
      <c r="B42" s="239" t="s">
        <v>301</v>
      </c>
      <c r="C42" s="239" t="s">
        <v>303</v>
      </c>
      <c r="D42" s="239" t="s">
        <v>302</v>
      </c>
      <c r="E42" s="288">
        <v>252076</v>
      </c>
      <c r="F42" s="242">
        <f>E42/31</f>
        <v>8131.4838709677415</v>
      </c>
      <c r="G42" s="288">
        <v>16626.740000000002</v>
      </c>
    </row>
    <row r="43" spans="1:7" x14ac:dyDescent="0.15">
      <c r="A43" s="240">
        <v>35521</v>
      </c>
      <c r="B43" s="239" t="s">
        <v>301</v>
      </c>
      <c r="C43" s="239" t="s">
        <v>303</v>
      </c>
      <c r="D43" s="239" t="s">
        <v>302</v>
      </c>
      <c r="E43" s="288">
        <v>64354</v>
      </c>
      <c r="F43" s="242">
        <f>E43/30</f>
        <v>2145.1333333333332</v>
      </c>
      <c r="G43" s="288">
        <v>6084.15</v>
      </c>
    </row>
    <row r="44" spans="1:7" x14ac:dyDescent="0.15">
      <c r="A44" s="240">
        <v>35551</v>
      </c>
      <c r="B44" s="239" t="s">
        <v>301</v>
      </c>
      <c r="C44" s="239" t="s">
        <v>303</v>
      </c>
      <c r="D44" s="239" t="s">
        <v>302</v>
      </c>
      <c r="E44" s="288">
        <v>20652</v>
      </c>
      <c r="F44" s="242">
        <f>E44/31</f>
        <v>666.19354838709683</v>
      </c>
      <c r="G44" s="288">
        <v>2065.1999999999998</v>
      </c>
    </row>
    <row r="45" spans="1:7" x14ac:dyDescent="0.15">
      <c r="A45" s="240">
        <v>35582</v>
      </c>
      <c r="B45" s="239" t="s">
        <v>301</v>
      </c>
      <c r="C45" s="239" t="s">
        <v>303</v>
      </c>
      <c r="D45" s="239" t="s">
        <v>302</v>
      </c>
      <c r="E45" s="288">
        <v>36713</v>
      </c>
      <c r="F45" s="242">
        <f>E45/30</f>
        <v>1223.7666666666667</v>
      </c>
      <c r="G45" s="288">
        <v>5248.28</v>
      </c>
    </row>
    <row r="46" spans="1:7" x14ac:dyDescent="0.15">
      <c r="A46" s="240">
        <v>35612</v>
      </c>
      <c r="B46" s="239" t="s">
        <v>301</v>
      </c>
      <c r="C46" s="239" t="s">
        <v>303</v>
      </c>
      <c r="D46" s="239" t="s">
        <v>302</v>
      </c>
      <c r="E46" s="288">
        <v>17281</v>
      </c>
      <c r="F46" s="242">
        <f>E46/31</f>
        <v>557.45161290322585</v>
      </c>
      <c r="G46" s="239">
        <v>978.1</v>
      </c>
    </row>
    <row r="47" spans="1:7" x14ac:dyDescent="0.15">
      <c r="A47" s="240">
        <v>35643</v>
      </c>
      <c r="B47" s="239" t="s">
        <v>301</v>
      </c>
      <c r="C47" s="239" t="s">
        <v>303</v>
      </c>
      <c r="D47" s="239" t="s">
        <v>302</v>
      </c>
      <c r="E47" s="288">
        <v>159067</v>
      </c>
      <c r="F47" s="242">
        <f>E47/31</f>
        <v>5131.1935483870966</v>
      </c>
      <c r="G47" s="288">
        <v>30806.66</v>
      </c>
    </row>
    <row r="48" spans="1:7" x14ac:dyDescent="0.15">
      <c r="A48" s="240">
        <v>35674</v>
      </c>
      <c r="B48" s="239" t="s">
        <v>301</v>
      </c>
      <c r="C48" s="239" t="s">
        <v>303</v>
      </c>
      <c r="D48" s="239" t="s">
        <v>302</v>
      </c>
      <c r="E48" s="288">
        <v>150580</v>
      </c>
      <c r="F48" s="242">
        <f>E48/30</f>
        <v>5019.333333333333</v>
      </c>
      <c r="G48" s="288">
        <v>15589.9</v>
      </c>
    </row>
    <row r="49" spans="1:7" x14ac:dyDescent="0.15">
      <c r="A49" s="240">
        <v>35704</v>
      </c>
      <c r="B49" s="239" t="s">
        <v>301</v>
      </c>
      <c r="C49" s="239" t="s">
        <v>303</v>
      </c>
      <c r="D49" s="239" t="s">
        <v>302</v>
      </c>
      <c r="E49" s="288">
        <v>145033</v>
      </c>
      <c r="F49" s="242">
        <f>E49/31</f>
        <v>4678.4838709677415</v>
      </c>
      <c r="G49" s="288">
        <v>10709.45</v>
      </c>
    </row>
    <row r="50" spans="1:7" x14ac:dyDescent="0.15">
      <c r="A50" s="240">
        <v>35735</v>
      </c>
      <c r="B50" s="239" t="s">
        <v>301</v>
      </c>
      <c r="C50" s="239" t="s">
        <v>303</v>
      </c>
      <c r="D50" s="239" t="s">
        <v>302</v>
      </c>
      <c r="E50" s="288">
        <v>194440</v>
      </c>
      <c r="F50" s="242">
        <f>E50/30</f>
        <v>6481.333333333333</v>
      </c>
      <c r="G50" s="288">
        <v>19636.919999999998</v>
      </c>
    </row>
    <row r="51" spans="1:7" x14ac:dyDescent="0.15">
      <c r="A51" s="240">
        <v>35765</v>
      </c>
      <c r="B51" s="239" t="s">
        <v>301</v>
      </c>
      <c r="C51" s="239" t="s">
        <v>303</v>
      </c>
      <c r="D51" s="239" t="s">
        <v>302</v>
      </c>
      <c r="E51" s="288">
        <v>62540</v>
      </c>
      <c r="F51" s="242">
        <f>E51/31</f>
        <v>2017.4193548387098</v>
      </c>
      <c r="G51" s="288">
        <v>5682.19</v>
      </c>
    </row>
    <row r="52" spans="1:7" x14ac:dyDescent="0.15">
      <c r="A52" s="240">
        <v>35796</v>
      </c>
      <c r="B52" s="239" t="s">
        <v>301</v>
      </c>
      <c r="C52" s="239" t="s">
        <v>303</v>
      </c>
      <c r="D52" s="239" t="s">
        <v>302</v>
      </c>
      <c r="E52" s="288">
        <v>100208</v>
      </c>
      <c r="F52" s="242">
        <f>E52/31</f>
        <v>3232.516129032258</v>
      </c>
      <c r="G52" s="288">
        <v>5010.3999999999996</v>
      </c>
    </row>
    <row r="53" spans="1:7" x14ac:dyDescent="0.15">
      <c r="A53" s="240">
        <v>35827</v>
      </c>
      <c r="B53" s="239" t="s">
        <v>301</v>
      </c>
      <c r="C53" s="239" t="s">
        <v>303</v>
      </c>
      <c r="D53" s="239" t="s">
        <v>302</v>
      </c>
      <c r="E53" s="288">
        <v>43321</v>
      </c>
      <c r="F53" s="242">
        <f>E53/28</f>
        <v>1547.1785714285713</v>
      </c>
      <c r="G53" s="288">
        <v>2166.0500000000002</v>
      </c>
    </row>
    <row r="54" spans="1:7" x14ac:dyDescent="0.15">
      <c r="A54" s="240">
        <v>35855</v>
      </c>
      <c r="B54" s="239" t="s">
        <v>307</v>
      </c>
      <c r="C54" s="239" t="s">
        <v>303</v>
      </c>
      <c r="D54" s="239" t="s">
        <v>302</v>
      </c>
      <c r="E54" s="288">
        <v>5000</v>
      </c>
      <c r="F54" s="242">
        <f>E54/31</f>
        <v>161.29032258064515</v>
      </c>
      <c r="G54" s="239">
        <v>400</v>
      </c>
    </row>
    <row r="55" spans="1:7" x14ac:dyDescent="0.15">
      <c r="A55" s="240">
        <v>35855</v>
      </c>
      <c r="B55" s="239" t="s">
        <v>301</v>
      </c>
      <c r="C55" s="239" t="s">
        <v>303</v>
      </c>
      <c r="D55" s="239" t="s">
        <v>302</v>
      </c>
      <c r="E55" s="288">
        <v>46122</v>
      </c>
      <c r="F55" s="242">
        <f>E55/31</f>
        <v>1487.8064516129032</v>
      </c>
      <c r="G55" s="288">
        <v>2306.1</v>
      </c>
    </row>
    <row r="56" spans="1:7" x14ac:dyDescent="0.15">
      <c r="A56" s="240">
        <v>35886</v>
      </c>
      <c r="B56" s="239" t="s">
        <v>301</v>
      </c>
      <c r="C56" s="239" t="s">
        <v>303</v>
      </c>
      <c r="D56" s="239" t="s">
        <v>302</v>
      </c>
      <c r="E56" s="288">
        <v>128834</v>
      </c>
      <c r="F56" s="242">
        <f>E56/30</f>
        <v>4294.4666666666662</v>
      </c>
      <c r="G56" s="288">
        <v>11129.06</v>
      </c>
    </row>
    <row r="57" spans="1:7" x14ac:dyDescent="0.15">
      <c r="A57" s="240">
        <v>35916</v>
      </c>
      <c r="B57" s="239" t="s">
        <v>301</v>
      </c>
      <c r="C57" s="239" t="s">
        <v>303</v>
      </c>
      <c r="D57" s="239" t="s">
        <v>302</v>
      </c>
      <c r="E57" s="288">
        <v>53128</v>
      </c>
      <c r="F57" s="242">
        <f>E57/31</f>
        <v>1713.8064516129032</v>
      </c>
      <c r="G57" s="288">
        <v>3408.84</v>
      </c>
    </row>
    <row r="58" spans="1:7" x14ac:dyDescent="0.15">
      <c r="A58" s="240">
        <v>35947</v>
      </c>
      <c r="B58" s="239" t="s">
        <v>301</v>
      </c>
      <c r="C58" s="239" t="s">
        <v>303</v>
      </c>
      <c r="D58" s="239" t="s">
        <v>302</v>
      </c>
      <c r="E58" s="288">
        <v>90013</v>
      </c>
      <c r="F58" s="242">
        <f>E58/30</f>
        <v>3000.4333333333334</v>
      </c>
      <c r="G58" s="288">
        <v>6616.7</v>
      </c>
    </row>
    <row r="59" spans="1:7" x14ac:dyDescent="0.15">
      <c r="A59" s="240">
        <v>35977</v>
      </c>
      <c r="B59" s="239" t="s">
        <v>301</v>
      </c>
      <c r="C59" s="239" t="s">
        <v>303</v>
      </c>
      <c r="D59" s="239" t="s">
        <v>302</v>
      </c>
      <c r="E59" s="288">
        <v>37620</v>
      </c>
      <c r="F59" s="242">
        <f>E59/31</f>
        <v>1213.5483870967741</v>
      </c>
      <c r="G59" s="288">
        <v>1912</v>
      </c>
    </row>
    <row r="60" spans="1:7" x14ac:dyDescent="0.15">
      <c r="A60" s="240">
        <v>36008</v>
      </c>
      <c r="B60" s="239" t="s">
        <v>301</v>
      </c>
      <c r="C60" s="239" t="s">
        <v>303</v>
      </c>
      <c r="D60" s="239" t="s">
        <v>302</v>
      </c>
      <c r="E60" s="288">
        <v>174808</v>
      </c>
      <c r="F60" s="242">
        <f>E60/31</f>
        <v>5638.9677419354839</v>
      </c>
      <c r="G60" s="288">
        <v>11944.97</v>
      </c>
    </row>
    <row r="61" spans="1:7" x14ac:dyDescent="0.15">
      <c r="A61" s="240">
        <v>36039</v>
      </c>
      <c r="B61" s="239" t="s">
        <v>301</v>
      </c>
      <c r="C61" s="239" t="s">
        <v>303</v>
      </c>
      <c r="D61" s="239" t="s">
        <v>302</v>
      </c>
      <c r="E61" s="288">
        <v>113996</v>
      </c>
      <c r="F61" s="242">
        <f>E61/30</f>
        <v>3799.8666666666668</v>
      </c>
      <c r="G61" s="288">
        <v>7729.94</v>
      </c>
    </row>
    <row r="62" spans="1:7" x14ac:dyDescent="0.15">
      <c r="A62" s="240">
        <v>36069</v>
      </c>
      <c r="B62" s="239" t="s">
        <v>301</v>
      </c>
      <c r="C62" s="239" t="s">
        <v>303</v>
      </c>
      <c r="D62" s="239" t="s">
        <v>302</v>
      </c>
      <c r="E62" s="288">
        <v>20001</v>
      </c>
      <c r="F62" s="242">
        <f>E62/31</f>
        <v>645.19354838709683</v>
      </c>
      <c r="G62" s="288">
        <v>2000.1</v>
      </c>
    </row>
    <row r="63" spans="1:7" x14ac:dyDescent="0.15">
      <c r="A63" s="240">
        <v>36100</v>
      </c>
      <c r="B63" s="239" t="s">
        <v>301</v>
      </c>
      <c r="C63" s="239" t="s">
        <v>303</v>
      </c>
      <c r="D63" s="239" t="s">
        <v>302</v>
      </c>
      <c r="E63" s="288">
        <v>11707</v>
      </c>
      <c r="F63" s="242">
        <f>E63/30</f>
        <v>390.23333333333335</v>
      </c>
      <c r="G63" s="239">
        <v>997.04</v>
      </c>
    </row>
    <row r="64" spans="1:7" x14ac:dyDescent="0.15">
      <c r="A64" s="240">
        <v>36161</v>
      </c>
      <c r="B64" s="239" t="s">
        <v>301</v>
      </c>
      <c r="C64" s="239" t="s">
        <v>303</v>
      </c>
      <c r="D64" s="239" t="s">
        <v>302</v>
      </c>
      <c r="E64" s="288">
        <v>24913</v>
      </c>
      <c r="F64" s="242">
        <f>E64/31</f>
        <v>803.64516129032256</v>
      </c>
      <c r="G64" s="288">
        <v>1343.91</v>
      </c>
    </row>
    <row r="65" spans="1:7" x14ac:dyDescent="0.15">
      <c r="A65" s="240">
        <v>36192</v>
      </c>
      <c r="B65" s="239" t="s">
        <v>301</v>
      </c>
      <c r="C65" s="239" t="s">
        <v>303</v>
      </c>
      <c r="D65" s="239" t="s">
        <v>302</v>
      </c>
      <c r="E65" s="288">
        <v>206450</v>
      </c>
      <c r="F65" s="242">
        <f>E65/29</f>
        <v>7118.9655172413795</v>
      </c>
      <c r="G65" s="288">
        <v>19574.18</v>
      </c>
    </row>
    <row r="66" spans="1:7" x14ac:dyDescent="0.15">
      <c r="A66" s="240">
        <v>36220</v>
      </c>
      <c r="B66" s="239" t="s">
        <v>301</v>
      </c>
      <c r="C66" s="239" t="s">
        <v>303</v>
      </c>
      <c r="D66" s="239" t="s">
        <v>302</v>
      </c>
      <c r="E66" s="288">
        <v>81342</v>
      </c>
      <c r="F66" s="242">
        <f>E66/31</f>
        <v>2623.9354838709678</v>
      </c>
      <c r="G66" s="288">
        <v>6267.36</v>
      </c>
    </row>
    <row r="67" spans="1:7" x14ac:dyDescent="0.15">
      <c r="A67" s="240">
        <v>36251</v>
      </c>
      <c r="B67" s="239" t="s">
        <v>301</v>
      </c>
      <c r="C67" s="239" t="s">
        <v>303</v>
      </c>
      <c r="D67" s="239" t="s">
        <v>302</v>
      </c>
      <c r="E67" s="288">
        <v>9071</v>
      </c>
      <c r="F67" s="242">
        <f>E67/30</f>
        <v>302.36666666666667</v>
      </c>
      <c r="G67" s="288">
        <v>1341.14</v>
      </c>
    </row>
    <row r="68" spans="1:7" x14ac:dyDescent="0.15">
      <c r="A68" s="240">
        <v>36312</v>
      </c>
      <c r="B68" s="239" t="s">
        <v>301</v>
      </c>
      <c r="C68" s="239" t="s">
        <v>303</v>
      </c>
      <c r="D68" s="239" t="s">
        <v>302</v>
      </c>
      <c r="E68" s="288">
        <v>45540</v>
      </c>
      <c r="F68" s="242">
        <f>E68/30</f>
        <v>1518</v>
      </c>
      <c r="G68" s="288">
        <v>5807.83</v>
      </c>
    </row>
    <row r="69" spans="1:7" x14ac:dyDescent="0.15">
      <c r="A69" s="240">
        <v>36465</v>
      </c>
      <c r="B69" s="239" t="s">
        <v>301</v>
      </c>
      <c r="C69" s="239" t="s">
        <v>303</v>
      </c>
      <c r="D69" s="239" t="s">
        <v>302</v>
      </c>
      <c r="E69" s="288">
        <v>127882</v>
      </c>
      <c r="F69" s="242">
        <f>E69/30</f>
        <v>4262.7333333333336</v>
      </c>
      <c r="G69" s="288">
        <v>6394.1</v>
      </c>
    </row>
    <row r="70" spans="1:7" x14ac:dyDescent="0.15">
      <c r="A70" s="240">
        <v>36495</v>
      </c>
      <c r="B70" s="239" t="s">
        <v>301</v>
      </c>
      <c r="C70" s="239" t="s">
        <v>303</v>
      </c>
      <c r="D70" s="239" t="s">
        <v>302</v>
      </c>
      <c r="E70" s="288">
        <v>218367</v>
      </c>
      <c r="F70" s="242">
        <f>E70/31</f>
        <v>7044.0967741935483</v>
      </c>
      <c r="G70" s="288">
        <v>10918.35</v>
      </c>
    </row>
    <row r="71" spans="1:7" x14ac:dyDescent="0.15">
      <c r="A71" s="240">
        <v>35431</v>
      </c>
      <c r="B71" s="239" t="s">
        <v>301</v>
      </c>
      <c r="C71" s="239" t="s">
        <v>304</v>
      </c>
      <c r="D71" s="239" t="s">
        <v>302</v>
      </c>
      <c r="E71" s="288">
        <v>3999</v>
      </c>
      <c r="F71" s="242">
        <f>E71/31</f>
        <v>129</v>
      </c>
      <c r="G71" s="239">
        <v>279.93</v>
      </c>
    </row>
    <row r="72" spans="1:7" x14ac:dyDescent="0.15">
      <c r="A72" s="240">
        <v>35521</v>
      </c>
      <c r="B72" s="239" t="s">
        <v>301</v>
      </c>
      <c r="C72" s="239" t="s">
        <v>304</v>
      </c>
      <c r="D72" s="239" t="s">
        <v>302</v>
      </c>
      <c r="E72" s="288">
        <v>29618</v>
      </c>
      <c r="F72" s="242">
        <f>E72/30</f>
        <v>987.26666666666665</v>
      </c>
      <c r="G72" s="288">
        <v>2961.8</v>
      </c>
    </row>
    <row r="73" spans="1:7" x14ac:dyDescent="0.15">
      <c r="A73" s="240">
        <v>35551</v>
      </c>
      <c r="B73" s="239" t="s">
        <v>301</v>
      </c>
      <c r="C73" s="239" t="s">
        <v>304</v>
      </c>
      <c r="D73" s="239" t="s">
        <v>302</v>
      </c>
      <c r="E73" s="288">
        <v>90000</v>
      </c>
      <c r="F73" s="242">
        <f>E73/31</f>
        <v>2903.2258064516127</v>
      </c>
      <c r="G73" s="288">
        <v>9000</v>
      </c>
    </row>
    <row r="74" spans="1:7" x14ac:dyDescent="0.15">
      <c r="A74" s="240">
        <v>35765</v>
      </c>
      <c r="B74" s="239" t="s">
        <v>301</v>
      </c>
      <c r="C74" s="239" t="s">
        <v>304</v>
      </c>
      <c r="D74" s="239" t="s">
        <v>302</v>
      </c>
      <c r="E74" s="288">
        <v>31976</v>
      </c>
      <c r="F74" s="242">
        <f>E74/31</f>
        <v>1031.483870967742</v>
      </c>
      <c r="G74" s="288">
        <v>2558.08</v>
      </c>
    </row>
    <row r="75" spans="1:7" x14ac:dyDescent="0.15">
      <c r="A75" s="240">
        <v>35796</v>
      </c>
      <c r="B75" s="239" t="s">
        <v>301</v>
      </c>
      <c r="C75" s="239" t="s">
        <v>304</v>
      </c>
      <c r="D75" s="239" t="s">
        <v>302</v>
      </c>
      <c r="E75" s="288">
        <v>2644</v>
      </c>
      <c r="F75" s="242">
        <f>E75/31</f>
        <v>85.290322580645167</v>
      </c>
      <c r="G75" s="239">
        <v>211.52</v>
      </c>
    </row>
    <row r="76" spans="1:7" x14ac:dyDescent="0.15">
      <c r="A76" s="240">
        <v>35855</v>
      </c>
      <c r="B76" s="239" t="s">
        <v>301</v>
      </c>
      <c r="C76" s="239" t="s">
        <v>304</v>
      </c>
      <c r="D76" s="239" t="s">
        <v>302</v>
      </c>
      <c r="E76" s="288">
        <v>32334</v>
      </c>
      <c r="F76" s="242">
        <f>E76/31</f>
        <v>1043.0322580645161</v>
      </c>
      <c r="G76" s="288">
        <v>2586.7199999999998</v>
      </c>
    </row>
    <row r="77" spans="1:7" x14ac:dyDescent="0.15">
      <c r="A77" s="240">
        <v>35886</v>
      </c>
      <c r="B77" s="239" t="s">
        <v>301</v>
      </c>
      <c r="C77" s="239" t="s">
        <v>304</v>
      </c>
      <c r="D77" s="239" t="s">
        <v>302</v>
      </c>
      <c r="E77" s="288">
        <v>69124</v>
      </c>
      <c r="F77" s="242">
        <f>E77/30</f>
        <v>2304.1333333333332</v>
      </c>
      <c r="G77" s="288">
        <v>4147.4399999999996</v>
      </c>
    </row>
    <row r="78" spans="1:7" x14ac:dyDescent="0.15">
      <c r="A78" s="240">
        <v>35916</v>
      </c>
      <c r="B78" s="239" t="s">
        <v>301</v>
      </c>
      <c r="C78" s="239" t="s">
        <v>304</v>
      </c>
      <c r="D78" s="239" t="s">
        <v>302</v>
      </c>
      <c r="E78" s="288">
        <v>339762</v>
      </c>
      <c r="F78" s="242">
        <f>E78/31</f>
        <v>10960.064516129032</v>
      </c>
      <c r="G78" s="288">
        <v>20385.72</v>
      </c>
    </row>
    <row r="79" spans="1:7" x14ac:dyDescent="0.15">
      <c r="A79" s="240">
        <v>35947</v>
      </c>
      <c r="B79" s="239" t="s">
        <v>301</v>
      </c>
      <c r="C79" s="239" t="s">
        <v>304</v>
      </c>
      <c r="D79" s="239" t="s">
        <v>302</v>
      </c>
      <c r="E79" s="288">
        <v>464112</v>
      </c>
      <c r="F79" s="242">
        <f>E79/30</f>
        <v>15470.4</v>
      </c>
      <c r="G79" s="288">
        <v>27653.19</v>
      </c>
    </row>
    <row r="80" spans="1:7" x14ac:dyDescent="0.15">
      <c r="A80" s="240">
        <v>35977</v>
      </c>
      <c r="B80" s="239" t="s">
        <v>301</v>
      </c>
      <c r="C80" s="239" t="s">
        <v>304</v>
      </c>
      <c r="D80" s="239" t="s">
        <v>302</v>
      </c>
      <c r="E80" s="288">
        <v>341480</v>
      </c>
      <c r="F80" s="242">
        <f>E80/31</f>
        <v>11015.483870967742</v>
      </c>
      <c r="G80" s="288">
        <v>34148</v>
      </c>
    </row>
    <row r="81" spans="1:7" x14ac:dyDescent="0.15">
      <c r="A81" s="240">
        <v>36008</v>
      </c>
      <c r="B81" s="239" t="s">
        <v>301</v>
      </c>
      <c r="C81" s="239" t="s">
        <v>304</v>
      </c>
      <c r="D81" s="239" t="s">
        <v>302</v>
      </c>
      <c r="E81" s="288">
        <v>142443</v>
      </c>
      <c r="F81" s="242">
        <f>E81/31</f>
        <v>4594.9354838709678</v>
      </c>
      <c r="G81" s="288">
        <v>8546.58</v>
      </c>
    </row>
    <row r="82" spans="1:7" x14ac:dyDescent="0.15">
      <c r="A82" s="240">
        <v>36039</v>
      </c>
      <c r="B82" s="239" t="s">
        <v>301</v>
      </c>
      <c r="C82" s="239" t="s">
        <v>304</v>
      </c>
      <c r="D82" s="239" t="s">
        <v>302</v>
      </c>
      <c r="E82" s="288">
        <v>255784</v>
      </c>
      <c r="F82" s="242">
        <f>E82/30</f>
        <v>8526.1333333333332</v>
      </c>
      <c r="G82" s="288">
        <v>15347.04</v>
      </c>
    </row>
    <row r="83" spans="1:7" x14ac:dyDescent="0.15">
      <c r="A83" s="240">
        <v>36069</v>
      </c>
      <c r="B83" s="239" t="s">
        <v>301</v>
      </c>
      <c r="C83" s="239" t="s">
        <v>304</v>
      </c>
      <c r="D83" s="239" t="s">
        <v>302</v>
      </c>
      <c r="E83" s="288">
        <v>216493</v>
      </c>
      <c r="F83" s="242">
        <f>E83/31</f>
        <v>6983.6451612903229</v>
      </c>
      <c r="G83" s="288">
        <v>16935.97</v>
      </c>
    </row>
    <row r="84" spans="1:7" x14ac:dyDescent="0.15">
      <c r="A84" s="240">
        <v>36100</v>
      </c>
      <c r="B84" s="239" t="s">
        <v>301</v>
      </c>
      <c r="C84" s="239" t="s">
        <v>304</v>
      </c>
      <c r="D84" s="239" t="s">
        <v>302</v>
      </c>
      <c r="E84" s="288">
        <v>61124</v>
      </c>
      <c r="F84" s="242">
        <f>E84/30</f>
        <v>2037.4666666666667</v>
      </c>
      <c r="G84" s="288">
        <v>3372.91</v>
      </c>
    </row>
    <row r="85" spans="1:7" x14ac:dyDescent="0.15">
      <c r="A85" s="240">
        <v>36130</v>
      </c>
      <c r="B85" s="239" t="s">
        <v>301</v>
      </c>
      <c r="C85" s="239" t="s">
        <v>304</v>
      </c>
      <c r="D85" s="239" t="s">
        <v>302</v>
      </c>
      <c r="E85" s="288">
        <v>109698</v>
      </c>
      <c r="F85" s="242">
        <f>E85/31</f>
        <v>3538.6451612903224</v>
      </c>
      <c r="G85" s="288">
        <v>6444.3</v>
      </c>
    </row>
    <row r="86" spans="1:7" x14ac:dyDescent="0.15">
      <c r="A86" s="240">
        <v>36161</v>
      </c>
      <c r="B86" s="239" t="s">
        <v>301</v>
      </c>
      <c r="C86" s="239" t="s">
        <v>304</v>
      </c>
      <c r="D86" s="239" t="s">
        <v>302</v>
      </c>
      <c r="E86" s="288">
        <v>103626</v>
      </c>
      <c r="F86" s="242">
        <f>E86/31</f>
        <v>3342.7741935483873</v>
      </c>
      <c r="G86" s="288">
        <v>5181.3</v>
      </c>
    </row>
    <row r="87" spans="1:7" x14ac:dyDescent="0.15">
      <c r="A87" s="240">
        <v>36220</v>
      </c>
      <c r="B87" s="239" t="s">
        <v>301</v>
      </c>
      <c r="C87" s="239" t="s">
        <v>304</v>
      </c>
      <c r="D87" s="239" t="s">
        <v>302</v>
      </c>
      <c r="E87" s="288">
        <v>111009</v>
      </c>
      <c r="F87" s="242">
        <f>E87/31</f>
        <v>3580.9354838709678</v>
      </c>
      <c r="G87" s="288">
        <v>5711.76</v>
      </c>
    </row>
    <row r="88" spans="1:7" x14ac:dyDescent="0.15">
      <c r="A88" s="240">
        <v>36251</v>
      </c>
      <c r="B88" s="239" t="s">
        <v>301</v>
      </c>
      <c r="C88" s="239" t="s">
        <v>304</v>
      </c>
      <c r="D88" s="239" t="s">
        <v>302</v>
      </c>
      <c r="E88" s="288">
        <v>24306</v>
      </c>
      <c r="F88" s="242">
        <f>E88/30</f>
        <v>810.2</v>
      </c>
      <c r="G88" s="288">
        <v>1944.48</v>
      </c>
    </row>
    <row r="89" spans="1:7" x14ac:dyDescent="0.15">
      <c r="A89" s="240">
        <v>36281</v>
      </c>
      <c r="B89" s="239" t="s">
        <v>301</v>
      </c>
      <c r="C89" s="239" t="s">
        <v>304</v>
      </c>
      <c r="D89" s="239" t="s">
        <v>302</v>
      </c>
      <c r="E89" s="288">
        <v>111582</v>
      </c>
      <c r="F89" s="242">
        <f>E89/31</f>
        <v>3599.4193548387098</v>
      </c>
      <c r="G89" s="288">
        <v>8926.56</v>
      </c>
    </row>
    <row r="90" spans="1:7" x14ac:dyDescent="0.15">
      <c r="A90" s="240">
        <v>36312</v>
      </c>
      <c r="B90" s="239" t="s">
        <v>301</v>
      </c>
      <c r="C90" s="239" t="s">
        <v>304</v>
      </c>
      <c r="D90" s="239" t="s">
        <v>302</v>
      </c>
      <c r="E90" s="288">
        <v>213181</v>
      </c>
      <c r="F90" s="242">
        <f>E90/30</f>
        <v>7106.0333333333338</v>
      </c>
      <c r="G90" s="288">
        <v>16226.66</v>
      </c>
    </row>
    <row r="91" spans="1:7" x14ac:dyDescent="0.15">
      <c r="A91" s="240">
        <v>36342</v>
      </c>
      <c r="B91" s="239" t="s">
        <v>307</v>
      </c>
      <c r="C91" s="239" t="s">
        <v>304</v>
      </c>
      <c r="D91" s="239" t="s">
        <v>302</v>
      </c>
      <c r="E91" s="239">
        <v>0</v>
      </c>
      <c r="F91" s="242">
        <f>E91/31</f>
        <v>0</v>
      </c>
      <c r="G91" s="288">
        <v>-5381.49</v>
      </c>
    </row>
    <row r="92" spans="1:7" x14ac:dyDescent="0.15">
      <c r="A92" s="240">
        <v>36342</v>
      </c>
      <c r="B92" s="239" t="s">
        <v>301</v>
      </c>
      <c r="C92" s="239" t="s">
        <v>304</v>
      </c>
      <c r="D92" s="239" t="s">
        <v>302</v>
      </c>
      <c r="E92" s="288">
        <v>296070</v>
      </c>
      <c r="F92" s="242">
        <f>E92/31</f>
        <v>9550.645161290322</v>
      </c>
      <c r="G92" s="288">
        <v>23685.599999999999</v>
      </c>
    </row>
    <row r="93" spans="1:7" x14ac:dyDescent="0.15">
      <c r="A93" s="240">
        <v>36373</v>
      </c>
      <c r="B93" s="239" t="s">
        <v>301</v>
      </c>
      <c r="C93" s="239" t="s">
        <v>304</v>
      </c>
      <c r="D93" s="239" t="s">
        <v>302</v>
      </c>
      <c r="E93" s="288">
        <v>380412</v>
      </c>
      <c r="F93" s="242">
        <f>E93/31</f>
        <v>12271.354838709678</v>
      </c>
      <c r="G93" s="288">
        <v>19782.12</v>
      </c>
    </row>
    <row r="94" spans="1:7" x14ac:dyDescent="0.15">
      <c r="A94" s="240">
        <v>36404</v>
      </c>
      <c r="B94" s="239" t="s">
        <v>301</v>
      </c>
      <c r="C94" s="239" t="s">
        <v>304</v>
      </c>
      <c r="D94" s="239" t="s">
        <v>302</v>
      </c>
      <c r="E94" s="288">
        <v>58000</v>
      </c>
      <c r="F94" s="242">
        <f>E94/30</f>
        <v>1933.3333333333333</v>
      </c>
      <c r="G94" s="288">
        <v>2900</v>
      </c>
    </row>
    <row r="95" spans="1:7" x14ac:dyDescent="0.15">
      <c r="A95" s="240">
        <v>35431</v>
      </c>
      <c r="B95" s="239" t="s">
        <v>301</v>
      </c>
      <c r="C95" s="239" t="s">
        <v>305</v>
      </c>
      <c r="D95" s="239" t="s">
        <v>302</v>
      </c>
      <c r="E95" s="288">
        <v>146591</v>
      </c>
      <c r="F95" s="242">
        <f>E95/31</f>
        <v>4728.7419354838712</v>
      </c>
      <c r="G95" s="288">
        <v>8476.66</v>
      </c>
    </row>
    <row r="96" spans="1:7" x14ac:dyDescent="0.15">
      <c r="A96" s="240">
        <v>35462</v>
      </c>
      <c r="B96" s="239" t="s">
        <v>301</v>
      </c>
      <c r="C96" s="239" t="s">
        <v>305</v>
      </c>
      <c r="D96" s="239" t="s">
        <v>302</v>
      </c>
      <c r="E96" s="288">
        <v>60025</v>
      </c>
      <c r="F96" s="242">
        <f>E96/28</f>
        <v>2143.75</v>
      </c>
      <c r="G96" s="288">
        <v>6002.5</v>
      </c>
    </row>
    <row r="97" spans="1:7" x14ac:dyDescent="0.15">
      <c r="A97" s="240">
        <v>35490</v>
      </c>
      <c r="B97" s="239" t="s">
        <v>301</v>
      </c>
      <c r="C97" s="239" t="s">
        <v>305</v>
      </c>
      <c r="D97" s="239" t="s">
        <v>302</v>
      </c>
      <c r="E97" s="288">
        <v>10000</v>
      </c>
      <c r="F97" s="242">
        <f>E97/31</f>
        <v>322.58064516129031</v>
      </c>
      <c r="G97" s="288">
        <v>1000</v>
      </c>
    </row>
    <row r="98" spans="1:7" x14ac:dyDescent="0.15">
      <c r="A98" s="240">
        <v>35521</v>
      </c>
      <c r="B98" s="239" t="s">
        <v>301</v>
      </c>
      <c r="C98" s="239" t="s">
        <v>305</v>
      </c>
      <c r="D98" s="239" t="s">
        <v>302</v>
      </c>
      <c r="E98" s="288">
        <v>89605</v>
      </c>
      <c r="F98" s="242">
        <f>E98/30</f>
        <v>2986.8333333333335</v>
      </c>
      <c r="G98" s="288">
        <v>10160.459999999999</v>
      </c>
    </row>
    <row r="99" spans="1:7" x14ac:dyDescent="0.15">
      <c r="A99" s="240">
        <v>35582</v>
      </c>
      <c r="B99" s="239" t="s">
        <v>301</v>
      </c>
      <c r="C99" s="239" t="s">
        <v>305</v>
      </c>
      <c r="D99" s="239" t="s">
        <v>302</v>
      </c>
      <c r="E99" s="288">
        <v>91904</v>
      </c>
      <c r="F99" s="242">
        <f>E99/30</f>
        <v>3063.4666666666667</v>
      </c>
      <c r="G99" s="288">
        <v>3676.16</v>
      </c>
    </row>
    <row r="100" spans="1:7" x14ac:dyDescent="0.15">
      <c r="A100" s="240">
        <v>35612</v>
      </c>
      <c r="B100" s="239" t="s">
        <v>301</v>
      </c>
      <c r="C100" s="239" t="s">
        <v>305</v>
      </c>
      <c r="D100" s="239" t="s">
        <v>302</v>
      </c>
      <c r="E100" s="239">
        <v>0</v>
      </c>
      <c r="F100" s="242">
        <f>E100/31</f>
        <v>0</v>
      </c>
      <c r="G100" s="239">
        <v>0</v>
      </c>
    </row>
    <row r="101" spans="1:7" x14ac:dyDescent="0.15">
      <c r="A101" s="240">
        <v>35735</v>
      </c>
      <c r="B101" s="239" t="s">
        <v>301</v>
      </c>
      <c r="C101" s="239" t="s">
        <v>305</v>
      </c>
      <c r="D101" s="239" t="s">
        <v>302</v>
      </c>
      <c r="E101" s="288">
        <v>54285</v>
      </c>
      <c r="F101" s="242">
        <f>E101/30</f>
        <v>1809.5</v>
      </c>
      <c r="G101" s="288">
        <v>2171.4</v>
      </c>
    </row>
    <row r="102" spans="1:7" x14ac:dyDescent="0.15">
      <c r="A102" s="240">
        <v>35765</v>
      </c>
      <c r="B102" s="239" t="s">
        <v>301</v>
      </c>
      <c r="C102" s="239" t="s">
        <v>305</v>
      </c>
      <c r="D102" s="239" t="s">
        <v>302</v>
      </c>
      <c r="E102" s="288">
        <v>153840</v>
      </c>
      <c r="F102" s="242">
        <f>E102/31</f>
        <v>4962.5806451612907</v>
      </c>
      <c r="G102" s="288">
        <v>11553.6</v>
      </c>
    </row>
    <row r="103" spans="1:7" x14ac:dyDescent="0.15">
      <c r="A103" s="240">
        <v>35796</v>
      </c>
      <c r="B103" s="239" t="s">
        <v>301</v>
      </c>
      <c r="C103" s="239" t="s">
        <v>305</v>
      </c>
      <c r="D103" s="239" t="s">
        <v>302</v>
      </c>
      <c r="E103" s="288">
        <v>19000</v>
      </c>
      <c r="F103" s="242">
        <f>E103/31</f>
        <v>612.90322580645159</v>
      </c>
      <c r="G103" s="239">
        <v>950</v>
      </c>
    </row>
    <row r="104" spans="1:7" x14ac:dyDescent="0.15">
      <c r="A104" s="240">
        <v>35827</v>
      </c>
      <c r="B104" s="239" t="s">
        <v>301</v>
      </c>
      <c r="C104" s="239" t="s">
        <v>305</v>
      </c>
      <c r="D104" s="239" t="s">
        <v>302</v>
      </c>
      <c r="E104" s="288">
        <v>20000</v>
      </c>
      <c r="F104" s="242">
        <f>E104/28</f>
        <v>714.28571428571433</v>
      </c>
      <c r="G104" s="288">
        <v>1800</v>
      </c>
    </row>
    <row r="105" spans="1:7" x14ac:dyDescent="0.15">
      <c r="A105" s="240">
        <v>35855</v>
      </c>
      <c r="B105" s="239" t="s">
        <v>301</v>
      </c>
      <c r="C105" s="239" t="s">
        <v>305</v>
      </c>
      <c r="D105" s="239" t="s">
        <v>302</v>
      </c>
      <c r="E105" s="288">
        <v>76000</v>
      </c>
      <c r="F105" s="242">
        <f>E105/31</f>
        <v>2451.6129032258063</v>
      </c>
      <c r="G105" s="288">
        <v>3040</v>
      </c>
    </row>
    <row r="106" spans="1:7" x14ac:dyDescent="0.15">
      <c r="A106" s="240">
        <v>35886</v>
      </c>
      <c r="B106" s="239" t="s">
        <v>301</v>
      </c>
      <c r="C106" s="239" t="s">
        <v>305</v>
      </c>
      <c r="D106" s="239" t="s">
        <v>302</v>
      </c>
      <c r="E106" s="288">
        <v>377055</v>
      </c>
      <c r="F106" s="242">
        <f>E106/30</f>
        <v>12568.5</v>
      </c>
      <c r="G106" s="288">
        <v>11805.1</v>
      </c>
    </row>
    <row r="107" spans="1:7" x14ac:dyDescent="0.15">
      <c r="A107" s="240">
        <v>35916</v>
      </c>
      <c r="B107" s="239" t="s">
        <v>301</v>
      </c>
      <c r="C107" s="239" t="s">
        <v>305</v>
      </c>
      <c r="D107" s="239" t="s">
        <v>302</v>
      </c>
      <c r="E107" s="288">
        <v>504227</v>
      </c>
      <c r="F107" s="242">
        <f>E107/31</f>
        <v>16265.387096774193</v>
      </c>
      <c r="G107" s="288">
        <v>15449.18</v>
      </c>
    </row>
    <row r="108" spans="1:7" x14ac:dyDescent="0.15">
      <c r="A108" s="240">
        <v>35947</v>
      </c>
      <c r="B108" s="239" t="s">
        <v>301</v>
      </c>
      <c r="C108" s="239" t="s">
        <v>305</v>
      </c>
      <c r="D108" s="239" t="s">
        <v>302</v>
      </c>
      <c r="E108" s="288">
        <v>2198918</v>
      </c>
      <c r="F108" s="242">
        <f>E108/30</f>
        <v>73297.266666666663</v>
      </c>
      <c r="G108" s="288">
        <v>105007.85</v>
      </c>
    </row>
    <row r="109" spans="1:7" x14ac:dyDescent="0.15">
      <c r="A109" s="240">
        <v>35977</v>
      </c>
      <c r="B109" s="239" t="s">
        <v>301</v>
      </c>
      <c r="C109" s="239" t="s">
        <v>305</v>
      </c>
      <c r="D109" s="239" t="s">
        <v>302</v>
      </c>
      <c r="E109" s="288">
        <v>57734</v>
      </c>
      <c r="F109" s="242">
        <f>E109/31</f>
        <v>1862.3870967741937</v>
      </c>
      <c r="G109" s="288">
        <v>4411.7</v>
      </c>
    </row>
    <row r="110" spans="1:7" x14ac:dyDescent="0.15">
      <c r="A110" s="240">
        <v>36039</v>
      </c>
      <c r="B110" s="239" t="s">
        <v>301</v>
      </c>
      <c r="C110" s="239" t="s">
        <v>305</v>
      </c>
      <c r="D110" s="239" t="s">
        <v>302</v>
      </c>
      <c r="E110" s="288">
        <v>64497</v>
      </c>
      <c r="F110" s="242">
        <f>E110/30</f>
        <v>2149.9</v>
      </c>
      <c r="G110" s="288">
        <v>3813.06</v>
      </c>
    </row>
    <row r="111" spans="1:7" x14ac:dyDescent="0.15">
      <c r="A111" s="240">
        <v>36069</v>
      </c>
      <c r="B111" s="239" t="s">
        <v>301</v>
      </c>
      <c r="C111" s="239" t="s">
        <v>305</v>
      </c>
      <c r="D111" s="239" t="s">
        <v>302</v>
      </c>
      <c r="E111" s="288">
        <v>321259</v>
      </c>
      <c r="F111" s="242">
        <f>E111/31</f>
        <v>10363.193548387097</v>
      </c>
      <c r="G111" s="288">
        <v>16062.95</v>
      </c>
    </row>
    <row r="112" spans="1:7" x14ac:dyDescent="0.15">
      <c r="A112" s="240">
        <v>36130</v>
      </c>
      <c r="B112" s="239" t="s">
        <v>301</v>
      </c>
      <c r="C112" s="239" t="s">
        <v>305</v>
      </c>
      <c r="D112" s="239" t="s">
        <v>302</v>
      </c>
      <c r="E112" s="288">
        <v>20433</v>
      </c>
      <c r="F112" s="242">
        <f>E112/31</f>
        <v>659.12903225806451</v>
      </c>
      <c r="G112" s="288">
        <v>1021.65</v>
      </c>
    </row>
    <row r="113" spans="1:7" x14ac:dyDescent="0.15">
      <c r="A113" s="240">
        <v>36192</v>
      </c>
      <c r="B113" s="239" t="s">
        <v>301</v>
      </c>
      <c r="C113" s="239" t="s">
        <v>305</v>
      </c>
      <c r="D113" s="239" t="s">
        <v>302</v>
      </c>
      <c r="E113" s="288">
        <v>68399</v>
      </c>
      <c r="F113" s="242">
        <f>E113/29</f>
        <v>2358.5862068965516</v>
      </c>
      <c r="G113" s="288">
        <v>5471.92</v>
      </c>
    </row>
    <row r="114" spans="1:7" x14ac:dyDescent="0.15">
      <c r="A114" s="240">
        <v>36220</v>
      </c>
      <c r="B114" s="239" t="s">
        <v>301</v>
      </c>
      <c r="C114" s="239" t="s">
        <v>305</v>
      </c>
      <c r="D114" s="239" t="s">
        <v>302</v>
      </c>
      <c r="E114" s="288">
        <v>140141</v>
      </c>
      <c r="F114" s="242">
        <f>E114/31</f>
        <v>4520.677419354839</v>
      </c>
      <c r="G114" s="288">
        <v>11211.28</v>
      </c>
    </row>
    <row r="115" spans="1:7" x14ac:dyDescent="0.15">
      <c r="A115" s="240">
        <v>36251</v>
      </c>
      <c r="B115" s="239" t="s">
        <v>301</v>
      </c>
      <c r="C115" s="239" t="s">
        <v>305</v>
      </c>
      <c r="D115" s="239" t="s">
        <v>302</v>
      </c>
      <c r="E115" s="288">
        <v>200278</v>
      </c>
      <c r="F115" s="242">
        <f>E115/30</f>
        <v>6675.9333333333334</v>
      </c>
      <c r="G115" s="288">
        <v>16022.24</v>
      </c>
    </row>
    <row r="116" spans="1:7" x14ac:dyDescent="0.15">
      <c r="A116" s="240">
        <v>36281</v>
      </c>
      <c r="B116" s="239" t="s">
        <v>301</v>
      </c>
      <c r="C116" s="239" t="s">
        <v>305</v>
      </c>
      <c r="D116" s="239" t="s">
        <v>302</v>
      </c>
      <c r="E116" s="288">
        <v>213823</v>
      </c>
      <c r="F116" s="242">
        <f>E116/31</f>
        <v>6897.5161290322585</v>
      </c>
      <c r="G116" s="288">
        <v>17105.84</v>
      </c>
    </row>
    <row r="117" spans="1:7" x14ac:dyDescent="0.15">
      <c r="A117" s="240">
        <v>36312</v>
      </c>
      <c r="B117" s="239" t="s">
        <v>301</v>
      </c>
      <c r="C117" s="239" t="s">
        <v>305</v>
      </c>
      <c r="D117" s="239" t="s">
        <v>302</v>
      </c>
      <c r="E117" s="288">
        <v>300761</v>
      </c>
      <c r="F117" s="242">
        <f>E117/30</f>
        <v>10025.366666666667</v>
      </c>
      <c r="G117" s="288">
        <v>23450.89</v>
      </c>
    </row>
    <row r="118" spans="1:7" x14ac:dyDescent="0.15">
      <c r="A118" s="240">
        <v>36342</v>
      </c>
      <c r="B118" s="239" t="s">
        <v>301</v>
      </c>
      <c r="C118" s="239" t="s">
        <v>305</v>
      </c>
      <c r="D118" s="239" t="s">
        <v>302</v>
      </c>
      <c r="E118" s="288">
        <v>457330</v>
      </c>
      <c r="F118" s="242">
        <f>E118/31</f>
        <v>14752.58064516129</v>
      </c>
      <c r="G118" s="288">
        <v>25098.32</v>
      </c>
    </row>
    <row r="119" spans="1:7" x14ac:dyDescent="0.15">
      <c r="A119" s="240">
        <v>36373</v>
      </c>
      <c r="B119" s="239" t="s">
        <v>301</v>
      </c>
      <c r="C119" s="239" t="s">
        <v>305</v>
      </c>
      <c r="D119" s="239" t="s">
        <v>302</v>
      </c>
      <c r="E119" s="288">
        <v>343874</v>
      </c>
      <c r="F119" s="242">
        <f>E119/31</f>
        <v>11092.709677419354</v>
      </c>
      <c r="G119" s="288">
        <v>17163.22</v>
      </c>
    </row>
    <row r="120" spans="1:7" x14ac:dyDescent="0.15">
      <c r="A120" s="240">
        <v>36404</v>
      </c>
      <c r="B120" s="239" t="s">
        <v>301</v>
      </c>
      <c r="C120" s="239" t="s">
        <v>305</v>
      </c>
      <c r="D120" s="239" t="s">
        <v>302</v>
      </c>
      <c r="E120" s="288">
        <v>172792</v>
      </c>
      <c r="F120" s="242">
        <f>E120/30</f>
        <v>5759.7333333333336</v>
      </c>
      <c r="G120" s="288">
        <v>13823.36</v>
      </c>
    </row>
    <row r="121" spans="1:7" x14ac:dyDescent="0.15">
      <c r="A121" s="240">
        <v>35431</v>
      </c>
      <c r="B121" s="239" t="s">
        <v>301</v>
      </c>
      <c r="C121" s="239" t="s">
        <v>302</v>
      </c>
      <c r="D121" s="239" t="s">
        <v>306</v>
      </c>
      <c r="E121" s="288">
        <v>1429</v>
      </c>
      <c r="F121" s="242">
        <f>E121/31</f>
        <v>46.096774193548384</v>
      </c>
      <c r="G121" s="239">
        <v>42.87</v>
      </c>
    </row>
    <row r="122" spans="1:7" x14ac:dyDescent="0.15">
      <c r="A122" s="240">
        <v>35490</v>
      </c>
      <c r="B122" s="239" t="s">
        <v>301</v>
      </c>
      <c r="C122" s="239" t="s">
        <v>302</v>
      </c>
      <c r="D122" s="239" t="s">
        <v>303</v>
      </c>
      <c r="E122" s="239">
        <v>73</v>
      </c>
      <c r="F122" s="242">
        <f>E122/31</f>
        <v>2.3548387096774195</v>
      </c>
      <c r="G122" s="239">
        <v>16.27</v>
      </c>
    </row>
    <row r="123" spans="1:7" x14ac:dyDescent="0.15">
      <c r="A123" s="240">
        <v>35521</v>
      </c>
      <c r="B123" s="239" t="s">
        <v>301</v>
      </c>
      <c r="C123" s="239" t="s">
        <v>302</v>
      </c>
      <c r="D123" s="239" t="s">
        <v>303</v>
      </c>
      <c r="E123" s="239">
        <v>162</v>
      </c>
      <c r="F123" s="242">
        <f>E123/30</f>
        <v>5.4</v>
      </c>
      <c r="G123" s="239">
        <v>36.11</v>
      </c>
    </row>
    <row r="124" spans="1:7" x14ac:dyDescent="0.15">
      <c r="A124" s="240">
        <v>35551</v>
      </c>
      <c r="B124" s="239" t="s">
        <v>301</v>
      </c>
      <c r="C124" s="239" t="s">
        <v>302</v>
      </c>
      <c r="D124" s="239" t="s">
        <v>303</v>
      </c>
      <c r="E124" s="288">
        <v>2482</v>
      </c>
      <c r="F124" s="242">
        <f>E124/31</f>
        <v>80.064516129032256</v>
      </c>
      <c r="G124" s="239">
        <v>74.459999999999994</v>
      </c>
    </row>
    <row r="125" spans="1:7" x14ac:dyDescent="0.15">
      <c r="A125" s="240">
        <v>35643</v>
      </c>
      <c r="B125" s="239" t="s">
        <v>307</v>
      </c>
      <c r="C125" s="239" t="s">
        <v>302</v>
      </c>
      <c r="D125" s="239" t="s">
        <v>303</v>
      </c>
      <c r="E125" s="239">
        <v>0</v>
      </c>
      <c r="F125" s="242">
        <f>E125/31</f>
        <v>0</v>
      </c>
      <c r="G125" s="239">
        <v>-31.25</v>
      </c>
    </row>
    <row r="126" spans="1:7" x14ac:dyDescent="0.15">
      <c r="A126" s="240">
        <v>36192</v>
      </c>
      <c r="B126" s="239" t="s">
        <v>301</v>
      </c>
      <c r="C126" s="239" t="s">
        <v>302</v>
      </c>
      <c r="D126" s="239" t="s">
        <v>303</v>
      </c>
      <c r="E126" s="239">
        <v>0</v>
      </c>
      <c r="F126" s="242">
        <f>E126/29</f>
        <v>0</v>
      </c>
      <c r="G126" s="239">
        <v>0</v>
      </c>
    </row>
    <row r="127" spans="1:7" x14ac:dyDescent="0.15">
      <c r="A127" s="240">
        <v>36312</v>
      </c>
      <c r="B127" s="239" t="s">
        <v>301</v>
      </c>
      <c r="C127" s="239" t="s">
        <v>302</v>
      </c>
      <c r="D127" s="239" t="s">
        <v>303</v>
      </c>
      <c r="E127" s="288">
        <v>9869</v>
      </c>
      <c r="F127" s="242">
        <f>E127/30</f>
        <v>328.96666666666664</v>
      </c>
      <c r="G127" s="239">
        <v>493.45</v>
      </c>
    </row>
    <row r="128" spans="1:7" x14ac:dyDescent="0.15">
      <c r="A128" s="240">
        <v>35431</v>
      </c>
      <c r="B128" s="239" t="s">
        <v>301</v>
      </c>
      <c r="C128" s="239" t="s">
        <v>303</v>
      </c>
      <c r="D128" s="239" t="s">
        <v>303</v>
      </c>
      <c r="E128" s="288">
        <v>1903470</v>
      </c>
      <c r="F128" s="242">
        <f>E128/31</f>
        <v>61402.258064516129</v>
      </c>
      <c r="G128" s="288">
        <v>37880.550000000003</v>
      </c>
    </row>
    <row r="129" spans="1:7" x14ac:dyDescent="0.15">
      <c r="A129" s="240">
        <v>35462</v>
      </c>
      <c r="B129" s="239" t="s">
        <v>301</v>
      </c>
      <c r="C129" s="239" t="s">
        <v>303</v>
      </c>
      <c r="D129" s="239" t="s">
        <v>303</v>
      </c>
      <c r="E129" s="288">
        <v>690293</v>
      </c>
      <c r="F129" s="242">
        <f>E129/28</f>
        <v>24653.321428571428</v>
      </c>
      <c r="G129" s="288">
        <v>35727.79</v>
      </c>
    </row>
    <row r="130" spans="1:7" x14ac:dyDescent="0.15">
      <c r="A130" s="240">
        <v>35490</v>
      </c>
      <c r="B130" s="239" t="s">
        <v>301</v>
      </c>
      <c r="C130" s="239" t="s">
        <v>303</v>
      </c>
      <c r="D130" s="239" t="s">
        <v>303</v>
      </c>
      <c r="E130" s="288">
        <v>1396188</v>
      </c>
      <c r="F130" s="242">
        <f>E130/31</f>
        <v>45038.322580645159</v>
      </c>
      <c r="G130" s="288">
        <v>52851.37</v>
      </c>
    </row>
    <row r="131" spans="1:7" x14ac:dyDescent="0.15">
      <c r="A131" s="240">
        <v>35521</v>
      </c>
      <c r="B131" s="239" t="s">
        <v>301</v>
      </c>
      <c r="C131" s="239" t="s">
        <v>303</v>
      </c>
      <c r="D131" s="239" t="s">
        <v>303</v>
      </c>
      <c r="E131" s="288">
        <v>1402713</v>
      </c>
      <c r="F131" s="242">
        <f>E131/30</f>
        <v>46757.1</v>
      </c>
      <c r="G131" s="288">
        <v>62957.120000000003</v>
      </c>
    </row>
    <row r="132" spans="1:7" x14ac:dyDescent="0.15">
      <c r="A132" s="240">
        <v>35551</v>
      </c>
      <c r="B132" s="239" t="s">
        <v>301</v>
      </c>
      <c r="C132" s="239" t="s">
        <v>303</v>
      </c>
      <c r="D132" s="239" t="s">
        <v>303</v>
      </c>
      <c r="E132" s="288">
        <v>1040186</v>
      </c>
      <c r="F132" s="242">
        <f>E132/31</f>
        <v>33554.387096774197</v>
      </c>
      <c r="G132" s="288">
        <v>33365.85</v>
      </c>
    </row>
    <row r="133" spans="1:7" x14ac:dyDescent="0.15">
      <c r="A133" s="240">
        <v>35582</v>
      </c>
      <c r="B133" s="239" t="s">
        <v>301</v>
      </c>
      <c r="C133" s="239" t="s">
        <v>303</v>
      </c>
      <c r="D133" s="239" t="s">
        <v>303</v>
      </c>
      <c r="E133" s="288">
        <v>984354</v>
      </c>
      <c r="F133" s="242">
        <f>E133/30</f>
        <v>32811.800000000003</v>
      </c>
      <c r="G133" s="288">
        <v>49140.68</v>
      </c>
    </row>
    <row r="134" spans="1:7" x14ac:dyDescent="0.15">
      <c r="A134" s="240">
        <v>35612</v>
      </c>
      <c r="B134" s="239" t="s">
        <v>307</v>
      </c>
      <c r="C134" s="239" t="s">
        <v>303</v>
      </c>
      <c r="D134" s="239" t="s">
        <v>303</v>
      </c>
      <c r="E134" s="288">
        <v>7500</v>
      </c>
      <c r="F134" s="242">
        <f>E134/31</f>
        <v>241.93548387096774</v>
      </c>
      <c r="G134" s="239">
        <v>375</v>
      </c>
    </row>
    <row r="135" spans="1:7" x14ac:dyDescent="0.15">
      <c r="A135" s="240">
        <v>35612</v>
      </c>
      <c r="B135" s="239" t="s">
        <v>301</v>
      </c>
      <c r="C135" s="239" t="s">
        <v>303</v>
      </c>
      <c r="D135" s="239" t="s">
        <v>303</v>
      </c>
      <c r="E135" s="288">
        <v>1563701</v>
      </c>
      <c r="F135" s="242">
        <f>E135/31</f>
        <v>50441.967741935485</v>
      </c>
      <c r="G135" s="288">
        <v>44778.55</v>
      </c>
    </row>
    <row r="136" spans="1:7" x14ac:dyDescent="0.15">
      <c r="A136" s="240">
        <v>35643</v>
      </c>
      <c r="B136" s="239" t="s">
        <v>307</v>
      </c>
      <c r="C136" s="239" t="s">
        <v>303</v>
      </c>
      <c r="D136" s="239" t="s">
        <v>303</v>
      </c>
      <c r="E136" s="239">
        <v>0</v>
      </c>
      <c r="F136" s="242">
        <f>E136/31</f>
        <v>0</v>
      </c>
      <c r="G136" s="288">
        <v>-1730.26</v>
      </c>
    </row>
    <row r="137" spans="1:7" x14ac:dyDescent="0.15">
      <c r="A137" s="240">
        <v>35643</v>
      </c>
      <c r="B137" s="239" t="s">
        <v>301</v>
      </c>
      <c r="C137" s="239" t="s">
        <v>303</v>
      </c>
      <c r="D137" s="239" t="s">
        <v>303</v>
      </c>
      <c r="E137" s="288">
        <v>1710618</v>
      </c>
      <c r="F137" s="242">
        <f>E137/31</f>
        <v>55181.225806451614</v>
      </c>
      <c r="G137" s="288">
        <v>65421.8</v>
      </c>
    </row>
    <row r="138" spans="1:7" x14ac:dyDescent="0.15">
      <c r="A138" s="240">
        <v>35674</v>
      </c>
      <c r="B138" s="239" t="s">
        <v>307</v>
      </c>
      <c r="C138" s="239" t="s">
        <v>303</v>
      </c>
      <c r="D138" s="239" t="s">
        <v>303</v>
      </c>
      <c r="E138" s="239">
        <v>0</v>
      </c>
      <c r="F138" s="242">
        <f>E138/30</f>
        <v>0</v>
      </c>
      <c r="G138" s="239">
        <v>-476.73</v>
      </c>
    </row>
    <row r="139" spans="1:7" x14ac:dyDescent="0.15">
      <c r="A139" s="240">
        <v>35674</v>
      </c>
      <c r="B139" s="239" t="s">
        <v>301</v>
      </c>
      <c r="C139" s="239" t="s">
        <v>303</v>
      </c>
      <c r="D139" s="239" t="s">
        <v>303</v>
      </c>
      <c r="E139" s="288">
        <v>1569753</v>
      </c>
      <c r="F139" s="242">
        <f>E139/30</f>
        <v>52325.1</v>
      </c>
      <c r="G139" s="288">
        <v>48720.1</v>
      </c>
    </row>
    <row r="140" spans="1:7" x14ac:dyDescent="0.15">
      <c r="A140" s="240">
        <v>35704</v>
      </c>
      <c r="B140" s="239" t="s">
        <v>301</v>
      </c>
      <c r="C140" s="239" t="s">
        <v>303</v>
      </c>
      <c r="D140" s="239" t="s">
        <v>303</v>
      </c>
      <c r="E140" s="288">
        <v>831400</v>
      </c>
      <c r="F140" s="242">
        <f>E140/31</f>
        <v>26819.354838709678</v>
      </c>
      <c r="G140" s="288">
        <v>21118.97</v>
      </c>
    </row>
    <row r="141" spans="1:7" x14ac:dyDescent="0.15">
      <c r="A141" s="240">
        <v>35735</v>
      </c>
      <c r="B141" s="239" t="s">
        <v>307</v>
      </c>
      <c r="C141" s="239" t="s">
        <v>303</v>
      </c>
      <c r="D141" s="239" t="s">
        <v>303</v>
      </c>
      <c r="E141" s="239">
        <v>0</v>
      </c>
      <c r="F141" s="242">
        <f>E141/30</f>
        <v>0</v>
      </c>
      <c r="G141" s="288">
        <v>-12396.28</v>
      </c>
    </row>
    <row r="142" spans="1:7" x14ac:dyDescent="0.15">
      <c r="A142" s="240">
        <v>35735</v>
      </c>
      <c r="B142" s="239" t="s">
        <v>301</v>
      </c>
      <c r="C142" s="239" t="s">
        <v>303</v>
      </c>
      <c r="D142" s="239" t="s">
        <v>303</v>
      </c>
      <c r="E142" s="288">
        <v>1199044</v>
      </c>
      <c r="F142" s="242">
        <f>E142/30</f>
        <v>39968.133333333331</v>
      </c>
      <c r="G142" s="288">
        <v>26027.47</v>
      </c>
    </row>
    <row r="143" spans="1:7" x14ac:dyDescent="0.15">
      <c r="A143" s="240">
        <v>35765</v>
      </c>
      <c r="B143" s="239" t="s">
        <v>301</v>
      </c>
      <c r="C143" s="239" t="s">
        <v>303</v>
      </c>
      <c r="D143" s="239" t="s">
        <v>303</v>
      </c>
      <c r="E143" s="288">
        <v>1821722</v>
      </c>
      <c r="F143" s="242">
        <f>E143/31</f>
        <v>58765.225806451614</v>
      </c>
      <c r="G143" s="288">
        <v>44972.89</v>
      </c>
    </row>
    <row r="144" spans="1:7" x14ac:dyDescent="0.15">
      <c r="A144" s="240">
        <v>35796</v>
      </c>
      <c r="B144" s="239" t="s">
        <v>301</v>
      </c>
      <c r="C144" s="239" t="s">
        <v>303</v>
      </c>
      <c r="D144" s="239" t="s">
        <v>303</v>
      </c>
      <c r="E144" s="288">
        <v>1727796</v>
      </c>
      <c r="F144" s="242">
        <f>E144/31</f>
        <v>55735.354838709674</v>
      </c>
      <c r="G144" s="288">
        <v>28118.55</v>
      </c>
    </row>
    <row r="145" spans="1:7" x14ac:dyDescent="0.15">
      <c r="A145" s="240">
        <v>35827</v>
      </c>
      <c r="B145" s="239" t="s">
        <v>301</v>
      </c>
      <c r="C145" s="239" t="s">
        <v>303</v>
      </c>
      <c r="D145" s="239" t="s">
        <v>303</v>
      </c>
      <c r="E145" s="288">
        <v>1659281</v>
      </c>
      <c r="F145" s="242">
        <f>E145/28</f>
        <v>59260.035714285717</v>
      </c>
      <c r="G145" s="288">
        <v>41145.68</v>
      </c>
    </row>
    <row r="146" spans="1:7" x14ac:dyDescent="0.15">
      <c r="A146" s="240">
        <v>35855</v>
      </c>
      <c r="B146" s="239" t="s">
        <v>301</v>
      </c>
      <c r="C146" s="239" t="s">
        <v>303</v>
      </c>
      <c r="D146" s="239" t="s">
        <v>303</v>
      </c>
      <c r="E146" s="288">
        <v>915680</v>
      </c>
      <c r="F146" s="242">
        <f>E146/31</f>
        <v>29538.064516129034</v>
      </c>
      <c r="G146" s="288">
        <v>10643.85</v>
      </c>
    </row>
    <row r="147" spans="1:7" x14ac:dyDescent="0.15">
      <c r="A147" s="240">
        <v>35886</v>
      </c>
      <c r="B147" s="239" t="s">
        <v>301</v>
      </c>
      <c r="C147" s="239" t="s">
        <v>303</v>
      </c>
      <c r="D147" s="239" t="s">
        <v>303</v>
      </c>
      <c r="E147" s="288">
        <v>991815</v>
      </c>
      <c r="F147" s="242">
        <f>E147/30</f>
        <v>33060.5</v>
      </c>
      <c r="G147" s="288">
        <v>9139.41</v>
      </c>
    </row>
    <row r="148" spans="1:7" x14ac:dyDescent="0.15">
      <c r="A148" s="240">
        <v>35916</v>
      </c>
      <c r="B148" s="239" t="s">
        <v>301</v>
      </c>
      <c r="C148" s="239" t="s">
        <v>303</v>
      </c>
      <c r="D148" s="239" t="s">
        <v>303</v>
      </c>
      <c r="E148" s="288">
        <v>776391</v>
      </c>
      <c r="F148" s="242">
        <f>E148/31</f>
        <v>25044.870967741936</v>
      </c>
      <c r="G148" s="288">
        <v>7521.61</v>
      </c>
    </row>
    <row r="149" spans="1:7" x14ac:dyDescent="0.15">
      <c r="A149" s="240">
        <v>35947</v>
      </c>
      <c r="B149" s="239" t="s">
        <v>301</v>
      </c>
      <c r="C149" s="239" t="s">
        <v>303</v>
      </c>
      <c r="D149" s="239" t="s">
        <v>303</v>
      </c>
      <c r="E149" s="288">
        <v>1610754</v>
      </c>
      <c r="F149" s="242">
        <f>E149/30</f>
        <v>53691.8</v>
      </c>
      <c r="G149" s="288">
        <v>30777.65</v>
      </c>
    </row>
    <row r="150" spans="1:7" x14ac:dyDescent="0.15">
      <c r="A150" s="240">
        <v>35977</v>
      </c>
      <c r="B150" s="239" t="s">
        <v>301</v>
      </c>
      <c r="C150" s="239" t="s">
        <v>303</v>
      </c>
      <c r="D150" s="239" t="s">
        <v>303</v>
      </c>
      <c r="E150" s="288">
        <v>2850411</v>
      </c>
      <c r="F150" s="242">
        <f>E150/31</f>
        <v>91948.741935483864</v>
      </c>
      <c r="G150" s="288">
        <v>103860.82</v>
      </c>
    </row>
    <row r="151" spans="1:7" x14ac:dyDescent="0.15">
      <c r="A151" s="240">
        <v>36008</v>
      </c>
      <c r="B151" s="239" t="s">
        <v>307</v>
      </c>
      <c r="C151" s="239" t="s">
        <v>303</v>
      </c>
      <c r="D151" s="239" t="s">
        <v>303</v>
      </c>
      <c r="E151" s="239">
        <v>0</v>
      </c>
      <c r="F151" s="242">
        <f>E151/31</f>
        <v>0</v>
      </c>
      <c r="G151" s="288">
        <v>-1103.3</v>
      </c>
    </row>
    <row r="152" spans="1:7" x14ac:dyDescent="0.15">
      <c r="A152" s="240">
        <v>36008</v>
      </c>
      <c r="B152" s="239" t="s">
        <v>301</v>
      </c>
      <c r="C152" s="239" t="s">
        <v>303</v>
      </c>
      <c r="D152" s="239" t="s">
        <v>303</v>
      </c>
      <c r="E152" s="288">
        <v>1512715</v>
      </c>
      <c r="F152" s="242">
        <f>E152/31</f>
        <v>48797.258064516129</v>
      </c>
      <c r="G152" s="288">
        <v>41138.18</v>
      </c>
    </row>
    <row r="153" spans="1:7" x14ac:dyDescent="0.15">
      <c r="A153" s="240">
        <v>36039</v>
      </c>
      <c r="B153" s="239" t="s">
        <v>301</v>
      </c>
      <c r="C153" s="239" t="s">
        <v>303</v>
      </c>
      <c r="D153" s="239" t="s">
        <v>303</v>
      </c>
      <c r="E153" s="288">
        <v>1990958</v>
      </c>
      <c r="F153" s="242">
        <f>E153/30</f>
        <v>66365.266666666663</v>
      </c>
      <c r="G153" s="288">
        <v>60559.76</v>
      </c>
    </row>
    <row r="154" spans="1:7" x14ac:dyDescent="0.15">
      <c r="A154" s="240">
        <v>36069</v>
      </c>
      <c r="B154" s="239" t="s">
        <v>301</v>
      </c>
      <c r="C154" s="239" t="s">
        <v>303</v>
      </c>
      <c r="D154" s="239" t="s">
        <v>303</v>
      </c>
      <c r="E154" s="288">
        <v>3356065</v>
      </c>
      <c r="F154" s="242">
        <f>E154/31</f>
        <v>108260.16129032258</v>
      </c>
      <c r="G154" s="288">
        <v>95591.96</v>
      </c>
    </row>
    <row r="155" spans="1:7" x14ac:dyDescent="0.15">
      <c r="A155" s="240">
        <v>36100</v>
      </c>
      <c r="B155" s="239" t="s">
        <v>301</v>
      </c>
      <c r="C155" s="239" t="s">
        <v>303</v>
      </c>
      <c r="D155" s="239" t="s">
        <v>303</v>
      </c>
      <c r="E155" s="288">
        <v>737444</v>
      </c>
      <c r="F155" s="242">
        <f>E155/30</f>
        <v>24581.466666666667</v>
      </c>
      <c r="G155" s="288">
        <v>22934.959999999999</v>
      </c>
    </row>
    <row r="156" spans="1:7" x14ac:dyDescent="0.15">
      <c r="A156" s="240">
        <v>36130</v>
      </c>
      <c r="B156" s="239" t="s">
        <v>301</v>
      </c>
      <c r="C156" s="239" t="s">
        <v>303</v>
      </c>
      <c r="D156" s="239" t="s">
        <v>303</v>
      </c>
      <c r="E156" s="288">
        <v>1061313</v>
      </c>
      <c r="F156" s="242">
        <f>E156/31</f>
        <v>34235.903225806454</v>
      </c>
      <c r="G156" s="288">
        <v>1506.5</v>
      </c>
    </row>
    <row r="157" spans="1:7" x14ac:dyDescent="0.15">
      <c r="A157" s="240">
        <v>36161</v>
      </c>
      <c r="B157" s="239" t="s">
        <v>307</v>
      </c>
      <c r="C157" s="239" t="s">
        <v>303</v>
      </c>
      <c r="D157" s="239" t="s">
        <v>303</v>
      </c>
      <c r="E157" s="288">
        <v>1391</v>
      </c>
      <c r="F157" s="242">
        <f>E157/31</f>
        <v>44.87096774193548</v>
      </c>
      <c r="G157" s="239">
        <v>69.78</v>
      </c>
    </row>
    <row r="158" spans="1:7" x14ac:dyDescent="0.15">
      <c r="A158" s="240">
        <v>36161</v>
      </c>
      <c r="B158" s="239" t="s">
        <v>301</v>
      </c>
      <c r="C158" s="239" t="s">
        <v>303</v>
      </c>
      <c r="D158" s="239" t="s">
        <v>303</v>
      </c>
      <c r="E158" s="288">
        <v>949838</v>
      </c>
      <c r="F158" s="242">
        <f>E158/31</f>
        <v>30639.935483870966</v>
      </c>
      <c r="G158" s="288">
        <v>10880.01</v>
      </c>
    </row>
    <row r="159" spans="1:7" x14ac:dyDescent="0.15">
      <c r="A159" s="240">
        <v>36192</v>
      </c>
      <c r="B159" s="239" t="s">
        <v>307</v>
      </c>
      <c r="C159" s="239" t="s">
        <v>303</v>
      </c>
      <c r="D159" s="239" t="s">
        <v>303</v>
      </c>
      <c r="E159" s="239">
        <v>0</v>
      </c>
      <c r="F159" s="242">
        <f>E159/29</f>
        <v>0</v>
      </c>
      <c r="G159" s="239">
        <v>-120.59</v>
      </c>
    </row>
    <row r="160" spans="1:7" x14ac:dyDescent="0.15">
      <c r="A160" s="240">
        <v>36192</v>
      </c>
      <c r="B160" s="239" t="s">
        <v>301</v>
      </c>
      <c r="C160" s="239" t="s">
        <v>303</v>
      </c>
      <c r="D160" s="239" t="s">
        <v>303</v>
      </c>
      <c r="E160" s="288">
        <v>640190</v>
      </c>
      <c r="F160" s="242">
        <f>E160/29</f>
        <v>22075.517241379312</v>
      </c>
      <c r="G160" s="288">
        <v>5157.2700000000004</v>
      </c>
    </row>
    <row r="161" spans="1:7" x14ac:dyDescent="0.15">
      <c r="A161" s="240">
        <v>36220</v>
      </c>
      <c r="B161" s="239" t="s">
        <v>301</v>
      </c>
      <c r="C161" s="239" t="s">
        <v>303</v>
      </c>
      <c r="D161" s="239" t="s">
        <v>303</v>
      </c>
      <c r="E161" s="288">
        <v>731549</v>
      </c>
      <c r="F161" s="242">
        <f>E161/31</f>
        <v>23598.354838709678</v>
      </c>
      <c r="G161" s="288">
        <v>12896.62</v>
      </c>
    </row>
    <row r="162" spans="1:7" x14ac:dyDescent="0.15">
      <c r="A162" s="240">
        <v>36251</v>
      </c>
      <c r="B162" s="239" t="s">
        <v>301</v>
      </c>
      <c r="C162" s="239" t="s">
        <v>303</v>
      </c>
      <c r="D162" s="239" t="s">
        <v>303</v>
      </c>
      <c r="E162" s="288">
        <v>3251623</v>
      </c>
      <c r="F162" s="242">
        <f>E162/30</f>
        <v>108387.43333333333</v>
      </c>
      <c r="G162" s="288">
        <v>93992.85</v>
      </c>
    </row>
    <row r="163" spans="1:7" x14ac:dyDescent="0.15">
      <c r="A163" s="240">
        <v>36281</v>
      </c>
      <c r="B163" s="239" t="s">
        <v>301</v>
      </c>
      <c r="C163" s="239" t="s">
        <v>303</v>
      </c>
      <c r="D163" s="239" t="s">
        <v>303</v>
      </c>
      <c r="E163" s="288">
        <v>2398299</v>
      </c>
      <c r="F163" s="242">
        <f>E163/31</f>
        <v>77364.483870967742</v>
      </c>
      <c r="G163" s="288">
        <v>77702.06</v>
      </c>
    </row>
    <row r="164" spans="1:7" x14ac:dyDescent="0.15">
      <c r="A164" s="240">
        <v>36312</v>
      </c>
      <c r="B164" s="239" t="s">
        <v>301</v>
      </c>
      <c r="C164" s="239" t="s">
        <v>303</v>
      </c>
      <c r="D164" s="239" t="s">
        <v>303</v>
      </c>
      <c r="E164" s="288">
        <v>2191474</v>
      </c>
      <c r="F164" s="242">
        <f>E164/30</f>
        <v>73049.133333333331</v>
      </c>
      <c r="G164" s="288">
        <v>95174.94</v>
      </c>
    </row>
    <row r="165" spans="1:7" x14ac:dyDescent="0.15">
      <c r="A165" s="240">
        <v>36342</v>
      </c>
      <c r="B165" s="239" t="s">
        <v>301</v>
      </c>
      <c r="C165" s="239" t="s">
        <v>303</v>
      </c>
      <c r="D165" s="239" t="s">
        <v>303</v>
      </c>
      <c r="E165" s="288">
        <v>3690477</v>
      </c>
      <c r="F165" s="242">
        <f>E165/31</f>
        <v>119047.64516129032</v>
      </c>
      <c r="G165" s="288">
        <v>73265.119999999995</v>
      </c>
    </row>
    <row r="166" spans="1:7" x14ac:dyDescent="0.15">
      <c r="A166" s="240">
        <v>36373</v>
      </c>
      <c r="B166" s="239" t="s">
        <v>301</v>
      </c>
      <c r="C166" s="239" t="s">
        <v>303</v>
      </c>
      <c r="D166" s="239" t="s">
        <v>303</v>
      </c>
      <c r="E166" s="288">
        <v>3577534</v>
      </c>
      <c r="F166" s="242">
        <f>E166/31</f>
        <v>115404.32258064517</v>
      </c>
      <c r="G166" s="288">
        <v>121895.56</v>
      </c>
    </row>
    <row r="167" spans="1:7" x14ac:dyDescent="0.15">
      <c r="A167" s="240">
        <v>36404</v>
      </c>
      <c r="B167" s="239" t="s">
        <v>301</v>
      </c>
      <c r="C167" s="239" t="s">
        <v>303</v>
      </c>
      <c r="D167" s="239" t="s">
        <v>303</v>
      </c>
      <c r="E167" s="288">
        <v>2796013</v>
      </c>
      <c r="F167" s="242">
        <f>E167/30</f>
        <v>93200.433333333334</v>
      </c>
      <c r="G167" s="288">
        <v>66455.360000000001</v>
      </c>
    </row>
    <row r="168" spans="1:7" x14ac:dyDescent="0.15">
      <c r="A168" s="240">
        <v>36434</v>
      </c>
      <c r="B168" s="239" t="s">
        <v>301</v>
      </c>
      <c r="C168" s="239" t="s">
        <v>303</v>
      </c>
      <c r="D168" s="239" t="s">
        <v>303</v>
      </c>
      <c r="E168" s="288">
        <v>1424876</v>
      </c>
      <c r="F168" s="242">
        <f>E168/31</f>
        <v>45963.741935483871</v>
      </c>
      <c r="G168" s="288">
        <v>23129.54</v>
      </c>
    </row>
    <row r="169" spans="1:7" x14ac:dyDescent="0.15">
      <c r="A169" s="240">
        <v>36465</v>
      </c>
      <c r="B169" s="239" t="s">
        <v>301</v>
      </c>
      <c r="C169" s="239" t="s">
        <v>303</v>
      </c>
      <c r="D169" s="239" t="s">
        <v>303</v>
      </c>
      <c r="E169" s="288">
        <v>2490593</v>
      </c>
      <c r="F169" s="242">
        <f>E169/30</f>
        <v>83019.766666666663</v>
      </c>
      <c r="G169" s="288">
        <v>60285.73</v>
      </c>
    </row>
    <row r="170" spans="1:7" x14ac:dyDescent="0.15">
      <c r="A170" s="240">
        <v>36495</v>
      </c>
      <c r="B170" s="239" t="s">
        <v>301</v>
      </c>
      <c r="C170" s="239" t="s">
        <v>303</v>
      </c>
      <c r="D170" s="239" t="s">
        <v>303</v>
      </c>
      <c r="E170" s="288">
        <v>3526645</v>
      </c>
      <c r="F170" s="242">
        <f>E170/31</f>
        <v>113762.74193548386</v>
      </c>
      <c r="G170" s="288">
        <v>82751.63</v>
      </c>
    </row>
    <row r="171" spans="1:7" x14ac:dyDescent="0.15">
      <c r="A171" s="240">
        <v>36069</v>
      </c>
      <c r="B171" s="239" t="s">
        <v>301</v>
      </c>
      <c r="C171" s="239" t="s">
        <v>304</v>
      </c>
      <c r="D171" s="239" t="s">
        <v>303</v>
      </c>
      <c r="E171" s="288">
        <v>12873</v>
      </c>
      <c r="F171" s="242">
        <f>E171/31</f>
        <v>415.25806451612902</v>
      </c>
      <c r="G171" s="288">
        <v>1355.53</v>
      </c>
    </row>
    <row r="172" spans="1:7" x14ac:dyDescent="0.15">
      <c r="A172" s="240">
        <v>36100</v>
      </c>
      <c r="B172" s="239" t="s">
        <v>301</v>
      </c>
      <c r="C172" s="239" t="s">
        <v>304</v>
      </c>
      <c r="D172" s="239" t="s">
        <v>303</v>
      </c>
      <c r="E172" s="239">
        <v>0</v>
      </c>
      <c r="F172" s="242">
        <f>E172/30</f>
        <v>0</v>
      </c>
      <c r="G172" s="239">
        <v>-711.88</v>
      </c>
    </row>
    <row r="173" spans="1:7" x14ac:dyDescent="0.15">
      <c r="A173" s="240">
        <v>36192</v>
      </c>
      <c r="B173" s="239" t="s">
        <v>301</v>
      </c>
      <c r="C173" s="239" t="s">
        <v>304</v>
      </c>
      <c r="D173" s="239" t="s">
        <v>303</v>
      </c>
      <c r="E173" s="288">
        <v>26184</v>
      </c>
      <c r="F173" s="242">
        <f>E173/29</f>
        <v>902.89655172413791</v>
      </c>
      <c r="G173" s="288">
        <v>1309.2</v>
      </c>
    </row>
    <row r="174" spans="1:7" x14ac:dyDescent="0.15">
      <c r="A174" s="240">
        <v>36220</v>
      </c>
      <c r="B174" s="239" t="s">
        <v>301</v>
      </c>
      <c r="C174" s="239" t="s">
        <v>304</v>
      </c>
      <c r="D174" s="239" t="s">
        <v>303</v>
      </c>
      <c r="E174" s="288">
        <v>14985</v>
      </c>
      <c r="F174" s="242">
        <f>E174/31</f>
        <v>483.38709677419354</v>
      </c>
      <c r="G174" s="239">
        <v>899.1</v>
      </c>
    </row>
    <row r="175" spans="1:7" x14ac:dyDescent="0.15">
      <c r="A175" s="240">
        <v>36312</v>
      </c>
      <c r="B175" s="239" t="s">
        <v>301</v>
      </c>
      <c r="C175" s="239" t="s">
        <v>304</v>
      </c>
      <c r="D175" s="239" t="s">
        <v>303</v>
      </c>
      <c r="E175" s="239">
        <v>12</v>
      </c>
      <c r="F175" s="242">
        <f>E175/30</f>
        <v>0.4</v>
      </c>
      <c r="G175" s="239">
        <v>1.27</v>
      </c>
    </row>
    <row r="176" spans="1:7" x14ac:dyDescent="0.15">
      <c r="A176" s="240">
        <v>36373</v>
      </c>
      <c r="B176" s="239" t="s">
        <v>301</v>
      </c>
      <c r="C176" s="239" t="s">
        <v>304</v>
      </c>
      <c r="D176" s="239" t="s">
        <v>303</v>
      </c>
      <c r="E176" s="288">
        <v>4608</v>
      </c>
      <c r="F176" s="242">
        <f>E176/31</f>
        <v>148.64516129032259</v>
      </c>
      <c r="G176" s="239">
        <v>485.22</v>
      </c>
    </row>
    <row r="177" spans="1:7" x14ac:dyDescent="0.15">
      <c r="A177" s="240">
        <v>36404</v>
      </c>
      <c r="B177" s="239" t="s">
        <v>301</v>
      </c>
      <c r="C177" s="239" t="s">
        <v>304</v>
      </c>
      <c r="D177" s="239" t="s">
        <v>303</v>
      </c>
      <c r="E177" s="288">
        <v>15693</v>
      </c>
      <c r="F177" s="242">
        <f>E177/30</f>
        <v>523.1</v>
      </c>
      <c r="G177" s="288">
        <v>1652.47</v>
      </c>
    </row>
    <row r="178" spans="1:7" x14ac:dyDescent="0.15">
      <c r="A178" s="240">
        <v>35521</v>
      </c>
      <c r="B178" s="239" t="s">
        <v>301</v>
      </c>
      <c r="C178" s="239" t="s">
        <v>305</v>
      </c>
      <c r="D178" s="239" t="s">
        <v>303</v>
      </c>
      <c r="E178" s="288">
        <v>8000</v>
      </c>
      <c r="F178" s="242">
        <f>E178/30</f>
        <v>266.66666666666669</v>
      </c>
      <c r="G178" s="239">
        <v>960</v>
      </c>
    </row>
    <row r="179" spans="1:7" x14ac:dyDescent="0.15">
      <c r="A179" s="240">
        <v>36312</v>
      </c>
      <c r="B179" s="239" t="s">
        <v>307</v>
      </c>
      <c r="C179" s="239" t="s">
        <v>305</v>
      </c>
      <c r="D179" s="239" t="s">
        <v>303</v>
      </c>
      <c r="E179" s="288">
        <v>2628</v>
      </c>
      <c r="F179" s="242">
        <f>E179/30</f>
        <v>87.6</v>
      </c>
      <c r="G179" s="239">
        <v>354.78</v>
      </c>
    </row>
    <row r="180" spans="1:7" x14ac:dyDescent="0.15">
      <c r="A180" s="240">
        <v>35431</v>
      </c>
      <c r="B180" s="239" t="s">
        <v>301</v>
      </c>
      <c r="C180" s="239" t="s">
        <v>302</v>
      </c>
      <c r="D180" s="239" t="s">
        <v>304</v>
      </c>
      <c r="E180" s="288">
        <v>66089</v>
      </c>
      <c r="F180" s="242">
        <f>E180/31</f>
        <v>2131.9032258064517</v>
      </c>
      <c r="G180" s="288">
        <v>1982.67</v>
      </c>
    </row>
    <row r="181" spans="1:7" x14ac:dyDescent="0.15">
      <c r="A181" s="240">
        <v>35462</v>
      </c>
      <c r="B181" s="239" t="s">
        <v>301</v>
      </c>
      <c r="C181" s="239" t="s">
        <v>302</v>
      </c>
      <c r="D181" s="239" t="s">
        <v>304</v>
      </c>
      <c r="E181" s="288">
        <v>59242</v>
      </c>
      <c r="F181" s="242">
        <f>E181/28</f>
        <v>2115.7857142857142</v>
      </c>
      <c r="G181" s="288">
        <v>1777.26</v>
      </c>
    </row>
    <row r="182" spans="1:7" x14ac:dyDescent="0.15">
      <c r="A182" s="240">
        <v>35551</v>
      </c>
      <c r="B182" s="239" t="s">
        <v>301</v>
      </c>
      <c r="C182" s="239" t="s">
        <v>302</v>
      </c>
      <c r="D182" s="239" t="s">
        <v>304</v>
      </c>
      <c r="E182" s="288">
        <v>112208</v>
      </c>
      <c r="F182" s="242">
        <f>E182/31</f>
        <v>3619.6129032258063</v>
      </c>
      <c r="G182" s="288">
        <v>3366.24</v>
      </c>
    </row>
    <row r="183" spans="1:7" x14ac:dyDescent="0.15">
      <c r="A183" s="240">
        <v>35582</v>
      </c>
      <c r="B183" s="239" t="s">
        <v>301</v>
      </c>
      <c r="C183" s="239" t="s">
        <v>302</v>
      </c>
      <c r="D183" s="239" t="s">
        <v>304</v>
      </c>
      <c r="E183" s="288">
        <v>175296</v>
      </c>
      <c r="F183" s="242">
        <f>E183/30</f>
        <v>5843.2</v>
      </c>
      <c r="G183" s="288">
        <v>5258.88</v>
      </c>
    </row>
    <row r="184" spans="1:7" x14ac:dyDescent="0.15">
      <c r="A184" s="240">
        <v>35643</v>
      </c>
      <c r="B184" s="239" t="s">
        <v>301</v>
      </c>
      <c r="C184" s="239" t="s">
        <v>302</v>
      </c>
      <c r="D184" s="239" t="s">
        <v>304</v>
      </c>
      <c r="E184" s="239">
        <v>0</v>
      </c>
      <c r="F184" s="242">
        <f>E184/31</f>
        <v>0</v>
      </c>
      <c r="G184" s="239">
        <v>-25.55</v>
      </c>
    </row>
    <row r="185" spans="1:7" x14ac:dyDescent="0.15">
      <c r="A185" s="240">
        <v>35704</v>
      </c>
      <c r="B185" s="239" t="s">
        <v>301</v>
      </c>
      <c r="C185" s="239" t="s">
        <v>302</v>
      </c>
      <c r="D185" s="239" t="s">
        <v>304</v>
      </c>
      <c r="E185" s="239">
        <v>0</v>
      </c>
      <c r="F185" s="242">
        <f>E185/31</f>
        <v>0</v>
      </c>
      <c r="G185" s="239">
        <v>0</v>
      </c>
    </row>
    <row r="186" spans="1:7" x14ac:dyDescent="0.15">
      <c r="A186" s="240">
        <v>35765</v>
      </c>
      <c r="B186" s="239" t="s">
        <v>301</v>
      </c>
      <c r="C186" s="239" t="s">
        <v>302</v>
      </c>
      <c r="D186" s="239" t="s">
        <v>304</v>
      </c>
      <c r="E186" s="288">
        <v>62551</v>
      </c>
      <c r="F186" s="242">
        <f>E186/31</f>
        <v>2017.7741935483871</v>
      </c>
      <c r="G186" s="288">
        <v>2502.04</v>
      </c>
    </row>
    <row r="187" spans="1:7" x14ac:dyDescent="0.15">
      <c r="A187" s="240">
        <v>35796</v>
      </c>
      <c r="B187" s="239" t="s">
        <v>301</v>
      </c>
      <c r="C187" s="239" t="s">
        <v>302</v>
      </c>
      <c r="D187" s="239" t="s">
        <v>304</v>
      </c>
      <c r="E187" s="288">
        <v>5000</v>
      </c>
      <c r="F187" s="242">
        <f>E187/31</f>
        <v>161.29032258064515</v>
      </c>
      <c r="G187" s="239">
        <v>200</v>
      </c>
    </row>
    <row r="188" spans="1:7" x14ac:dyDescent="0.15">
      <c r="A188" s="240">
        <v>35886</v>
      </c>
      <c r="B188" s="239" t="s">
        <v>301</v>
      </c>
      <c r="C188" s="239" t="s">
        <v>302</v>
      </c>
      <c r="D188" s="239" t="s">
        <v>304</v>
      </c>
      <c r="E188" s="288">
        <v>13876</v>
      </c>
      <c r="F188" s="242">
        <f>E188/30</f>
        <v>462.53333333333336</v>
      </c>
      <c r="G188" s="239">
        <v>555.04</v>
      </c>
    </row>
    <row r="189" spans="1:7" x14ac:dyDescent="0.15">
      <c r="A189" s="240">
        <v>35916</v>
      </c>
      <c r="B189" s="239" t="s">
        <v>301</v>
      </c>
      <c r="C189" s="239" t="s">
        <v>302</v>
      </c>
      <c r="D189" s="239" t="s">
        <v>304</v>
      </c>
      <c r="E189" s="288">
        <v>19020</v>
      </c>
      <c r="F189" s="242">
        <f>E189/31</f>
        <v>613.54838709677415</v>
      </c>
      <c r="G189" s="239">
        <v>760.8</v>
      </c>
    </row>
    <row r="190" spans="1:7" x14ac:dyDescent="0.15">
      <c r="A190" s="240">
        <v>36039</v>
      </c>
      <c r="B190" s="239" t="s">
        <v>301</v>
      </c>
      <c r="C190" s="239" t="s">
        <v>302</v>
      </c>
      <c r="D190" s="239" t="s">
        <v>304</v>
      </c>
      <c r="E190" s="288">
        <v>184029</v>
      </c>
      <c r="F190" s="242">
        <f>E190/30</f>
        <v>6134.3</v>
      </c>
      <c r="G190" s="288">
        <v>2627.3</v>
      </c>
    </row>
    <row r="191" spans="1:7" x14ac:dyDescent="0.15">
      <c r="A191" s="240">
        <v>36069</v>
      </c>
      <c r="B191" s="239" t="s">
        <v>301</v>
      </c>
      <c r="C191" s="239" t="s">
        <v>302</v>
      </c>
      <c r="D191" s="239" t="s">
        <v>304</v>
      </c>
      <c r="E191" s="288">
        <v>53427</v>
      </c>
      <c r="F191" s="242">
        <f>E191/31</f>
        <v>1723.4516129032259</v>
      </c>
      <c r="G191" s="288">
        <v>3796.54</v>
      </c>
    </row>
    <row r="192" spans="1:7" x14ac:dyDescent="0.15">
      <c r="A192" s="240">
        <v>36251</v>
      </c>
      <c r="B192" s="239" t="s">
        <v>301</v>
      </c>
      <c r="C192" s="239" t="s">
        <v>302</v>
      </c>
      <c r="D192" s="239" t="s">
        <v>304</v>
      </c>
      <c r="E192" s="288">
        <v>20942</v>
      </c>
      <c r="F192" s="242">
        <f>E192/30</f>
        <v>698.06666666666672</v>
      </c>
      <c r="G192" s="288">
        <v>1047.0999999999999</v>
      </c>
    </row>
    <row r="193" spans="1:7" x14ac:dyDescent="0.15">
      <c r="A193" s="240">
        <v>36281</v>
      </c>
      <c r="B193" s="239" t="s">
        <v>301</v>
      </c>
      <c r="C193" s="239" t="s">
        <v>302</v>
      </c>
      <c r="D193" s="239" t="s">
        <v>304</v>
      </c>
      <c r="E193" s="288">
        <v>4987</v>
      </c>
      <c r="F193" s="242">
        <f>E193/31</f>
        <v>160.87096774193549</v>
      </c>
      <c r="G193" s="239">
        <v>498.7</v>
      </c>
    </row>
    <row r="194" spans="1:7" x14ac:dyDescent="0.15">
      <c r="A194" s="240">
        <v>35431</v>
      </c>
      <c r="B194" s="239" t="s">
        <v>301</v>
      </c>
      <c r="C194" s="239" t="s">
        <v>303</v>
      </c>
      <c r="D194" s="239" t="s">
        <v>304</v>
      </c>
      <c r="E194" s="288">
        <v>116031</v>
      </c>
      <c r="F194" s="242">
        <f>E194/31</f>
        <v>3742.9354838709678</v>
      </c>
      <c r="G194" s="288">
        <v>7043.48</v>
      </c>
    </row>
    <row r="195" spans="1:7" x14ac:dyDescent="0.15">
      <c r="A195" s="240">
        <v>35462</v>
      </c>
      <c r="B195" s="239" t="s">
        <v>301</v>
      </c>
      <c r="C195" s="239" t="s">
        <v>303</v>
      </c>
      <c r="D195" s="239" t="s">
        <v>304</v>
      </c>
      <c r="E195" s="288">
        <v>311975</v>
      </c>
      <c r="F195" s="242">
        <f>E195/28</f>
        <v>11141.964285714286</v>
      </c>
      <c r="G195" s="288">
        <v>16010.26</v>
      </c>
    </row>
    <row r="196" spans="1:7" x14ac:dyDescent="0.15">
      <c r="A196" s="240">
        <v>35490</v>
      </c>
      <c r="B196" s="239" t="s">
        <v>301</v>
      </c>
      <c r="C196" s="239" t="s">
        <v>303</v>
      </c>
      <c r="D196" s="239" t="s">
        <v>304</v>
      </c>
      <c r="E196" s="288">
        <v>50015</v>
      </c>
      <c r="F196" s="242">
        <f>E196/31</f>
        <v>1613.3870967741937</v>
      </c>
      <c r="G196" s="288">
        <v>2558.1999999999998</v>
      </c>
    </row>
    <row r="197" spans="1:7" x14ac:dyDescent="0.15">
      <c r="A197" s="240">
        <v>35521</v>
      </c>
      <c r="B197" s="239" t="s">
        <v>301</v>
      </c>
      <c r="C197" s="239" t="s">
        <v>303</v>
      </c>
      <c r="D197" s="239" t="s">
        <v>304</v>
      </c>
      <c r="E197" s="288">
        <v>10662</v>
      </c>
      <c r="F197" s="242">
        <f>E197/30</f>
        <v>355.4</v>
      </c>
      <c r="G197" s="288">
        <v>1066.2</v>
      </c>
    </row>
    <row r="198" spans="1:7" x14ac:dyDescent="0.15">
      <c r="A198" s="240">
        <v>35551</v>
      </c>
      <c r="B198" s="239" t="s">
        <v>301</v>
      </c>
      <c r="C198" s="239" t="s">
        <v>303</v>
      </c>
      <c r="D198" s="239" t="s">
        <v>304</v>
      </c>
      <c r="E198" s="288">
        <v>12475</v>
      </c>
      <c r="F198" s="242">
        <f>E198/31</f>
        <v>402.41935483870969</v>
      </c>
      <c r="G198" s="288">
        <v>1247.5</v>
      </c>
    </row>
    <row r="199" spans="1:7" x14ac:dyDescent="0.15">
      <c r="A199" s="240">
        <v>35582</v>
      </c>
      <c r="B199" s="239" t="s">
        <v>301</v>
      </c>
      <c r="C199" s="239" t="s">
        <v>303</v>
      </c>
      <c r="D199" s="239" t="s">
        <v>304</v>
      </c>
      <c r="E199" s="288">
        <v>1319</v>
      </c>
      <c r="F199" s="242">
        <f>E199/30</f>
        <v>43.966666666666669</v>
      </c>
      <c r="G199" s="239">
        <v>131.9</v>
      </c>
    </row>
    <row r="200" spans="1:7" x14ac:dyDescent="0.15">
      <c r="A200" s="240">
        <v>35674</v>
      </c>
      <c r="B200" s="239" t="s">
        <v>301</v>
      </c>
      <c r="C200" s="239" t="s">
        <v>303</v>
      </c>
      <c r="D200" s="239" t="s">
        <v>304</v>
      </c>
      <c r="E200" s="288">
        <v>3352</v>
      </c>
      <c r="F200" s="242">
        <f>E200/30</f>
        <v>111.73333333333333</v>
      </c>
      <c r="G200" s="239">
        <v>345.59</v>
      </c>
    </row>
    <row r="201" spans="1:7" x14ac:dyDescent="0.15">
      <c r="A201" s="240">
        <v>35704</v>
      </c>
      <c r="B201" s="239" t="s">
        <v>301</v>
      </c>
      <c r="C201" s="239" t="s">
        <v>303</v>
      </c>
      <c r="D201" s="239" t="s">
        <v>304</v>
      </c>
      <c r="E201" s="239">
        <v>0</v>
      </c>
      <c r="F201" s="242">
        <f>E201/31</f>
        <v>0</v>
      </c>
      <c r="G201" s="239">
        <v>0</v>
      </c>
    </row>
    <row r="202" spans="1:7" x14ac:dyDescent="0.15">
      <c r="A202" s="240">
        <v>35827</v>
      </c>
      <c r="B202" s="239" t="s">
        <v>301</v>
      </c>
      <c r="C202" s="239" t="s">
        <v>303</v>
      </c>
      <c r="D202" s="239" t="s">
        <v>304</v>
      </c>
      <c r="E202" s="288">
        <v>12967</v>
      </c>
      <c r="F202" s="242">
        <f>E202/28</f>
        <v>463.10714285714283</v>
      </c>
      <c r="G202" s="239">
        <v>648.35</v>
      </c>
    </row>
    <row r="203" spans="1:7" x14ac:dyDescent="0.15">
      <c r="A203" s="240">
        <v>35855</v>
      </c>
      <c r="B203" s="239" t="s">
        <v>301</v>
      </c>
      <c r="C203" s="239" t="s">
        <v>303</v>
      </c>
      <c r="D203" s="239" t="s">
        <v>304</v>
      </c>
      <c r="E203" s="288">
        <v>14945</v>
      </c>
      <c r="F203" s="242">
        <f>E203/31</f>
        <v>482.09677419354841</v>
      </c>
      <c r="G203" s="288">
        <v>1275.5999999999999</v>
      </c>
    </row>
    <row r="204" spans="1:7" x14ac:dyDescent="0.15">
      <c r="A204" s="240">
        <v>35886</v>
      </c>
      <c r="B204" s="239" t="s">
        <v>301</v>
      </c>
      <c r="C204" s="239" t="s">
        <v>303</v>
      </c>
      <c r="D204" s="239" t="s">
        <v>304</v>
      </c>
      <c r="E204" s="288">
        <v>35740</v>
      </c>
      <c r="F204" s="242">
        <f>E204/30</f>
        <v>1191.3333333333333</v>
      </c>
      <c r="G204" s="288">
        <v>3153.53</v>
      </c>
    </row>
    <row r="205" spans="1:7" x14ac:dyDescent="0.15">
      <c r="A205" s="240">
        <v>35916</v>
      </c>
      <c r="B205" s="239" t="s">
        <v>301</v>
      </c>
      <c r="C205" s="239" t="s">
        <v>303</v>
      </c>
      <c r="D205" s="239" t="s">
        <v>304</v>
      </c>
      <c r="E205" s="288">
        <v>8132</v>
      </c>
      <c r="F205" s="242">
        <f>E205/31</f>
        <v>262.32258064516128</v>
      </c>
      <c r="G205" s="239">
        <v>838.41</v>
      </c>
    </row>
    <row r="206" spans="1:7" x14ac:dyDescent="0.15">
      <c r="A206" s="240">
        <v>35947</v>
      </c>
      <c r="B206" s="239" t="s">
        <v>301</v>
      </c>
      <c r="C206" s="239" t="s">
        <v>303</v>
      </c>
      <c r="D206" s="239" t="s">
        <v>304</v>
      </c>
      <c r="E206" s="288">
        <v>36373</v>
      </c>
      <c r="F206" s="242">
        <f>E206/30</f>
        <v>1212.4333333333334</v>
      </c>
      <c r="G206" s="288">
        <v>3750.05</v>
      </c>
    </row>
    <row r="207" spans="1:7" x14ac:dyDescent="0.15">
      <c r="A207" s="240">
        <v>35977</v>
      </c>
      <c r="B207" s="239" t="s">
        <v>301</v>
      </c>
      <c r="C207" s="239" t="s">
        <v>303</v>
      </c>
      <c r="D207" s="239" t="s">
        <v>304</v>
      </c>
      <c r="E207" s="288">
        <v>18005</v>
      </c>
      <c r="F207" s="242">
        <f>E207/31</f>
        <v>580.80645161290317</v>
      </c>
      <c r="G207" s="288">
        <v>1856.32</v>
      </c>
    </row>
    <row r="208" spans="1:7" x14ac:dyDescent="0.15">
      <c r="A208" s="240">
        <v>36100</v>
      </c>
      <c r="B208" s="239" t="s">
        <v>301</v>
      </c>
      <c r="C208" s="239" t="s">
        <v>303</v>
      </c>
      <c r="D208" s="239" t="s">
        <v>304</v>
      </c>
      <c r="E208" s="239">
        <v>532</v>
      </c>
      <c r="F208" s="242">
        <f>E208/30</f>
        <v>17.733333333333334</v>
      </c>
      <c r="G208" s="239">
        <v>15.96</v>
      </c>
    </row>
    <row r="209" spans="1:7" x14ac:dyDescent="0.15">
      <c r="A209" s="240">
        <v>35796</v>
      </c>
      <c r="B209" s="239" t="s">
        <v>301</v>
      </c>
      <c r="C209" s="239" t="s">
        <v>304</v>
      </c>
      <c r="D209" s="239" t="s">
        <v>304</v>
      </c>
      <c r="E209" s="288">
        <v>2428</v>
      </c>
      <c r="F209" s="242">
        <f>E209/31</f>
        <v>78.322580645161295</v>
      </c>
      <c r="G209" s="239">
        <v>2.67</v>
      </c>
    </row>
    <row r="210" spans="1:7" x14ac:dyDescent="0.15">
      <c r="A210" s="240">
        <v>35827</v>
      </c>
      <c r="B210" s="239" t="s">
        <v>301</v>
      </c>
      <c r="C210" s="239" t="s">
        <v>304</v>
      </c>
      <c r="D210" s="239" t="s">
        <v>304</v>
      </c>
      <c r="E210" s="288">
        <v>25934</v>
      </c>
      <c r="F210" s="242">
        <f>E210/28</f>
        <v>926.21428571428567</v>
      </c>
      <c r="G210" s="239">
        <v>28.53</v>
      </c>
    </row>
    <row r="211" spans="1:7" x14ac:dyDescent="0.15">
      <c r="A211" s="240">
        <v>35855</v>
      </c>
      <c r="B211" s="239" t="s">
        <v>301</v>
      </c>
      <c r="C211" s="239" t="s">
        <v>304</v>
      </c>
      <c r="D211" s="239" t="s">
        <v>304</v>
      </c>
      <c r="E211" s="288">
        <v>39895</v>
      </c>
      <c r="F211" s="242">
        <f>E211/31</f>
        <v>1286.9354838709678</v>
      </c>
      <c r="G211" s="239">
        <v>0</v>
      </c>
    </row>
    <row r="212" spans="1:7" x14ac:dyDescent="0.15">
      <c r="A212" s="240">
        <v>35886</v>
      </c>
      <c r="B212" s="239" t="s">
        <v>301</v>
      </c>
      <c r="C212" s="239" t="s">
        <v>304</v>
      </c>
      <c r="D212" s="239" t="s">
        <v>304</v>
      </c>
      <c r="E212" s="288">
        <v>10005</v>
      </c>
      <c r="F212" s="242">
        <f>E212/30</f>
        <v>333.5</v>
      </c>
      <c r="G212" s="239">
        <v>0</v>
      </c>
    </row>
    <row r="213" spans="1:7" x14ac:dyDescent="0.15">
      <c r="A213" s="240">
        <v>35947</v>
      </c>
      <c r="B213" s="239" t="s">
        <v>301</v>
      </c>
      <c r="C213" s="239" t="s">
        <v>304</v>
      </c>
      <c r="D213" s="239" t="s">
        <v>304</v>
      </c>
      <c r="E213" s="288">
        <v>20000</v>
      </c>
      <c r="F213" s="242">
        <f>E213/30</f>
        <v>666.66666666666663</v>
      </c>
      <c r="G213" s="239">
        <v>0</v>
      </c>
    </row>
    <row r="214" spans="1:7" x14ac:dyDescent="0.15">
      <c r="A214" s="240">
        <v>35977</v>
      </c>
      <c r="B214" s="239" t="s">
        <v>307</v>
      </c>
      <c r="C214" s="239" t="s">
        <v>304</v>
      </c>
      <c r="D214" s="239" t="s">
        <v>304</v>
      </c>
      <c r="E214" s="239">
        <v>0</v>
      </c>
      <c r="F214" s="242">
        <f>E214/31</f>
        <v>0</v>
      </c>
      <c r="G214" s="239">
        <v>44</v>
      </c>
    </row>
    <row r="215" spans="1:7" x14ac:dyDescent="0.15">
      <c r="A215" s="240">
        <v>36161</v>
      </c>
      <c r="B215" s="239" t="s">
        <v>301</v>
      </c>
      <c r="C215" s="239" t="s">
        <v>304</v>
      </c>
      <c r="D215" s="239" t="s">
        <v>304</v>
      </c>
      <c r="E215" s="288">
        <v>30000</v>
      </c>
      <c r="F215" s="242">
        <f>E215/31</f>
        <v>967.74193548387098</v>
      </c>
      <c r="G215" s="239">
        <v>0</v>
      </c>
    </row>
    <row r="216" spans="1:7" x14ac:dyDescent="0.15">
      <c r="A216" s="240">
        <v>36192</v>
      </c>
      <c r="B216" s="239" t="s">
        <v>301</v>
      </c>
      <c r="C216" s="239" t="s">
        <v>304</v>
      </c>
      <c r="D216" s="239" t="s">
        <v>304</v>
      </c>
      <c r="E216" s="288">
        <v>105000</v>
      </c>
      <c r="F216" s="242">
        <f>E216/29</f>
        <v>3620.6896551724139</v>
      </c>
      <c r="G216" s="239">
        <v>0</v>
      </c>
    </row>
    <row r="217" spans="1:7" x14ac:dyDescent="0.15">
      <c r="A217" s="240">
        <v>36220</v>
      </c>
      <c r="B217" s="239" t="s">
        <v>301</v>
      </c>
      <c r="C217" s="239" t="s">
        <v>304</v>
      </c>
      <c r="D217" s="239" t="s">
        <v>304</v>
      </c>
      <c r="E217" s="288">
        <v>80678</v>
      </c>
      <c r="F217" s="242">
        <f>E217/31</f>
        <v>2602.516129032258</v>
      </c>
      <c r="G217" s="239">
        <v>0</v>
      </c>
    </row>
    <row r="218" spans="1:7" x14ac:dyDescent="0.15">
      <c r="A218" s="240">
        <v>35431</v>
      </c>
      <c r="B218" s="239" t="s">
        <v>301</v>
      </c>
      <c r="C218" s="239" t="s">
        <v>305</v>
      </c>
      <c r="D218" s="239" t="s">
        <v>304</v>
      </c>
      <c r="E218" s="288">
        <v>48850</v>
      </c>
      <c r="F218" s="242">
        <f>E218/31</f>
        <v>1575.8064516129032</v>
      </c>
      <c r="G218" s="288">
        <v>1465.5</v>
      </c>
    </row>
    <row r="219" spans="1:7" x14ac:dyDescent="0.15">
      <c r="A219" s="240">
        <v>35947</v>
      </c>
      <c r="B219" s="239" t="s">
        <v>301</v>
      </c>
      <c r="C219" s="239" t="s">
        <v>305</v>
      </c>
      <c r="D219" s="239" t="s">
        <v>304</v>
      </c>
      <c r="E219" s="288">
        <v>16117</v>
      </c>
      <c r="F219" s="242">
        <f>E219/30</f>
        <v>537.23333333333335</v>
      </c>
      <c r="G219" s="239">
        <v>483.51</v>
      </c>
    </row>
    <row r="220" spans="1:7" x14ac:dyDescent="0.15">
      <c r="A220" s="240">
        <v>35977</v>
      </c>
      <c r="B220" s="239" t="s">
        <v>301</v>
      </c>
      <c r="C220" s="239" t="s">
        <v>305</v>
      </c>
      <c r="D220" s="239" t="s">
        <v>304</v>
      </c>
      <c r="E220" s="288">
        <v>6779</v>
      </c>
      <c r="F220" s="242">
        <f>E220/31</f>
        <v>218.67741935483872</v>
      </c>
      <c r="G220" s="239">
        <v>203.37</v>
      </c>
    </row>
    <row r="221" spans="1:7" x14ac:dyDescent="0.15">
      <c r="A221" s="240">
        <v>36069</v>
      </c>
      <c r="B221" s="239" t="s">
        <v>301</v>
      </c>
      <c r="C221" s="239" t="s">
        <v>305</v>
      </c>
      <c r="D221" s="239" t="s">
        <v>304</v>
      </c>
      <c r="E221" s="288">
        <v>36622</v>
      </c>
      <c r="F221" s="242">
        <f>E221/31</f>
        <v>1181.3548387096773</v>
      </c>
      <c r="G221" s="239">
        <v>915.55</v>
      </c>
    </row>
    <row r="222" spans="1:7" x14ac:dyDescent="0.15">
      <c r="A222" s="240">
        <v>36373</v>
      </c>
      <c r="B222" s="239" t="s">
        <v>301</v>
      </c>
      <c r="C222" s="239" t="s">
        <v>305</v>
      </c>
      <c r="D222" s="239" t="s">
        <v>304</v>
      </c>
      <c r="E222" s="288">
        <v>23783</v>
      </c>
      <c r="F222" s="242">
        <f>E222/31</f>
        <v>767.19354838709683</v>
      </c>
      <c r="G222" s="239">
        <v>713.49</v>
      </c>
    </row>
    <row r="223" spans="1:7" x14ac:dyDescent="0.15">
      <c r="A223" s="240">
        <v>35431</v>
      </c>
      <c r="B223" s="239" t="s">
        <v>301</v>
      </c>
      <c r="C223" s="239" t="s">
        <v>302</v>
      </c>
      <c r="D223" s="239" t="s">
        <v>305</v>
      </c>
      <c r="E223" s="288">
        <v>598802</v>
      </c>
      <c r="F223" s="242">
        <f>E223/31</f>
        <v>19316.193548387098</v>
      </c>
      <c r="G223" s="288">
        <v>27401.45</v>
      </c>
    </row>
    <row r="224" spans="1:7" x14ac:dyDescent="0.15">
      <c r="A224" s="240">
        <v>35462</v>
      </c>
      <c r="B224" s="239" t="s">
        <v>301</v>
      </c>
      <c r="C224" s="239" t="s">
        <v>302</v>
      </c>
      <c r="D224" s="239" t="s">
        <v>305</v>
      </c>
      <c r="E224" s="288">
        <v>424616</v>
      </c>
      <c r="F224" s="242">
        <f>E224/28</f>
        <v>15164.857142857143</v>
      </c>
      <c r="G224" s="288">
        <v>14276.2</v>
      </c>
    </row>
    <row r="225" spans="1:7" x14ac:dyDescent="0.15">
      <c r="A225" s="240">
        <v>35490</v>
      </c>
      <c r="B225" s="239" t="s">
        <v>301</v>
      </c>
      <c r="C225" s="239" t="s">
        <v>302</v>
      </c>
      <c r="D225" s="239" t="s">
        <v>305</v>
      </c>
      <c r="E225" s="288">
        <v>808389</v>
      </c>
      <c r="F225" s="242">
        <f>E225/31</f>
        <v>26077.064516129034</v>
      </c>
      <c r="G225" s="288">
        <v>24479.71</v>
      </c>
    </row>
    <row r="226" spans="1:7" x14ac:dyDescent="0.15">
      <c r="A226" s="240">
        <v>35521</v>
      </c>
      <c r="B226" s="239" t="s">
        <v>301</v>
      </c>
      <c r="C226" s="239" t="s">
        <v>302</v>
      </c>
      <c r="D226" s="239" t="s">
        <v>305</v>
      </c>
      <c r="E226" s="288">
        <v>2197122</v>
      </c>
      <c r="F226" s="242">
        <f>E226/30</f>
        <v>73237.399999999994</v>
      </c>
      <c r="G226" s="288">
        <v>66050.02</v>
      </c>
    </row>
    <row r="227" spans="1:7" x14ac:dyDescent="0.15">
      <c r="A227" s="240">
        <v>35551</v>
      </c>
      <c r="B227" s="239" t="s">
        <v>301</v>
      </c>
      <c r="C227" s="239" t="s">
        <v>302</v>
      </c>
      <c r="D227" s="239" t="s">
        <v>305</v>
      </c>
      <c r="E227" s="288">
        <v>1614672</v>
      </c>
      <c r="F227" s="242">
        <f>E227/31</f>
        <v>52086.193548387098</v>
      </c>
      <c r="G227" s="288">
        <v>50004.28</v>
      </c>
    </row>
    <row r="228" spans="1:7" x14ac:dyDescent="0.15">
      <c r="A228" s="240">
        <v>35582</v>
      </c>
      <c r="B228" s="239" t="s">
        <v>301</v>
      </c>
      <c r="C228" s="239" t="s">
        <v>302</v>
      </c>
      <c r="D228" s="239" t="s">
        <v>305</v>
      </c>
      <c r="E228" s="288">
        <v>2699828</v>
      </c>
      <c r="F228" s="242">
        <f>E228/30</f>
        <v>89994.266666666663</v>
      </c>
      <c r="G228" s="288">
        <v>86402.98</v>
      </c>
    </row>
    <row r="229" spans="1:7" x14ac:dyDescent="0.15">
      <c r="A229" s="240">
        <v>35612</v>
      </c>
      <c r="B229" s="239" t="s">
        <v>301</v>
      </c>
      <c r="C229" s="239" t="s">
        <v>302</v>
      </c>
      <c r="D229" s="239" t="s">
        <v>305</v>
      </c>
      <c r="E229" s="288">
        <v>1547073</v>
      </c>
      <c r="F229" s="242">
        <f>E229/31</f>
        <v>49905.580645161288</v>
      </c>
      <c r="G229" s="288">
        <v>118794.77</v>
      </c>
    </row>
    <row r="230" spans="1:7" x14ac:dyDescent="0.15">
      <c r="A230" s="240">
        <v>35643</v>
      </c>
      <c r="B230" s="239" t="s">
        <v>301</v>
      </c>
      <c r="C230" s="239" t="s">
        <v>302</v>
      </c>
      <c r="D230" s="239" t="s">
        <v>305</v>
      </c>
      <c r="E230" s="288">
        <v>1757050</v>
      </c>
      <c r="F230" s="242">
        <f>E230/31</f>
        <v>56679.032258064515</v>
      </c>
      <c r="G230" s="288">
        <v>55289.62</v>
      </c>
    </row>
    <row r="231" spans="1:7" x14ac:dyDescent="0.15">
      <c r="A231" s="240">
        <v>35674</v>
      </c>
      <c r="B231" s="239" t="s">
        <v>307</v>
      </c>
      <c r="C231" s="239" t="s">
        <v>302</v>
      </c>
      <c r="D231" s="239" t="s">
        <v>305</v>
      </c>
      <c r="E231" s="239">
        <v>0</v>
      </c>
      <c r="F231" s="242">
        <f>E231/30</f>
        <v>0</v>
      </c>
      <c r="G231" s="239">
        <v>-247.78</v>
      </c>
    </row>
    <row r="232" spans="1:7" x14ac:dyDescent="0.15">
      <c r="A232" s="240">
        <v>35674</v>
      </c>
      <c r="B232" s="239" t="s">
        <v>301</v>
      </c>
      <c r="C232" s="239" t="s">
        <v>302</v>
      </c>
      <c r="D232" s="239" t="s">
        <v>305</v>
      </c>
      <c r="E232" s="288">
        <v>1771790</v>
      </c>
      <c r="F232" s="242">
        <f>E232/30</f>
        <v>59059.666666666664</v>
      </c>
      <c r="G232" s="288">
        <v>69931.199999999997</v>
      </c>
    </row>
    <row r="233" spans="1:7" x14ac:dyDescent="0.15">
      <c r="A233" s="240">
        <v>35704</v>
      </c>
      <c r="B233" s="239" t="s">
        <v>301</v>
      </c>
      <c r="C233" s="239" t="s">
        <v>302</v>
      </c>
      <c r="D233" s="239" t="s">
        <v>305</v>
      </c>
      <c r="E233" s="288">
        <v>1471431</v>
      </c>
      <c r="F233" s="242">
        <f>E233/31</f>
        <v>47465.516129032258</v>
      </c>
      <c r="G233" s="288">
        <v>63032.34</v>
      </c>
    </row>
    <row r="234" spans="1:7" x14ac:dyDescent="0.15">
      <c r="A234" s="240">
        <v>35735</v>
      </c>
      <c r="B234" s="239" t="s">
        <v>307</v>
      </c>
      <c r="C234" s="239" t="s">
        <v>302</v>
      </c>
      <c r="D234" s="239" t="s">
        <v>305</v>
      </c>
      <c r="E234" s="239">
        <v>0</v>
      </c>
      <c r="F234" s="242">
        <f>E234/30</f>
        <v>0</v>
      </c>
      <c r="G234" s="288">
        <v>-81470.7</v>
      </c>
    </row>
    <row r="235" spans="1:7" x14ac:dyDescent="0.15">
      <c r="A235" s="240">
        <v>35735</v>
      </c>
      <c r="B235" s="239" t="s">
        <v>301</v>
      </c>
      <c r="C235" s="239" t="s">
        <v>302</v>
      </c>
      <c r="D235" s="239" t="s">
        <v>305</v>
      </c>
      <c r="E235" s="288">
        <v>946443</v>
      </c>
      <c r="F235" s="242">
        <f>E235/30</f>
        <v>31548.1</v>
      </c>
      <c r="G235" s="288">
        <v>35977.94</v>
      </c>
    </row>
    <row r="236" spans="1:7" x14ac:dyDescent="0.15">
      <c r="A236" s="240">
        <v>35765</v>
      </c>
      <c r="B236" s="239" t="s">
        <v>307</v>
      </c>
      <c r="C236" s="239" t="s">
        <v>302</v>
      </c>
      <c r="D236" s="239" t="s">
        <v>305</v>
      </c>
      <c r="E236" s="239">
        <v>0</v>
      </c>
      <c r="F236" s="242">
        <f>E236/31</f>
        <v>0</v>
      </c>
      <c r="G236" s="288">
        <v>12099.38</v>
      </c>
    </row>
    <row r="237" spans="1:7" x14ac:dyDescent="0.15">
      <c r="A237" s="240">
        <v>35765</v>
      </c>
      <c r="B237" s="239" t="s">
        <v>301</v>
      </c>
      <c r="C237" s="239" t="s">
        <v>302</v>
      </c>
      <c r="D237" s="239" t="s">
        <v>305</v>
      </c>
      <c r="E237" s="288">
        <v>1305256</v>
      </c>
      <c r="F237" s="242">
        <f>E237/31</f>
        <v>42105.032258064515</v>
      </c>
      <c r="G237" s="288">
        <v>47612.6</v>
      </c>
    </row>
    <row r="238" spans="1:7" x14ac:dyDescent="0.15">
      <c r="A238" s="240">
        <v>35796</v>
      </c>
      <c r="B238" s="239" t="s">
        <v>301</v>
      </c>
      <c r="C238" s="239" t="s">
        <v>302</v>
      </c>
      <c r="D238" s="239" t="s">
        <v>305</v>
      </c>
      <c r="E238" s="288">
        <v>799065</v>
      </c>
      <c r="F238" s="242">
        <f>E238/31</f>
        <v>25776.290322580644</v>
      </c>
      <c r="G238" s="288">
        <v>32704.11</v>
      </c>
    </row>
    <row r="239" spans="1:7" x14ac:dyDescent="0.15">
      <c r="A239" s="240">
        <v>35827</v>
      </c>
      <c r="B239" s="239" t="s">
        <v>301</v>
      </c>
      <c r="C239" s="239" t="s">
        <v>302</v>
      </c>
      <c r="D239" s="239" t="s">
        <v>305</v>
      </c>
      <c r="E239" s="288">
        <v>106458</v>
      </c>
      <c r="F239" s="242">
        <f>E239/28</f>
        <v>3802.0714285714284</v>
      </c>
      <c r="G239" s="288">
        <v>9712.89</v>
      </c>
    </row>
    <row r="240" spans="1:7" x14ac:dyDescent="0.15">
      <c r="A240" s="240">
        <v>35855</v>
      </c>
      <c r="B240" s="239" t="s">
        <v>301</v>
      </c>
      <c r="C240" s="239" t="s">
        <v>302</v>
      </c>
      <c r="D240" s="239" t="s">
        <v>305</v>
      </c>
      <c r="E240" s="288">
        <v>105142</v>
      </c>
      <c r="F240" s="242">
        <f>E240/31</f>
        <v>3391.6774193548385</v>
      </c>
      <c r="G240" s="288">
        <v>12770.05</v>
      </c>
    </row>
    <row r="241" spans="1:7" x14ac:dyDescent="0.15">
      <c r="A241" s="240">
        <v>35886</v>
      </c>
      <c r="B241" s="239" t="s">
        <v>301</v>
      </c>
      <c r="C241" s="239" t="s">
        <v>302</v>
      </c>
      <c r="D241" s="239" t="s">
        <v>305</v>
      </c>
      <c r="E241" s="288">
        <v>210129</v>
      </c>
      <c r="F241" s="242">
        <f>E241/30</f>
        <v>7004.3</v>
      </c>
      <c r="G241" s="288">
        <v>20359.650000000001</v>
      </c>
    </row>
    <row r="242" spans="1:7" x14ac:dyDescent="0.15">
      <c r="A242" s="240">
        <v>35916</v>
      </c>
      <c r="B242" s="239" t="s">
        <v>301</v>
      </c>
      <c r="C242" s="239" t="s">
        <v>302</v>
      </c>
      <c r="D242" s="239" t="s">
        <v>305</v>
      </c>
      <c r="E242" s="288">
        <v>170726</v>
      </c>
      <c r="F242" s="242">
        <f>E242/31</f>
        <v>5507.2903225806449</v>
      </c>
      <c r="G242" s="288">
        <v>18627.46</v>
      </c>
    </row>
    <row r="243" spans="1:7" x14ac:dyDescent="0.15">
      <c r="A243" s="240">
        <v>35947</v>
      </c>
      <c r="B243" s="239" t="s">
        <v>307</v>
      </c>
      <c r="C243" s="239" t="s">
        <v>302</v>
      </c>
      <c r="D243" s="239" t="s">
        <v>305</v>
      </c>
      <c r="E243" s="239">
        <v>-689</v>
      </c>
      <c r="F243" s="242">
        <f>E243/30</f>
        <v>-22.966666666666665</v>
      </c>
      <c r="G243" s="239">
        <v>-55.12</v>
      </c>
    </row>
    <row r="244" spans="1:7" x14ac:dyDescent="0.15">
      <c r="A244" s="240">
        <v>35947</v>
      </c>
      <c r="B244" s="239" t="s">
        <v>301</v>
      </c>
      <c r="C244" s="239" t="s">
        <v>302</v>
      </c>
      <c r="D244" s="239" t="s">
        <v>305</v>
      </c>
      <c r="E244" s="288">
        <v>252693</v>
      </c>
      <c r="F244" s="242">
        <f>E244/30</f>
        <v>8423.1</v>
      </c>
      <c r="G244" s="288">
        <v>23550.6</v>
      </c>
    </row>
    <row r="245" spans="1:7" x14ac:dyDescent="0.15">
      <c r="A245" s="240">
        <v>35977</v>
      </c>
      <c r="B245" s="239" t="s">
        <v>301</v>
      </c>
      <c r="C245" s="239" t="s">
        <v>302</v>
      </c>
      <c r="D245" s="239" t="s">
        <v>305</v>
      </c>
      <c r="E245" s="288">
        <v>169109</v>
      </c>
      <c r="F245" s="242">
        <f>E245/31</f>
        <v>5455.1290322580644</v>
      </c>
      <c r="G245" s="288">
        <v>18385.46</v>
      </c>
    </row>
    <row r="246" spans="1:7" x14ac:dyDescent="0.15">
      <c r="A246" s="240">
        <v>36008</v>
      </c>
      <c r="B246" s="239" t="s">
        <v>301</v>
      </c>
      <c r="C246" s="239" t="s">
        <v>302</v>
      </c>
      <c r="D246" s="239" t="s">
        <v>305</v>
      </c>
      <c r="E246" s="288">
        <v>53543</v>
      </c>
      <c r="F246" s="242">
        <f>E246/31</f>
        <v>1727.1935483870968</v>
      </c>
      <c r="G246" s="288">
        <v>8052.12</v>
      </c>
    </row>
    <row r="247" spans="1:7" x14ac:dyDescent="0.15">
      <c r="A247" s="240">
        <v>36039</v>
      </c>
      <c r="B247" s="239" t="s">
        <v>301</v>
      </c>
      <c r="C247" s="239" t="s">
        <v>302</v>
      </c>
      <c r="D247" s="239" t="s">
        <v>305</v>
      </c>
      <c r="E247" s="288">
        <v>36727</v>
      </c>
      <c r="F247" s="242">
        <f>E247/30</f>
        <v>1224.2333333333333</v>
      </c>
      <c r="G247" s="288">
        <v>7345.4</v>
      </c>
    </row>
    <row r="248" spans="1:7" x14ac:dyDescent="0.15">
      <c r="A248" s="240">
        <v>36069</v>
      </c>
      <c r="B248" s="239" t="s">
        <v>301</v>
      </c>
      <c r="C248" s="239" t="s">
        <v>302</v>
      </c>
      <c r="D248" s="239" t="s">
        <v>305</v>
      </c>
      <c r="E248" s="288">
        <v>231685</v>
      </c>
      <c r="F248" s="242">
        <f>E248/31</f>
        <v>7473.7096774193551</v>
      </c>
      <c r="G248" s="288">
        <v>48851.360000000001</v>
      </c>
    </row>
    <row r="249" spans="1:7" x14ac:dyDescent="0.15">
      <c r="A249" s="240">
        <v>36100</v>
      </c>
      <c r="B249" s="239" t="s">
        <v>301</v>
      </c>
      <c r="C249" s="239" t="s">
        <v>302</v>
      </c>
      <c r="D249" s="239" t="s">
        <v>305</v>
      </c>
      <c r="E249" s="288">
        <v>30214</v>
      </c>
      <c r="F249" s="242">
        <f>E249/30</f>
        <v>1007.1333333333333</v>
      </c>
      <c r="G249" s="288">
        <v>4141.78</v>
      </c>
    </row>
    <row r="250" spans="1:7" x14ac:dyDescent="0.15">
      <c r="A250" s="240">
        <v>36130</v>
      </c>
      <c r="B250" s="239" t="s">
        <v>301</v>
      </c>
      <c r="C250" s="239" t="s">
        <v>302</v>
      </c>
      <c r="D250" s="239" t="s">
        <v>305</v>
      </c>
      <c r="E250" s="288">
        <v>4410</v>
      </c>
      <c r="F250" s="242">
        <f>E250/31</f>
        <v>142.25806451612902</v>
      </c>
      <c r="G250" s="288">
        <v>1102.5</v>
      </c>
    </row>
    <row r="251" spans="1:7" x14ac:dyDescent="0.15">
      <c r="A251" s="240">
        <v>36161</v>
      </c>
      <c r="B251" s="239" t="s">
        <v>301</v>
      </c>
      <c r="C251" s="239" t="s">
        <v>302</v>
      </c>
      <c r="D251" s="239" t="s">
        <v>305</v>
      </c>
      <c r="E251" s="288">
        <v>4275</v>
      </c>
      <c r="F251" s="242">
        <f>E251/31</f>
        <v>137.90322580645162</v>
      </c>
      <c r="G251" s="239">
        <v>299.25</v>
      </c>
    </row>
    <row r="252" spans="1:7" x14ac:dyDescent="0.15">
      <c r="A252" s="240">
        <v>36192</v>
      </c>
      <c r="B252" s="239" t="s">
        <v>301</v>
      </c>
      <c r="C252" s="239" t="s">
        <v>302</v>
      </c>
      <c r="D252" s="239" t="s">
        <v>305</v>
      </c>
      <c r="E252" s="288">
        <v>42802</v>
      </c>
      <c r="F252" s="242">
        <f>E252/29</f>
        <v>1475.9310344827586</v>
      </c>
      <c r="G252" s="288">
        <v>3442.12</v>
      </c>
    </row>
    <row r="253" spans="1:7" x14ac:dyDescent="0.15">
      <c r="A253" s="240">
        <v>36220</v>
      </c>
      <c r="B253" s="239" t="s">
        <v>301</v>
      </c>
      <c r="C253" s="239" t="s">
        <v>302</v>
      </c>
      <c r="D253" s="239" t="s">
        <v>305</v>
      </c>
      <c r="E253" s="288">
        <v>10892</v>
      </c>
      <c r="F253" s="242">
        <f>E253/31</f>
        <v>351.35483870967744</v>
      </c>
      <c r="G253" s="239">
        <v>825.42</v>
      </c>
    </row>
    <row r="254" spans="1:7" x14ac:dyDescent="0.15">
      <c r="A254" s="240">
        <v>36251</v>
      </c>
      <c r="B254" s="239" t="s">
        <v>301</v>
      </c>
      <c r="C254" s="239" t="s">
        <v>302</v>
      </c>
      <c r="D254" s="239" t="s">
        <v>305</v>
      </c>
      <c r="E254" s="288">
        <v>161958</v>
      </c>
      <c r="F254" s="242">
        <f>E254/30</f>
        <v>5398.6</v>
      </c>
      <c r="G254" s="288">
        <v>13348.92</v>
      </c>
    </row>
    <row r="255" spans="1:7" x14ac:dyDescent="0.15">
      <c r="A255" s="240">
        <v>36281</v>
      </c>
      <c r="B255" s="239" t="s">
        <v>301</v>
      </c>
      <c r="C255" s="239" t="s">
        <v>302</v>
      </c>
      <c r="D255" s="239" t="s">
        <v>305</v>
      </c>
      <c r="E255" s="288">
        <v>12709</v>
      </c>
      <c r="F255" s="242">
        <f>E255/31</f>
        <v>409.96774193548384</v>
      </c>
      <c r="G255" s="288">
        <v>4567.58</v>
      </c>
    </row>
    <row r="256" spans="1:7" x14ac:dyDescent="0.15">
      <c r="A256" s="240">
        <v>36312</v>
      </c>
      <c r="B256" s="239" t="s">
        <v>301</v>
      </c>
      <c r="C256" s="239" t="s">
        <v>302</v>
      </c>
      <c r="D256" s="239" t="s">
        <v>305</v>
      </c>
      <c r="E256" s="288">
        <v>26362</v>
      </c>
      <c r="F256" s="242">
        <f>E256/30</f>
        <v>878.73333333333335</v>
      </c>
      <c r="G256" s="288">
        <v>8613.1</v>
      </c>
    </row>
    <row r="257" spans="1:7" x14ac:dyDescent="0.15">
      <c r="A257" s="240">
        <v>36342</v>
      </c>
      <c r="B257" s="239" t="s">
        <v>301</v>
      </c>
      <c r="C257" s="239" t="s">
        <v>302</v>
      </c>
      <c r="D257" s="239" t="s">
        <v>305</v>
      </c>
      <c r="E257" s="288">
        <v>24308</v>
      </c>
      <c r="F257" s="242">
        <f>E257/31</f>
        <v>784.12903225806451</v>
      </c>
      <c r="G257" s="288">
        <v>6041.33</v>
      </c>
    </row>
    <row r="258" spans="1:7" x14ac:dyDescent="0.15">
      <c r="A258" s="240">
        <v>36373</v>
      </c>
      <c r="B258" s="239" t="s">
        <v>301</v>
      </c>
      <c r="C258" s="239" t="s">
        <v>302</v>
      </c>
      <c r="D258" s="239" t="s">
        <v>305</v>
      </c>
      <c r="E258" s="288">
        <v>103808</v>
      </c>
      <c r="F258" s="242">
        <f>E258/31</f>
        <v>3348.6451612903224</v>
      </c>
      <c r="G258" s="288">
        <v>5759.89</v>
      </c>
    </row>
    <row r="259" spans="1:7" x14ac:dyDescent="0.15">
      <c r="A259" s="240">
        <v>36404</v>
      </c>
      <c r="B259" s="239" t="s">
        <v>301</v>
      </c>
      <c r="C259" s="239" t="s">
        <v>302</v>
      </c>
      <c r="D259" s="239" t="s">
        <v>305</v>
      </c>
      <c r="E259" s="288">
        <v>22137</v>
      </c>
      <c r="F259" s="242">
        <f>E259/30</f>
        <v>737.9</v>
      </c>
      <c r="G259" s="288">
        <v>2581.23</v>
      </c>
    </row>
    <row r="260" spans="1:7" x14ac:dyDescent="0.15">
      <c r="A260" s="240">
        <v>36434</v>
      </c>
      <c r="B260" s="239" t="s">
        <v>301</v>
      </c>
      <c r="C260" s="239" t="s">
        <v>302</v>
      </c>
      <c r="D260" s="239" t="s">
        <v>305</v>
      </c>
      <c r="E260" s="288">
        <v>24682</v>
      </c>
      <c r="F260" s="242">
        <f>E260/31</f>
        <v>796.19354838709683</v>
      </c>
      <c r="G260" s="288">
        <v>3104.39</v>
      </c>
    </row>
    <row r="261" spans="1:7" x14ac:dyDescent="0.15">
      <c r="A261" s="240">
        <v>36465</v>
      </c>
      <c r="B261" s="239" t="s">
        <v>301</v>
      </c>
      <c r="C261" s="239" t="s">
        <v>302</v>
      </c>
      <c r="D261" s="239" t="s">
        <v>305</v>
      </c>
      <c r="E261" s="239">
        <v>363</v>
      </c>
      <c r="F261" s="242">
        <f>E261/30</f>
        <v>12.1</v>
      </c>
      <c r="G261" s="239">
        <v>131.77000000000001</v>
      </c>
    </row>
    <row r="262" spans="1:7" x14ac:dyDescent="0.15">
      <c r="A262" s="240">
        <v>36495</v>
      </c>
      <c r="B262" s="239" t="s">
        <v>301</v>
      </c>
      <c r="C262" s="239" t="s">
        <v>302</v>
      </c>
      <c r="D262" s="239" t="s">
        <v>305</v>
      </c>
      <c r="E262" s="288">
        <v>7597</v>
      </c>
      <c r="F262" s="242">
        <f>E262/31</f>
        <v>245.06451612903226</v>
      </c>
      <c r="G262" s="288">
        <v>2575.31</v>
      </c>
    </row>
    <row r="263" spans="1:7" x14ac:dyDescent="0.15">
      <c r="A263" s="240">
        <v>35431</v>
      </c>
      <c r="B263" s="239" t="s">
        <v>301</v>
      </c>
      <c r="C263" s="239" t="s">
        <v>303</v>
      </c>
      <c r="D263" s="239" t="s">
        <v>305</v>
      </c>
      <c r="E263" s="288">
        <v>433621</v>
      </c>
      <c r="F263" s="242">
        <f>E263/31</f>
        <v>13987.774193548386</v>
      </c>
      <c r="G263" s="288">
        <v>30508.68</v>
      </c>
    </row>
    <row r="264" spans="1:7" x14ac:dyDescent="0.15">
      <c r="A264" s="240">
        <v>35462</v>
      </c>
      <c r="B264" s="239" t="s">
        <v>301</v>
      </c>
      <c r="C264" s="239" t="s">
        <v>303</v>
      </c>
      <c r="D264" s="239" t="s">
        <v>305</v>
      </c>
      <c r="E264" s="288">
        <v>860061</v>
      </c>
      <c r="F264" s="242">
        <f>E264/28</f>
        <v>30716.464285714286</v>
      </c>
      <c r="G264" s="288">
        <v>36779.17</v>
      </c>
    </row>
    <row r="265" spans="1:7" x14ac:dyDescent="0.15">
      <c r="A265" s="240">
        <v>35490</v>
      </c>
      <c r="B265" s="239" t="s">
        <v>301</v>
      </c>
      <c r="C265" s="239" t="s">
        <v>303</v>
      </c>
      <c r="D265" s="239" t="s">
        <v>305</v>
      </c>
      <c r="E265" s="288">
        <v>1246628</v>
      </c>
      <c r="F265" s="242">
        <f>E265/31</f>
        <v>40213.806451612902</v>
      </c>
      <c r="G265" s="288">
        <v>136623.44</v>
      </c>
    </row>
    <row r="266" spans="1:7" x14ac:dyDescent="0.15">
      <c r="A266" s="240">
        <v>35521</v>
      </c>
      <c r="B266" s="239" t="s">
        <v>301</v>
      </c>
      <c r="C266" s="239" t="s">
        <v>303</v>
      </c>
      <c r="D266" s="239" t="s">
        <v>305</v>
      </c>
      <c r="E266" s="288">
        <v>1035089</v>
      </c>
      <c r="F266" s="242">
        <f>E266/30</f>
        <v>34502.966666666667</v>
      </c>
      <c r="G266" s="288">
        <v>-3597.87</v>
      </c>
    </row>
    <row r="267" spans="1:7" x14ac:dyDescent="0.15">
      <c r="A267" s="240">
        <v>35551</v>
      </c>
      <c r="B267" s="239" t="s">
        <v>301</v>
      </c>
      <c r="C267" s="239" t="s">
        <v>303</v>
      </c>
      <c r="D267" s="239" t="s">
        <v>305</v>
      </c>
      <c r="E267" s="288">
        <v>133169</v>
      </c>
      <c r="F267" s="242">
        <f>E267/31</f>
        <v>4295.7741935483873</v>
      </c>
      <c r="G267" s="288">
        <v>9299.9</v>
      </c>
    </row>
    <row r="268" spans="1:7" x14ac:dyDescent="0.15">
      <c r="A268" s="240">
        <v>35582</v>
      </c>
      <c r="B268" s="239" t="s">
        <v>301</v>
      </c>
      <c r="C268" s="239" t="s">
        <v>303</v>
      </c>
      <c r="D268" s="239" t="s">
        <v>305</v>
      </c>
      <c r="E268" s="288">
        <v>40509</v>
      </c>
      <c r="F268" s="242">
        <f>E268/30</f>
        <v>1350.3</v>
      </c>
      <c r="G268" s="288">
        <v>2820.44</v>
      </c>
    </row>
    <row r="269" spans="1:7" x14ac:dyDescent="0.15">
      <c r="A269" s="240">
        <v>35612</v>
      </c>
      <c r="B269" s="239" t="s">
        <v>301</v>
      </c>
      <c r="C269" s="239" t="s">
        <v>303</v>
      </c>
      <c r="D269" s="239" t="s">
        <v>305</v>
      </c>
      <c r="E269" s="288">
        <v>41917</v>
      </c>
      <c r="F269" s="242">
        <f>E269/31</f>
        <v>1352.1612903225807</v>
      </c>
      <c r="G269" s="288">
        <v>4008.18</v>
      </c>
    </row>
    <row r="270" spans="1:7" x14ac:dyDescent="0.15">
      <c r="A270" s="240">
        <v>35643</v>
      </c>
      <c r="B270" s="239" t="s">
        <v>301</v>
      </c>
      <c r="C270" s="239" t="s">
        <v>303</v>
      </c>
      <c r="D270" s="239" t="s">
        <v>305</v>
      </c>
      <c r="E270" s="288">
        <v>143024</v>
      </c>
      <c r="F270" s="242">
        <f>E270/31</f>
        <v>4613.677419354839</v>
      </c>
      <c r="G270" s="288">
        <v>13790.62</v>
      </c>
    </row>
    <row r="271" spans="1:7" x14ac:dyDescent="0.15">
      <c r="A271" s="240">
        <v>35674</v>
      </c>
      <c r="B271" s="239" t="s">
        <v>301</v>
      </c>
      <c r="C271" s="239" t="s">
        <v>303</v>
      </c>
      <c r="D271" s="239" t="s">
        <v>305</v>
      </c>
      <c r="E271" s="288">
        <v>183716</v>
      </c>
      <c r="F271" s="242">
        <f>E271/30</f>
        <v>6123.8666666666668</v>
      </c>
      <c r="G271" s="288">
        <v>20085.52</v>
      </c>
    </row>
    <row r="272" spans="1:7" x14ac:dyDescent="0.15">
      <c r="A272" s="240">
        <v>35704</v>
      </c>
      <c r="B272" s="239" t="s">
        <v>301</v>
      </c>
      <c r="C272" s="239" t="s">
        <v>303</v>
      </c>
      <c r="D272" s="239" t="s">
        <v>305</v>
      </c>
      <c r="E272" s="288">
        <v>364947</v>
      </c>
      <c r="F272" s="242">
        <f>E272/31</f>
        <v>11772.483870967742</v>
      </c>
      <c r="G272" s="288">
        <v>37694</v>
      </c>
    </row>
    <row r="273" spans="1:7" x14ac:dyDescent="0.15">
      <c r="A273" s="240">
        <v>35735</v>
      </c>
      <c r="B273" s="239" t="s">
        <v>301</v>
      </c>
      <c r="C273" s="239" t="s">
        <v>303</v>
      </c>
      <c r="D273" s="239" t="s">
        <v>305</v>
      </c>
      <c r="E273" s="288">
        <v>142646</v>
      </c>
      <c r="F273" s="242">
        <f>E273/30</f>
        <v>4754.8666666666668</v>
      </c>
      <c r="G273" s="288">
        <v>15419.1</v>
      </c>
    </row>
    <row r="274" spans="1:7" x14ac:dyDescent="0.15">
      <c r="A274" s="240">
        <v>35765</v>
      </c>
      <c r="B274" s="239" t="s">
        <v>301</v>
      </c>
      <c r="C274" s="239" t="s">
        <v>303</v>
      </c>
      <c r="D274" s="239" t="s">
        <v>305</v>
      </c>
      <c r="E274" s="288">
        <v>175560</v>
      </c>
      <c r="F274" s="242">
        <f>E274/31</f>
        <v>5663.2258064516127</v>
      </c>
      <c r="G274" s="288">
        <v>15880.25</v>
      </c>
    </row>
    <row r="275" spans="1:7" x14ac:dyDescent="0.15">
      <c r="A275" s="240">
        <v>35796</v>
      </c>
      <c r="B275" s="239" t="s">
        <v>301</v>
      </c>
      <c r="C275" s="239" t="s">
        <v>303</v>
      </c>
      <c r="D275" s="239" t="s">
        <v>305</v>
      </c>
      <c r="E275" s="288">
        <v>137352</v>
      </c>
      <c r="F275" s="242">
        <f>E275/31</f>
        <v>4430.7096774193551</v>
      </c>
      <c r="G275" s="288">
        <v>9915.6</v>
      </c>
    </row>
    <row r="276" spans="1:7" x14ac:dyDescent="0.15">
      <c r="A276" s="240">
        <v>35827</v>
      </c>
      <c r="B276" s="239" t="s">
        <v>301</v>
      </c>
      <c r="C276" s="239" t="s">
        <v>303</v>
      </c>
      <c r="D276" s="239" t="s">
        <v>305</v>
      </c>
      <c r="E276" s="288">
        <v>8307</v>
      </c>
      <c r="F276" s="242">
        <f>E276/28</f>
        <v>296.67857142857144</v>
      </c>
      <c r="G276" s="288">
        <v>1246.05</v>
      </c>
    </row>
    <row r="277" spans="1:7" x14ac:dyDescent="0.15">
      <c r="A277" s="240">
        <v>35855</v>
      </c>
      <c r="B277" s="239" t="s">
        <v>301</v>
      </c>
      <c r="C277" s="239" t="s">
        <v>303</v>
      </c>
      <c r="D277" s="239" t="s">
        <v>305</v>
      </c>
      <c r="E277" s="288">
        <v>94370</v>
      </c>
      <c r="F277" s="242">
        <f>E277/31</f>
        <v>3044.1935483870966</v>
      </c>
      <c r="G277" s="288">
        <v>7417.32</v>
      </c>
    </row>
    <row r="278" spans="1:7" x14ac:dyDescent="0.15">
      <c r="A278" s="240">
        <v>35886</v>
      </c>
      <c r="B278" s="239" t="s">
        <v>301</v>
      </c>
      <c r="C278" s="239" t="s">
        <v>303</v>
      </c>
      <c r="D278" s="239" t="s">
        <v>305</v>
      </c>
      <c r="E278" s="288">
        <v>133202</v>
      </c>
      <c r="F278" s="242">
        <f>E278/30</f>
        <v>4440.0666666666666</v>
      </c>
      <c r="G278" s="288">
        <v>11556.44</v>
      </c>
    </row>
    <row r="279" spans="1:7" x14ac:dyDescent="0.15">
      <c r="A279" s="240">
        <v>35916</v>
      </c>
      <c r="B279" s="239" t="s">
        <v>301</v>
      </c>
      <c r="C279" s="239" t="s">
        <v>303</v>
      </c>
      <c r="D279" s="239" t="s">
        <v>305</v>
      </c>
      <c r="E279" s="288">
        <v>17594</v>
      </c>
      <c r="F279" s="242">
        <f>E279/31</f>
        <v>567.54838709677415</v>
      </c>
      <c r="G279" s="288">
        <v>1891.69</v>
      </c>
    </row>
    <row r="280" spans="1:7" x14ac:dyDescent="0.15">
      <c r="A280" s="240">
        <v>35947</v>
      </c>
      <c r="B280" s="239" t="s">
        <v>301</v>
      </c>
      <c r="C280" s="239" t="s">
        <v>303</v>
      </c>
      <c r="D280" s="239" t="s">
        <v>305</v>
      </c>
      <c r="E280" s="288">
        <v>14600</v>
      </c>
      <c r="F280" s="242">
        <f>E280/30</f>
        <v>486.66666666666669</v>
      </c>
      <c r="G280" s="288">
        <v>2628</v>
      </c>
    </row>
    <row r="281" spans="1:7" x14ac:dyDescent="0.15">
      <c r="A281" s="240">
        <v>35977</v>
      </c>
      <c r="B281" s="239" t="s">
        <v>301</v>
      </c>
      <c r="C281" s="239" t="s">
        <v>303</v>
      </c>
      <c r="D281" s="239" t="s">
        <v>305</v>
      </c>
      <c r="E281" s="288">
        <v>24052</v>
      </c>
      <c r="F281" s="242">
        <f>E281/31</f>
        <v>775.87096774193549</v>
      </c>
      <c r="G281" s="288">
        <v>4329.3599999999997</v>
      </c>
    </row>
    <row r="282" spans="1:7" x14ac:dyDescent="0.15">
      <c r="A282" s="240">
        <v>36039</v>
      </c>
      <c r="B282" s="239" t="s">
        <v>301</v>
      </c>
      <c r="C282" s="239" t="s">
        <v>303</v>
      </c>
      <c r="D282" s="239" t="s">
        <v>305</v>
      </c>
      <c r="E282" s="288">
        <v>9358</v>
      </c>
      <c r="F282" s="242">
        <f>E282/30</f>
        <v>311.93333333333334</v>
      </c>
      <c r="G282" s="288">
        <v>2657.9</v>
      </c>
    </row>
    <row r="283" spans="1:7" x14ac:dyDescent="0.15">
      <c r="A283" s="240">
        <v>36069</v>
      </c>
      <c r="B283" s="239" t="s">
        <v>301</v>
      </c>
      <c r="C283" s="239" t="s">
        <v>303</v>
      </c>
      <c r="D283" s="239" t="s">
        <v>305</v>
      </c>
      <c r="E283" s="239">
        <v>769</v>
      </c>
      <c r="F283" s="242">
        <f>E283/31</f>
        <v>24.806451612903224</v>
      </c>
      <c r="G283" s="239">
        <v>192.25</v>
      </c>
    </row>
    <row r="284" spans="1:7" x14ac:dyDescent="0.15">
      <c r="A284" s="240">
        <v>36161</v>
      </c>
      <c r="B284" s="239" t="s">
        <v>301</v>
      </c>
      <c r="C284" s="239" t="s">
        <v>303</v>
      </c>
      <c r="D284" s="239" t="s">
        <v>305</v>
      </c>
      <c r="E284" s="288">
        <v>6254</v>
      </c>
      <c r="F284" s="242">
        <f>E284/31</f>
        <v>201.74193548387098</v>
      </c>
      <c r="G284" s="239">
        <v>687.94</v>
      </c>
    </row>
    <row r="285" spans="1:7" x14ac:dyDescent="0.15">
      <c r="A285" s="240">
        <v>36192</v>
      </c>
      <c r="B285" s="239" t="s">
        <v>301</v>
      </c>
      <c r="C285" s="239" t="s">
        <v>303</v>
      </c>
      <c r="D285" s="239" t="s">
        <v>305</v>
      </c>
      <c r="E285" s="239">
        <v>4</v>
      </c>
      <c r="F285" s="242">
        <f>E285/29</f>
        <v>0.13793103448275862</v>
      </c>
      <c r="G285" s="239">
        <v>0.8</v>
      </c>
    </row>
    <row r="286" spans="1:7" x14ac:dyDescent="0.15">
      <c r="A286" s="240">
        <v>36220</v>
      </c>
      <c r="B286" s="239" t="s">
        <v>301</v>
      </c>
      <c r="C286" s="239" t="s">
        <v>303</v>
      </c>
      <c r="D286" s="239" t="s">
        <v>305</v>
      </c>
      <c r="E286" s="288">
        <v>16949</v>
      </c>
      <c r="F286" s="242">
        <f>E286/31</f>
        <v>546.74193548387098</v>
      </c>
      <c r="G286" s="239">
        <v>807.45</v>
      </c>
    </row>
    <row r="287" spans="1:7" x14ac:dyDescent="0.15">
      <c r="A287" s="240">
        <v>35431</v>
      </c>
      <c r="B287" s="239" t="s">
        <v>301</v>
      </c>
      <c r="C287" s="239" t="s">
        <v>304</v>
      </c>
      <c r="D287" s="239" t="s">
        <v>305</v>
      </c>
      <c r="E287" s="288">
        <v>34600</v>
      </c>
      <c r="F287" s="242">
        <f>E287/31</f>
        <v>1116.1290322580646</v>
      </c>
      <c r="G287" s="288">
        <v>1903</v>
      </c>
    </row>
    <row r="288" spans="1:7" x14ac:dyDescent="0.15">
      <c r="A288" s="240">
        <v>35462</v>
      </c>
      <c r="B288" s="239" t="s">
        <v>301</v>
      </c>
      <c r="C288" s="239" t="s">
        <v>304</v>
      </c>
      <c r="D288" s="239" t="s">
        <v>305</v>
      </c>
      <c r="E288" s="288">
        <v>34610</v>
      </c>
      <c r="F288" s="242">
        <f>E288/28</f>
        <v>1236.0714285714287</v>
      </c>
      <c r="G288" s="288">
        <v>1038.3</v>
      </c>
    </row>
    <row r="289" spans="1:7" x14ac:dyDescent="0.15">
      <c r="A289" s="240">
        <v>35490</v>
      </c>
      <c r="B289" s="239" t="s">
        <v>301</v>
      </c>
      <c r="C289" s="239" t="s">
        <v>304</v>
      </c>
      <c r="D289" s="239" t="s">
        <v>305</v>
      </c>
      <c r="E289" s="288">
        <v>410022</v>
      </c>
      <c r="F289" s="242">
        <f>E289/31</f>
        <v>13226.516129032258</v>
      </c>
      <c r="G289" s="288">
        <v>11758.94</v>
      </c>
    </row>
    <row r="290" spans="1:7" x14ac:dyDescent="0.15">
      <c r="A290" s="240">
        <v>35521</v>
      </c>
      <c r="B290" s="239" t="s">
        <v>301</v>
      </c>
      <c r="C290" s="239" t="s">
        <v>304</v>
      </c>
      <c r="D290" s="239" t="s">
        <v>305</v>
      </c>
      <c r="E290" s="288">
        <v>2390857</v>
      </c>
      <c r="F290" s="242">
        <f>E290/30</f>
        <v>79695.233333333337</v>
      </c>
      <c r="G290" s="288">
        <v>57574.18</v>
      </c>
    </row>
    <row r="291" spans="1:7" x14ac:dyDescent="0.15">
      <c r="A291" s="240">
        <v>35551</v>
      </c>
      <c r="B291" s="239" t="s">
        <v>301</v>
      </c>
      <c r="C291" s="239" t="s">
        <v>304</v>
      </c>
      <c r="D291" s="239" t="s">
        <v>305</v>
      </c>
      <c r="E291" s="288">
        <v>493247</v>
      </c>
      <c r="F291" s="242">
        <f>E291/31</f>
        <v>15911.193548387097</v>
      </c>
      <c r="G291" s="288">
        <v>14797.41</v>
      </c>
    </row>
    <row r="292" spans="1:7" x14ac:dyDescent="0.15">
      <c r="A292" s="240">
        <v>35582</v>
      </c>
      <c r="B292" s="239" t="s">
        <v>301</v>
      </c>
      <c r="C292" s="239" t="s">
        <v>304</v>
      </c>
      <c r="D292" s="239" t="s">
        <v>305</v>
      </c>
      <c r="E292" s="288">
        <v>208036</v>
      </c>
      <c r="F292" s="242">
        <f>E292/30</f>
        <v>6934.5333333333338</v>
      </c>
      <c r="G292" s="288">
        <v>6241.08</v>
      </c>
    </row>
    <row r="293" spans="1:7" x14ac:dyDescent="0.15">
      <c r="A293" s="240">
        <v>35674</v>
      </c>
      <c r="B293" s="239" t="s">
        <v>301</v>
      </c>
      <c r="C293" s="239" t="s">
        <v>304</v>
      </c>
      <c r="D293" s="239" t="s">
        <v>305</v>
      </c>
      <c r="E293" s="288">
        <v>60000</v>
      </c>
      <c r="F293" s="242">
        <f>E293/30</f>
        <v>2000</v>
      </c>
      <c r="G293" s="288">
        <v>1800</v>
      </c>
    </row>
    <row r="294" spans="1:7" x14ac:dyDescent="0.15">
      <c r="A294" s="240">
        <v>35704</v>
      </c>
      <c r="B294" s="239" t="s">
        <v>301</v>
      </c>
      <c r="C294" s="239" t="s">
        <v>304</v>
      </c>
      <c r="D294" s="239" t="s">
        <v>305</v>
      </c>
      <c r="E294" s="288">
        <v>355917</v>
      </c>
      <c r="F294" s="242">
        <f>E294/31</f>
        <v>11481.193548387097</v>
      </c>
      <c r="G294" s="288">
        <v>14236.68</v>
      </c>
    </row>
    <row r="295" spans="1:7" x14ac:dyDescent="0.15">
      <c r="A295" s="240">
        <v>35735</v>
      </c>
      <c r="B295" s="239" t="s">
        <v>301</v>
      </c>
      <c r="C295" s="239" t="s">
        <v>304</v>
      </c>
      <c r="D295" s="239" t="s">
        <v>305</v>
      </c>
      <c r="E295" s="288">
        <v>71396</v>
      </c>
      <c r="F295" s="242">
        <f>E295/30</f>
        <v>2379.8666666666668</v>
      </c>
      <c r="G295" s="288">
        <v>2705.84</v>
      </c>
    </row>
    <row r="296" spans="1:7" x14ac:dyDescent="0.15">
      <c r="A296" s="240">
        <v>35765</v>
      </c>
      <c r="B296" s="239" t="s">
        <v>301</v>
      </c>
      <c r="C296" s="239" t="s">
        <v>304</v>
      </c>
      <c r="D296" s="239" t="s">
        <v>305</v>
      </c>
      <c r="E296" s="288">
        <v>167333</v>
      </c>
      <c r="F296" s="242">
        <f>E296/31</f>
        <v>5397.8387096774195</v>
      </c>
      <c r="G296" s="288">
        <v>6693.32</v>
      </c>
    </row>
    <row r="297" spans="1:7" x14ac:dyDescent="0.15">
      <c r="A297" s="240">
        <v>35796</v>
      </c>
      <c r="B297" s="239" t="s">
        <v>301</v>
      </c>
      <c r="C297" s="239" t="s">
        <v>304</v>
      </c>
      <c r="D297" s="239" t="s">
        <v>305</v>
      </c>
      <c r="E297" s="288">
        <v>23875</v>
      </c>
      <c r="F297" s="242">
        <f>E297/31</f>
        <v>770.16129032258061</v>
      </c>
      <c r="G297" s="239">
        <v>955</v>
      </c>
    </row>
    <row r="298" spans="1:7" x14ac:dyDescent="0.15">
      <c r="A298" s="240">
        <v>35827</v>
      </c>
      <c r="B298" s="239" t="s">
        <v>301</v>
      </c>
      <c r="C298" s="239" t="s">
        <v>304</v>
      </c>
      <c r="D298" s="239" t="s">
        <v>305</v>
      </c>
      <c r="E298" s="288">
        <v>10831</v>
      </c>
      <c r="F298" s="242">
        <f>E298/28</f>
        <v>386.82142857142856</v>
      </c>
      <c r="G298" s="288">
        <v>1624.65</v>
      </c>
    </row>
    <row r="299" spans="1:7" x14ac:dyDescent="0.15">
      <c r="A299" s="240">
        <v>35886</v>
      </c>
      <c r="B299" s="239" t="s">
        <v>301</v>
      </c>
      <c r="C299" s="239" t="s">
        <v>304</v>
      </c>
      <c r="D299" s="239" t="s">
        <v>305</v>
      </c>
      <c r="E299" s="288">
        <v>60530</v>
      </c>
      <c r="F299" s="242">
        <f>E299/30</f>
        <v>2017.6666666666667</v>
      </c>
      <c r="G299" s="288">
        <v>3631.8</v>
      </c>
    </row>
    <row r="300" spans="1:7" x14ac:dyDescent="0.15">
      <c r="A300" s="240">
        <v>35916</v>
      </c>
      <c r="B300" s="239" t="s">
        <v>301</v>
      </c>
      <c r="C300" s="239" t="s">
        <v>304</v>
      </c>
      <c r="D300" s="239" t="s">
        <v>305</v>
      </c>
      <c r="E300" s="288">
        <v>96576</v>
      </c>
      <c r="F300" s="242">
        <f>E300/31</f>
        <v>3115.3548387096776</v>
      </c>
      <c r="G300" s="288">
        <v>5794.56</v>
      </c>
    </row>
    <row r="301" spans="1:7" x14ac:dyDescent="0.15">
      <c r="A301" s="240">
        <v>35947</v>
      </c>
      <c r="B301" s="239" t="s">
        <v>301</v>
      </c>
      <c r="C301" s="239" t="s">
        <v>304</v>
      </c>
      <c r="D301" s="239" t="s">
        <v>305</v>
      </c>
      <c r="E301" s="288">
        <v>67082</v>
      </c>
      <c r="F301" s="242">
        <f>E301/30</f>
        <v>2236.0666666666666</v>
      </c>
      <c r="G301" s="288">
        <v>4024.92</v>
      </c>
    </row>
    <row r="302" spans="1:7" x14ac:dyDescent="0.15">
      <c r="A302" s="240">
        <v>35977</v>
      </c>
      <c r="B302" s="239" t="s">
        <v>301</v>
      </c>
      <c r="C302" s="239" t="s">
        <v>304</v>
      </c>
      <c r="D302" s="239" t="s">
        <v>305</v>
      </c>
      <c r="E302" s="288">
        <v>156388</v>
      </c>
      <c r="F302" s="242">
        <f>E302/31</f>
        <v>5044.7741935483873</v>
      </c>
      <c r="G302" s="288">
        <v>21691.95</v>
      </c>
    </row>
    <row r="303" spans="1:7" x14ac:dyDescent="0.15">
      <c r="A303" s="240">
        <v>36281</v>
      </c>
      <c r="B303" s="239" t="s">
        <v>301</v>
      </c>
      <c r="C303" s="239" t="s">
        <v>304</v>
      </c>
      <c r="D303" s="239" t="s">
        <v>305</v>
      </c>
      <c r="E303" s="288">
        <v>4620</v>
      </c>
      <c r="F303" s="242">
        <f>E303/31</f>
        <v>149.03225806451613</v>
      </c>
      <c r="G303" s="239">
        <v>369.6</v>
      </c>
    </row>
    <row r="304" spans="1:7" x14ac:dyDescent="0.15">
      <c r="A304" s="240">
        <v>36312</v>
      </c>
      <c r="B304" s="239" t="s">
        <v>301</v>
      </c>
      <c r="C304" s="239" t="s">
        <v>304</v>
      </c>
      <c r="D304" s="239" t="s">
        <v>305</v>
      </c>
      <c r="E304" s="288">
        <v>168023</v>
      </c>
      <c r="F304" s="242">
        <f>E304/30</f>
        <v>5600.7666666666664</v>
      </c>
      <c r="G304" s="288">
        <v>10081.379999999999</v>
      </c>
    </row>
    <row r="305" spans="1:7" x14ac:dyDescent="0.15">
      <c r="A305" s="240">
        <v>35431</v>
      </c>
      <c r="B305" s="239" t="s">
        <v>301</v>
      </c>
      <c r="C305" s="239" t="s">
        <v>305</v>
      </c>
      <c r="D305" s="239" t="s">
        <v>305</v>
      </c>
      <c r="E305" s="288">
        <v>52177</v>
      </c>
      <c r="F305" s="242">
        <f>E305/31</f>
        <v>1683.1290322580646</v>
      </c>
      <c r="G305" s="288">
        <v>1156.83</v>
      </c>
    </row>
    <row r="306" spans="1:7" x14ac:dyDescent="0.15">
      <c r="A306" s="240">
        <v>35462</v>
      </c>
      <c r="B306" s="239" t="s">
        <v>301</v>
      </c>
      <c r="C306" s="239" t="s">
        <v>305</v>
      </c>
      <c r="D306" s="239" t="s">
        <v>305</v>
      </c>
      <c r="E306" s="288">
        <v>222637</v>
      </c>
      <c r="F306" s="242">
        <f>E306/28</f>
        <v>7951.3214285714284</v>
      </c>
      <c r="G306" s="288">
        <v>3875.56</v>
      </c>
    </row>
    <row r="307" spans="1:7" x14ac:dyDescent="0.15">
      <c r="A307" s="240">
        <v>35490</v>
      </c>
      <c r="B307" s="239" t="s">
        <v>301</v>
      </c>
      <c r="C307" s="239" t="s">
        <v>305</v>
      </c>
      <c r="D307" s="239" t="s">
        <v>305</v>
      </c>
      <c r="E307" s="288">
        <v>444262</v>
      </c>
      <c r="F307" s="242">
        <f>E307/31</f>
        <v>14331.032258064517</v>
      </c>
      <c r="G307" s="288">
        <v>8609.94</v>
      </c>
    </row>
    <row r="308" spans="1:7" x14ac:dyDescent="0.15">
      <c r="A308" s="240">
        <v>35521</v>
      </c>
      <c r="B308" s="239" t="s">
        <v>301</v>
      </c>
      <c r="C308" s="239" t="s">
        <v>305</v>
      </c>
      <c r="D308" s="239" t="s">
        <v>305</v>
      </c>
      <c r="E308" s="288">
        <v>879297</v>
      </c>
      <c r="F308" s="242">
        <f>E308/30</f>
        <v>29309.9</v>
      </c>
      <c r="G308" s="288">
        <v>16051.33</v>
      </c>
    </row>
    <row r="309" spans="1:7" x14ac:dyDescent="0.15">
      <c r="A309" s="240">
        <v>35551</v>
      </c>
      <c r="B309" s="239" t="s">
        <v>301</v>
      </c>
      <c r="C309" s="239" t="s">
        <v>305</v>
      </c>
      <c r="D309" s="239" t="s">
        <v>305</v>
      </c>
      <c r="E309" s="288">
        <v>1052501</v>
      </c>
      <c r="F309" s="242">
        <f>E309/31</f>
        <v>33951.645161290326</v>
      </c>
      <c r="G309" s="288">
        <v>30369.59</v>
      </c>
    </row>
    <row r="310" spans="1:7" x14ac:dyDescent="0.15">
      <c r="A310" s="240">
        <v>35582</v>
      </c>
      <c r="B310" s="239" t="s">
        <v>301</v>
      </c>
      <c r="C310" s="239" t="s">
        <v>305</v>
      </c>
      <c r="D310" s="239" t="s">
        <v>305</v>
      </c>
      <c r="E310" s="288">
        <v>738737</v>
      </c>
      <c r="F310" s="242">
        <f>E310/30</f>
        <v>24624.566666666666</v>
      </c>
      <c r="G310" s="288">
        <v>31256.36</v>
      </c>
    </row>
    <row r="311" spans="1:7" x14ac:dyDescent="0.15">
      <c r="A311" s="240">
        <v>35612</v>
      </c>
      <c r="B311" s="239" t="s">
        <v>301</v>
      </c>
      <c r="C311" s="239" t="s">
        <v>305</v>
      </c>
      <c r="D311" s="239" t="s">
        <v>305</v>
      </c>
      <c r="E311" s="288">
        <v>158827</v>
      </c>
      <c r="F311" s="242">
        <f>E311/31</f>
        <v>5123.4516129032254</v>
      </c>
      <c r="G311" s="288">
        <v>13812.7</v>
      </c>
    </row>
    <row r="312" spans="1:7" x14ac:dyDescent="0.15">
      <c r="A312" s="240">
        <v>35643</v>
      </c>
      <c r="B312" s="239" t="s">
        <v>301</v>
      </c>
      <c r="C312" s="239" t="s">
        <v>305</v>
      </c>
      <c r="D312" s="239" t="s">
        <v>305</v>
      </c>
      <c r="E312" s="239">
        <v>0</v>
      </c>
      <c r="F312" s="242">
        <f>E312/31</f>
        <v>0</v>
      </c>
      <c r="G312" s="239">
        <v>-46.2</v>
      </c>
    </row>
    <row r="313" spans="1:7" x14ac:dyDescent="0.15">
      <c r="A313" s="240">
        <v>35674</v>
      </c>
      <c r="B313" s="239" t="s">
        <v>301</v>
      </c>
      <c r="C313" s="239" t="s">
        <v>305</v>
      </c>
      <c r="D313" s="239" t="s">
        <v>305</v>
      </c>
      <c r="E313" s="288">
        <v>30000</v>
      </c>
      <c r="F313" s="242">
        <f>E313/30</f>
        <v>1000</v>
      </c>
      <c r="G313" s="288">
        <v>-10106.16</v>
      </c>
    </row>
    <row r="314" spans="1:7" x14ac:dyDescent="0.15">
      <c r="A314" s="240">
        <v>35704</v>
      </c>
      <c r="B314" s="239" t="s">
        <v>301</v>
      </c>
      <c r="C314" s="239" t="s">
        <v>305</v>
      </c>
      <c r="D314" s="239" t="s">
        <v>305</v>
      </c>
      <c r="E314" s="288">
        <v>166775</v>
      </c>
      <c r="F314" s="242">
        <f>E314/31</f>
        <v>5379.8387096774195</v>
      </c>
      <c r="G314" s="288">
        <v>7110.5</v>
      </c>
    </row>
    <row r="315" spans="1:7" x14ac:dyDescent="0.15">
      <c r="A315" s="240">
        <v>35735</v>
      </c>
      <c r="B315" s="239" t="s">
        <v>301</v>
      </c>
      <c r="C315" s="239" t="s">
        <v>305</v>
      </c>
      <c r="D315" s="239" t="s">
        <v>305</v>
      </c>
      <c r="E315" s="288">
        <v>403383</v>
      </c>
      <c r="F315" s="242">
        <f>E315/30</f>
        <v>13446.1</v>
      </c>
      <c r="G315" s="288">
        <v>4794.62</v>
      </c>
    </row>
    <row r="316" spans="1:7" x14ac:dyDescent="0.15">
      <c r="A316" s="240">
        <v>35765</v>
      </c>
      <c r="B316" s="239" t="s">
        <v>301</v>
      </c>
      <c r="C316" s="239" t="s">
        <v>305</v>
      </c>
      <c r="D316" s="239" t="s">
        <v>305</v>
      </c>
      <c r="E316" s="288">
        <v>456242</v>
      </c>
      <c r="F316" s="242">
        <f>E316/31</f>
        <v>14717.483870967742</v>
      </c>
      <c r="G316" s="288">
        <v>8040.15</v>
      </c>
    </row>
    <row r="317" spans="1:7" x14ac:dyDescent="0.15">
      <c r="A317" s="240">
        <v>35796</v>
      </c>
      <c r="B317" s="239" t="s">
        <v>301</v>
      </c>
      <c r="C317" s="239" t="s">
        <v>305</v>
      </c>
      <c r="D317" s="239" t="s">
        <v>305</v>
      </c>
      <c r="E317" s="288">
        <v>140378</v>
      </c>
      <c r="F317" s="242">
        <f>E317/31</f>
        <v>4528.322580645161</v>
      </c>
      <c r="G317" s="288">
        <v>2731.62</v>
      </c>
    </row>
    <row r="318" spans="1:7" x14ac:dyDescent="0.15">
      <c r="A318" s="240">
        <v>35827</v>
      </c>
      <c r="B318" s="239" t="s">
        <v>307</v>
      </c>
      <c r="C318" s="239" t="s">
        <v>305</v>
      </c>
      <c r="D318" s="239" t="s">
        <v>305</v>
      </c>
      <c r="E318" s="239">
        <v>0</v>
      </c>
      <c r="F318" s="242">
        <f>E318/28</f>
        <v>0</v>
      </c>
      <c r="G318" s="288">
        <v>-3950</v>
      </c>
    </row>
    <row r="319" spans="1:7" x14ac:dyDescent="0.15">
      <c r="A319" s="240">
        <v>35827</v>
      </c>
      <c r="B319" s="239" t="s">
        <v>301</v>
      </c>
      <c r="C319" s="239" t="s">
        <v>305</v>
      </c>
      <c r="D319" s="239" t="s">
        <v>305</v>
      </c>
      <c r="E319" s="288">
        <v>525000</v>
      </c>
      <c r="F319" s="242">
        <f>E319/28</f>
        <v>18750</v>
      </c>
      <c r="G319" s="288">
        <v>9800</v>
      </c>
    </row>
    <row r="320" spans="1:7" x14ac:dyDescent="0.15">
      <c r="A320" s="240">
        <v>35855</v>
      </c>
      <c r="B320" s="239" t="s">
        <v>301</v>
      </c>
      <c r="C320" s="239" t="s">
        <v>305</v>
      </c>
      <c r="D320" s="239" t="s">
        <v>305</v>
      </c>
      <c r="E320" s="288">
        <v>142799</v>
      </c>
      <c r="F320" s="242">
        <f>E320/31</f>
        <v>4606.4193548387093</v>
      </c>
      <c r="G320" s="288">
        <v>5356.54</v>
      </c>
    </row>
    <row r="321" spans="1:7" x14ac:dyDescent="0.15">
      <c r="A321" s="240">
        <v>35886</v>
      </c>
      <c r="B321" s="239" t="s">
        <v>301</v>
      </c>
      <c r="C321" s="239" t="s">
        <v>305</v>
      </c>
      <c r="D321" s="239" t="s">
        <v>305</v>
      </c>
      <c r="E321" s="288">
        <v>304641</v>
      </c>
      <c r="F321" s="242">
        <f>E321/30</f>
        <v>10154.700000000001</v>
      </c>
      <c r="G321" s="288">
        <v>6301.97</v>
      </c>
    </row>
    <row r="322" spans="1:7" x14ac:dyDescent="0.15">
      <c r="A322" s="240">
        <v>35916</v>
      </c>
      <c r="B322" s="239" t="s">
        <v>301</v>
      </c>
      <c r="C322" s="239" t="s">
        <v>305</v>
      </c>
      <c r="D322" s="239" t="s">
        <v>305</v>
      </c>
      <c r="E322" s="288">
        <v>373936</v>
      </c>
      <c r="F322" s="242">
        <f>E322/31</f>
        <v>12062.451612903225</v>
      </c>
      <c r="G322" s="288">
        <v>6018.88</v>
      </c>
    </row>
    <row r="323" spans="1:7" x14ac:dyDescent="0.15">
      <c r="A323" s="240">
        <v>35947</v>
      </c>
      <c r="B323" s="239" t="s">
        <v>301</v>
      </c>
      <c r="C323" s="239" t="s">
        <v>305</v>
      </c>
      <c r="D323" s="239" t="s">
        <v>305</v>
      </c>
      <c r="E323" s="288">
        <v>1405428</v>
      </c>
      <c r="F323" s="242">
        <f>E323/30</f>
        <v>46847.6</v>
      </c>
      <c r="G323" s="288">
        <v>41746.639999999999</v>
      </c>
    </row>
    <row r="324" spans="1:7" x14ac:dyDescent="0.15">
      <c r="A324" s="240">
        <v>35977</v>
      </c>
      <c r="B324" s="239" t="s">
        <v>307</v>
      </c>
      <c r="C324" s="239" t="s">
        <v>305</v>
      </c>
      <c r="D324" s="239" t="s">
        <v>305</v>
      </c>
      <c r="E324" s="288">
        <v>36512</v>
      </c>
      <c r="F324" s="242">
        <f>E324/31</f>
        <v>1177.8064516129032</v>
      </c>
      <c r="G324" s="239">
        <v>638.97</v>
      </c>
    </row>
    <row r="325" spans="1:7" x14ac:dyDescent="0.15">
      <c r="A325" s="240">
        <v>35977</v>
      </c>
      <c r="B325" s="239" t="s">
        <v>301</v>
      </c>
      <c r="C325" s="239" t="s">
        <v>305</v>
      </c>
      <c r="D325" s="239" t="s">
        <v>305</v>
      </c>
      <c r="E325" s="288">
        <v>488796</v>
      </c>
      <c r="F325" s="242">
        <f>E325/31</f>
        <v>15767.612903225807</v>
      </c>
      <c r="G325" s="288">
        <v>29644.92</v>
      </c>
    </row>
    <row r="326" spans="1:7" x14ac:dyDescent="0.15">
      <c r="A326" s="240">
        <v>36008</v>
      </c>
      <c r="B326" s="239" t="s">
        <v>301</v>
      </c>
      <c r="C326" s="239" t="s">
        <v>305</v>
      </c>
      <c r="D326" s="239" t="s">
        <v>305</v>
      </c>
      <c r="E326" s="288">
        <v>-7582</v>
      </c>
      <c r="F326" s="242">
        <f>E326/31</f>
        <v>-244.58064516129033</v>
      </c>
      <c r="G326" s="288">
        <v>-1165.67</v>
      </c>
    </row>
    <row r="327" spans="1:7" x14ac:dyDescent="0.15">
      <c r="A327" s="240">
        <v>36039</v>
      </c>
      <c r="B327" s="239" t="s">
        <v>301</v>
      </c>
      <c r="C327" s="239" t="s">
        <v>305</v>
      </c>
      <c r="D327" s="239" t="s">
        <v>305</v>
      </c>
      <c r="E327" s="288">
        <v>115885</v>
      </c>
      <c r="F327" s="242">
        <f>E327/30</f>
        <v>3862.8333333333335</v>
      </c>
      <c r="G327" s="288">
        <v>3907.62</v>
      </c>
    </row>
    <row r="328" spans="1:7" x14ac:dyDescent="0.15">
      <c r="A328" s="240">
        <v>36069</v>
      </c>
      <c r="B328" s="239" t="s">
        <v>307</v>
      </c>
      <c r="C328" s="239" t="s">
        <v>305</v>
      </c>
      <c r="D328" s="239" t="s">
        <v>305</v>
      </c>
      <c r="E328" s="239">
        <v>0</v>
      </c>
      <c r="F328" s="242">
        <f>E328/31</f>
        <v>0</v>
      </c>
      <c r="G328" s="288">
        <v>4170.3999999999996</v>
      </c>
    </row>
    <row r="329" spans="1:7" x14ac:dyDescent="0.15">
      <c r="A329" s="240">
        <v>36069</v>
      </c>
      <c r="B329" s="239" t="s">
        <v>301</v>
      </c>
      <c r="C329" s="239" t="s">
        <v>305</v>
      </c>
      <c r="D329" s="239" t="s">
        <v>305</v>
      </c>
      <c r="E329" s="288">
        <v>76404</v>
      </c>
      <c r="F329" s="242">
        <f>E329/31</f>
        <v>2464.6451612903224</v>
      </c>
      <c r="G329" s="288">
        <v>5889.38</v>
      </c>
    </row>
    <row r="330" spans="1:7" x14ac:dyDescent="0.15">
      <c r="A330" s="240">
        <v>36100</v>
      </c>
      <c r="B330" s="239" t="s">
        <v>301</v>
      </c>
      <c r="C330" s="239" t="s">
        <v>305</v>
      </c>
      <c r="D330" s="239" t="s">
        <v>305</v>
      </c>
      <c r="E330" s="288">
        <v>10857</v>
      </c>
      <c r="F330" s="242">
        <f>E330/30</f>
        <v>361.9</v>
      </c>
      <c r="G330" s="288">
        <v>2562.87</v>
      </c>
    </row>
    <row r="331" spans="1:7" x14ac:dyDescent="0.15">
      <c r="A331" s="240">
        <v>36161</v>
      </c>
      <c r="B331" s="239" t="s">
        <v>307</v>
      </c>
      <c r="C331" s="239" t="s">
        <v>305</v>
      </c>
      <c r="D331" s="239" t="s">
        <v>305</v>
      </c>
      <c r="E331" s="288">
        <v>5516</v>
      </c>
      <c r="F331" s="242">
        <f>E331/31</f>
        <v>177.93548387096774</v>
      </c>
      <c r="G331" s="239">
        <v>551.6</v>
      </c>
    </row>
    <row r="332" spans="1:7" x14ac:dyDescent="0.15">
      <c r="A332" s="240">
        <v>36251</v>
      </c>
      <c r="B332" s="239" t="s">
        <v>301</v>
      </c>
      <c r="C332" s="239" t="s">
        <v>305</v>
      </c>
      <c r="D332" s="239" t="s">
        <v>305</v>
      </c>
      <c r="E332" s="288">
        <v>91237</v>
      </c>
      <c r="F332" s="242">
        <f>E332/30</f>
        <v>3041.2333333333331</v>
      </c>
      <c r="G332" s="288">
        <v>2892.48</v>
      </c>
    </row>
    <row r="333" spans="1:7" x14ac:dyDescent="0.15">
      <c r="A333" s="240">
        <v>36281</v>
      </c>
      <c r="B333" s="239" t="s">
        <v>301</v>
      </c>
      <c r="C333" s="239" t="s">
        <v>305</v>
      </c>
      <c r="D333" s="239" t="s">
        <v>305</v>
      </c>
      <c r="E333" s="288">
        <v>4067</v>
      </c>
      <c r="F333" s="242">
        <f>E333/31</f>
        <v>131.19354838709677</v>
      </c>
      <c r="G333" s="239">
        <v>344.83</v>
      </c>
    </row>
    <row r="334" spans="1:7" x14ac:dyDescent="0.15">
      <c r="A334" s="240">
        <v>36312</v>
      </c>
      <c r="B334" s="239" t="s">
        <v>301</v>
      </c>
      <c r="C334" s="239" t="s">
        <v>305</v>
      </c>
      <c r="D334" s="239" t="s">
        <v>305</v>
      </c>
      <c r="E334" s="288">
        <v>163500</v>
      </c>
      <c r="F334" s="242">
        <f>E334/30</f>
        <v>5450</v>
      </c>
      <c r="G334" s="288">
        <v>3270</v>
      </c>
    </row>
    <row r="335" spans="1:7" x14ac:dyDescent="0.15">
      <c r="A335" s="240">
        <v>36342</v>
      </c>
      <c r="B335" s="239" t="s">
        <v>301</v>
      </c>
      <c r="C335" s="239" t="s">
        <v>305</v>
      </c>
      <c r="D335" s="239" t="s">
        <v>305</v>
      </c>
      <c r="E335" s="288">
        <v>940527</v>
      </c>
      <c r="F335" s="242">
        <f>E335/31</f>
        <v>30339.580645161292</v>
      </c>
      <c r="G335" s="288">
        <v>16126.18</v>
      </c>
    </row>
    <row r="336" spans="1:7" x14ac:dyDescent="0.15">
      <c r="A336" s="240">
        <v>36373</v>
      </c>
      <c r="B336" s="239" t="s">
        <v>301</v>
      </c>
      <c r="C336" s="239" t="s">
        <v>305</v>
      </c>
      <c r="D336" s="239" t="s">
        <v>305</v>
      </c>
      <c r="E336" s="288">
        <v>1370900</v>
      </c>
      <c r="F336" s="242">
        <f>E336/31</f>
        <v>44222.580645161288</v>
      </c>
      <c r="G336" s="288">
        <v>27091.78</v>
      </c>
    </row>
    <row r="337" spans="1:7" x14ac:dyDescent="0.15">
      <c r="A337" s="240">
        <v>36404</v>
      </c>
      <c r="B337" s="239" t="s">
        <v>301</v>
      </c>
      <c r="C337" s="239" t="s">
        <v>305</v>
      </c>
      <c r="D337" s="239" t="s">
        <v>305</v>
      </c>
      <c r="E337" s="288">
        <v>323376</v>
      </c>
      <c r="F337" s="242">
        <f>E337/30</f>
        <v>10779.2</v>
      </c>
      <c r="G337" s="288">
        <v>5691.27</v>
      </c>
    </row>
    <row r="338" spans="1:7" x14ac:dyDescent="0.15">
      <c r="A338" s="240">
        <v>36434</v>
      </c>
      <c r="B338" s="239" t="s">
        <v>301</v>
      </c>
      <c r="C338" s="239" t="s">
        <v>305</v>
      </c>
      <c r="D338" s="239" t="s">
        <v>305</v>
      </c>
      <c r="E338" s="288">
        <v>2972</v>
      </c>
      <c r="F338" s="242">
        <f>E338/31</f>
        <v>95.870967741935488</v>
      </c>
      <c r="G338" s="239">
        <v>59.44</v>
      </c>
    </row>
    <row r="339" spans="1:7" x14ac:dyDescent="0.15">
      <c r="A339" s="240">
        <v>36465</v>
      </c>
      <c r="B339" s="239" t="s">
        <v>301</v>
      </c>
      <c r="C339" s="239" t="s">
        <v>305</v>
      </c>
      <c r="D339" s="239" t="s">
        <v>305</v>
      </c>
      <c r="E339" s="288">
        <v>107109</v>
      </c>
      <c r="F339" s="242">
        <f>E339/30</f>
        <v>3570.3</v>
      </c>
      <c r="G339" s="288">
        <v>1874.41</v>
      </c>
    </row>
    <row r="340" spans="1:7" x14ac:dyDescent="0.15">
      <c r="A340" s="240">
        <v>36495</v>
      </c>
      <c r="B340" s="239" t="s">
        <v>301</v>
      </c>
      <c r="C340" s="239" t="s">
        <v>305</v>
      </c>
      <c r="D340" s="239" t="s">
        <v>305</v>
      </c>
      <c r="E340" s="288">
        <v>76137</v>
      </c>
      <c r="F340" s="242">
        <f>E340/31</f>
        <v>2456.0322580645161</v>
      </c>
      <c r="G340" s="288">
        <v>1395.82</v>
      </c>
    </row>
    <row r="341" spans="1:7" x14ac:dyDescent="0.15">
      <c r="B341" s="239" t="s">
        <v>308</v>
      </c>
      <c r="E341" s="288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R221"/>
  <sheetViews>
    <sheetView topLeftCell="A187" workbookViewId="0">
      <selection activeCell="N203" sqref="N203"/>
    </sheetView>
  </sheetViews>
  <sheetFormatPr defaultColWidth="21" defaultRowHeight="12.75" customHeight="1" x14ac:dyDescent="0.15"/>
  <cols>
    <col min="1" max="1" width="9.59765625" style="239" customWidth="1"/>
    <col min="2" max="2" width="23" style="239" customWidth="1"/>
    <col min="3" max="16384" width="21" style="239"/>
  </cols>
  <sheetData>
    <row r="1" spans="1:15" ht="12.75" customHeight="1" x14ac:dyDescent="0.15">
      <c r="A1" s="422" t="s">
        <v>359</v>
      </c>
    </row>
    <row r="2" spans="1:15" ht="12.75" customHeight="1" x14ac:dyDescent="0.15">
      <c r="A2" s="422" t="s">
        <v>360</v>
      </c>
    </row>
    <row r="3" spans="1:15" ht="12.75" customHeight="1" x14ac:dyDescent="0.15">
      <c r="A3" s="422" t="s">
        <v>361</v>
      </c>
    </row>
    <row r="4" spans="1:15" ht="12.75" customHeight="1" x14ac:dyDescent="0.15">
      <c r="C4" s="294" t="s">
        <v>164</v>
      </c>
      <c r="D4" s="294" t="s">
        <v>165</v>
      </c>
      <c r="E4" s="294" t="s">
        <v>210</v>
      </c>
      <c r="F4" s="294" t="s">
        <v>211</v>
      </c>
      <c r="G4" s="294" t="s">
        <v>168</v>
      </c>
      <c r="H4" s="294" t="s">
        <v>212</v>
      </c>
      <c r="I4" s="294" t="s">
        <v>213</v>
      </c>
      <c r="J4" s="294" t="s">
        <v>171</v>
      </c>
      <c r="K4" s="294" t="s">
        <v>214</v>
      </c>
      <c r="L4" s="294" t="s">
        <v>173</v>
      </c>
      <c r="M4" s="294" t="s">
        <v>174</v>
      </c>
      <c r="N4" s="294" t="s">
        <v>175</v>
      </c>
      <c r="O4" s="239" t="s">
        <v>315</v>
      </c>
    </row>
    <row r="8" spans="1:15" s="417" customFormat="1" ht="12.75" customHeight="1" x14ac:dyDescent="0.15">
      <c r="B8" s="418" t="s">
        <v>8</v>
      </c>
      <c r="C8" s="419"/>
      <c r="D8" s="419"/>
      <c r="E8" s="419"/>
      <c r="F8" s="419"/>
      <c r="G8" s="419"/>
      <c r="H8" s="419"/>
      <c r="I8" s="419"/>
      <c r="J8" s="419"/>
      <c r="K8" s="419"/>
      <c r="L8" s="419"/>
      <c r="M8" s="419"/>
      <c r="N8" s="419"/>
    </row>
    <row r="9" spans="1:15" ht="12.75" customHeight="1" x14ac:dyDescent="0.15">
      <c r="B9" s="291" t="s">
        <v>358</v>
      </c>
      <c r="C9" s="407">
        <f t="shared" ref="C9:I9" si="0">(C12+C16+C20)/3</f>
        <v>1.5636896036123382</v>
      </c>
      <c r="D9" s="407">
        <f t="shared" si="0"/>
        <v>1.6363270457570334</v>
      </c>
      <c r="E9" s="407">
        <f t="shared" si="0"/>
        <v>1.5697976042957456</v>
      </c>
      <c r="F9" s="407">
        <f t="shared" si="0"/>
        <v>1.4128948119052629</v>
      </c>
      <c r="G9" s="407">
        <f t="shared" si="0"/>
        <v>1.3985462112178813</v>
      </c>
      <c r="H9" s="407">
        <f t="shared" si="0"/>
        <v>1.2324261210509049</v>
      </c>
      <c r="I9" s="407">
        <f t="shared" si="0"/>
        <v>1.2868121156858618</v>
      </c>
      <c r="J9" s="407">
        <f>(J24+J16+J20)/3</f>
        <v>1.1023877668979176</v>
      </c>
      <c r="K9" s="407">
        <f>(K24+K16+K20)/3</f>
        <v>1.0076783787024823</v>
      </c>
      <c r="L9" s="407">
        <f>(L24+L16+L20)/3</f>
        <v>0.89067281655881414</v>
      </c>
      <c r="M9" s="407">
        <f>(M24+M16+M20)/3</f>
        <v>1.116858506585892</v>
      </c>
      <c r="N9" s="407">
        <f>(N24+N16+N20)/3</f>
        <v>1.1949744075254483</v>
      </c>
    </row>
    <row r="10" spans="1:15" ht="12.75" customHeight="1" x14ac:dyDescent="0.15">
      <c r="A10" s="239">
        <v>2000</v>
      </c>
      <c r="B10" s="292" t="s">
        <v>313</v>
      </c>
      <c r="C10" s="316">
        <v>269</v>
      </c>
      <c r="D10" s="317">
        <v>269</v>
      </c>
      <c r="E10" s="317">
        <v>269</v>
      </c>
      <c r="F10" s="317">
        <v>265</v>
      </c>
      <c r="G10" s="317">
        <v>265</v>
      </c>
      <c r="H10" s="317">
        <v>269.3</v>
      </c>
      <c r="I10" s="317">
        <v>265</v>
      </c>
      <c r="J10" s="317"/>
      <c r="K10" s="317"/>
      <c r="L10" s="317"/>
      <c r="M10" s="317"/>
      <c r="N10" s="318"/>
    </row>
    <row r="11" spans="1:15" ht="12.75" customHeight="1" x14ac:dyDescent="0.15">
      <c r="B11" s="239" t="s">
        <v>312</v>
      </c>
      <c r="C11" s="319">
        <f>397.5+43.3</f>
        <v>440.8</v>
      </c>
      <c r="D11" s="320">
        <f>426.3+12.1</f>
        <v>438.40000000000003</v>
      </c>
      <c r="E11" s="320">
        <f>448.9+12</f>
        <v>460.9</v>
      </c>
      <c r="F11" s="320">
        <f>324.921+8.059</f>
        <v>332.98</v>
      </c>
      <c r="G11" s="320">
        <f>342.2+63.7</f>
        <v>405.9</v>
      </c>
      <c r="H11" s="320">
        <f>245.9+142</f>
        <v>387.9</v>
      </c>
      <c r="I11" s="320">
        <f>258.27+146.675</f>
        <v>404.94499999999999</v>
      </c>
      <c r="J11" s="320"/>
      <c r="K11" s="320"/>
      <c r="L11" s="320"/>
      <c r="M11" s="320"/>
      <c r="N11" s="321"/>
    </row>
    <row r="12" spans="1:15" ht="12.75" customHeight="1" x14ac:dyDescent="0.15">
      <c r="B12" s="239" t="s">
        <v>314</v>
      </c>
      <c r="C12" s="312">
        <f>C11/C10</f>
        <v>1.6386617100371748</v>
      </c>
      <c r="D12" s="312">
        <f t="shared" ref="D12:N12" si="1">D11/D10</f>
        <v>1.629739776951673</v>
      </c>
      <c r="E12" s="312">
        <f t="shared" si="1"/>
        <v>1.7133828996282527</v>
      </c>
      <c r="F12" s="312">
        <f t="shared" si="1"/>
        <v>1.2565283018867925</v>
      </c>
      <c r="G12" s="312">
        <f t="shared" si="1"/>
        <v>1.5316981132075471</v>
      </c>
      <c r="H12" s="312">
        <f t="shared" si="1"/>
        <v>1.4404010397326401</v>
      </c>
      <c r="I12" s="312">
        <f t="shared" si="1"/>
        <v>1.5280943396226414</v>
      </c>
      <c r="J12" s="312" t="e">
        <f t="shared" si="1"/>
        <v>#DIV/0!</v>
      </c>
      <c r="K12" s="312" t="e">
        <f t="shared" si="1"/>
        <v>#DIV/0!</v>
      </c>
      <c r="L12" s="312" t="e">
        <f t="shared" si="1"/>
        <v>#DIV/0!</v>
      </c>
      <c r="M12" s="312" t="e">
        <f t="shared" si="1"/>
        <v>#DIV/0!</v>
      </c>
      <c r="N12" s="312" t="e">
        <f t="shared" si="1"/>
        <v>#DIV/0!</v>
      </c>
    </row>
    <row r="13" spans="1:15" ht="12.75" customHeight="1" x14ac:dyDescent="0.15">
      <c r="B13" s="291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</row>
    <row r="14" spans="1:15" s="254" customFormat="1" ht="12.75" customHeight="1" x14ac:dyDescent="0.15">
      <c r="A14" s="254">
        <v>1999</v>
      </c>
      <c r="B14" s="292" t="s">
        <v>313</v>
      </c>
      <c r="C14" s="295">
        <v>269</v>
      </c>
      <c r="D14" s="296">
        <v>269</v>
      </c>
      <c r="E14" s="296">
        <v>269</v>
      </c>
      <c r="F14" s="296">
        <v>269</v>
      </c>
      <c r="G14" s="296">
        <v>269</v>
      </c>
      <c r="H14" s="296">
        <v>269</v>
      </c>
      <c r="I14" s="296">
        <v>269</v>
      </c>
      <c r="J14" s="296">
        <v>269</v>
      </c>
      <c r="K14" s="296">
        <v>269</v>
      </c>
      <c r="L14" s="296">
        <v>269</v>
      </c>
      <c r="M14" s="296">
        <v>269</v>
      </c>
      <c r="N14" s="410">
        <v>269</v>
      </c>
      <c r="O14" s="408"/>
    </row>
    <row r="15" spans="1:15" ht="12.75" customHeight="1" x14ac:dyDescent="0.15">
      <c r="B15" s="239" t="s">
        <v>312</v>
      </c>
      <c r="C15" s="297">
        <f>371+56.1</f>
        <v>427.1</v>
      </c>
      <c r="D15" s="298">
        <f>399.9+56.1</f>
        <v>456</v>
      </c>
      <c r="E15" s="298">
        <f>360.5+76</f>
        <v>436.5</v>
      </c>
      <c r="F15" s="298">
        <f>335.7+97.5</f>
        <v>433.2</v>
      </c>
      <c r="G15" s="298">
        <f>305.3+122.4</f>
        <v>427.70000000000005</v>
      </c>
      <c r="H15" s="298">
        <f>210.2+192.2</f>
        <v>402.4</v>
      </c>
      <c r="I15" s="298">
        <f>208.9+210.4</f>
        <v>419.3</v>
      </c>
      <c r="J15" s="298">
        <f>209.8+211.4</f>
        <v>421.20000000000005</v>
      </c>
      <c r="K15" s="298">
        <f>201.9+206.8</f>
        <v>408.70000000000005</v>
      </c>
      <c r="L15" s="298">
        <v>308</v>
      </c>
      <c r="M15" s="298">
        <v>336</v>
      </c>
      <c r="N15" s="400">
        <v>428.1</v>
      </c>
      <c r="O15" s="409"/>
    </row>
    <row r="16" spans="1:15" ht="12.75" customHeight="1" x14ac:dyDescent="0.15">
      <c r="B16" s="239" t="s">
        <v>314</v>
      </c>
      <c r="C16" s="312">
        <f>C15/C14</f>
        <v>1.587732342007435</v>
      </c>
      <c r="D16" s="313">
        <f t="shared" ref="D16:N16" si="2">D15/D14</f>
        <v>1.6951672862453531</v>
      </c>
      <c r="E16" s="313">
        <f t="shared" si="2"/>
        <v>1.6226765799256506</v>
      </c>
      <c r="F16" s="313">
        <f t="shared" si="2"/>
        <v>1.6104089219330855</v>
      </c>
      <c r="G16" s="313">
        <f t="shared" si="2"/>
        <v>1.5899628252788105</v>
      </c>
      <c r="H16" s="313">
        <f t="shared" si="2"/>
        <v>1.495910780669145</v>
      </c>
      <c r="I16" s="313">
        <f t="shared" si="2"/>
        <v>1.5587360594795538</v>
      </c>
      <c r="J16" s="313">
        <f t="shared" si="2"/>
        <v>1.5657992565055763</v>
      </c>
      <c r="K16" s="313">
        <f t="shared" si="2"/>
        <v>1.5193308550185876</v>
      </c>
      <c r="L16" s="313">
        <f t="shared" si="2"/>
        <v>1.1449814126394051</v>
      </c>
      <c r="M16" s="313">
        <f t="shared" si="2"/>
        <v>1.2490706319702602</v>
      </c>
      <c r="N16" s="314">
        <f t="shared" si="2"/>
        <v>1.5914498141263942</v>
      </c>
      <c r="O16" s="315"/>
    </row>
    <row r="17" spans="1:15" ht="12.75" customHeight="1" x14ac:dyDescent="0.15">
      <c r="N17" s="400"/>
      <c r="O17" s="298"/>
    </row>
    <row r="18" spans="1:15" ht="12.75" customHeight="1" x14ac:dyDescent="0.15">
      <c r="A18" s="239">
        <v>1998</v>
      </c>
      <c r="B18" s="292" t="s">
        <v>313</v>
      </c>
      <c r="C18" s="301">
        <v>321.3</v>
      </c>
      <c r="D18" s="302">
        <v>270</v>
      </c>
      <c r="E18" s="302">
        <v>270</v>
      </c>
      <c r="F18" s="302">
        <v>269</v>
      </c>
      <c r="G18" s="302">
        <v>269</v>
      </c>
      <c r="H18" s="302">
        <v>269</v>
      </c>
      <c r="I18" s="302">
        <v>269</v>
      </c>
      <c r="J18" s="302">
        <v>269</v>
      </c>
      <c r="K18" s="302">
        <v>269</v>
      </c>
      <c r="L18" s="302">
        <v>269</v>
      </c>
      <c r="M18" s="302">
        <v>269</v>
      </c>
      <c r="N18" s="399">
        <v>277.10000000000002</v>
      </c>
      <c r="O18" s="408"/>
    </row>
    <row r="19" spans="1:15" ht="12.75" customHeight="1" x14ac:dyDescent="0.15">
      <c r="B19" s="239" t="s">
        <v>312</v>
      </c>
      <c r="C19" s="297">
        <v>470.6</v>
      </c>
      <c r="D19" s="298">
        <v>427.7</v>
      </c>
      <c r="E19" s="298">
        <v>370.8</v>
      </c>
      <c r="F19" s="298">
        <v>369</v>
      </c>
      <c r="G19" s="298">
        <v>288.89999999999998</v>
      </c>
      <c r="H19" s="298">
        <v>204.7</v>
      </c>
      <c r="I19" s="298">
        <v>208.1</v>
      </c>
      <c r="J19" s="298">
        <v>203.8</v>
      </c>
      <c r="K19" s="298">
        <v>208.3</v>
      </c>
      <c r="L19" s="298">
        <v>188.3</v>
      </c>
      <c r="M19" s="298">
        <v>324.5</v>
      </c>
      <c r="N19" s="400">
        <v>381</v>
      </c>
      <c r="O19" s="409"/>
    </row>
    <row r="20" spans="1:15" ht="12.75" customHeight="1" x14ac:dyDescent="0.15">
      <c r="B20" s="239" t="s">
        <v>314</v>
      </c>
      <c r="C20" s="312">
        <f t="shared" ref="C20:N20" si="3">C19/C18</f>
        <v>1.4646747587924058</v>
      </c>
      <c r="D20" s="313">
        <f t="shared" si="3"/>
        <v>1.584074074074074</v>
      </c>
      <c r="E20" s="313">
        <f t="shared" si="3"/>
        <v>1.3733333333333333</v>
      </c>
      <c r="F20" s="313">
        <f t="shared" si="3"/>
        <v>1.3717472118959109</v>
      </c>
      <c r="G20" s="313">
        <f t="shared" si="3"/>
        <v>1.0739776951672861</v>
      </c>
      <c r="H20" s="313">
        <f t="shared" si="3"/>
        <v>0.76096654275092934</v>
      </c>
      <c r="I20" s="313">
        <f t="shared" si="3"/>
        <v>0.77360594795539028</v>
      </c>
      <c r="J20" s="313">
        <f t="shared" si="3"/>
        <v>0.75762081784386626</v>
      </c>
      <c r="K20" s="313">
        <f t="shared" si="3"/>
        <v>0.77434944237918224</v>
      </c>
      <c r="L20" s="313">
        <f t="shared" si="3"/>
        <v>0.70000000000000007</v>
      </c>
      <c r="M20" s="313">
        <f t="shared" si="3"/>
        <v>1.2063197026022305</v>
      </c>
      <c r="N20" s="314">
        <f t="shared" si="3"/>
        <v>1.3749548899314326</v>
      </c>
      <c r="O20" s="315"/>
    </row>
    <row r="21" spans="1:15" ht="12.75" customHeight="1" x14ac:dyDescent="0.15"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411"/>
      <c r="O21" s="315"/>
    </row>
    <row r="22" spans="1:15" ht="12.75" customHeight="1" x14ac:dyDescent="0.15">
      <c r="A22" s="239">
        <v>1997</v>
      </c>
      <c r="B22" s="292" t="s">
        <v>313</v>
      </c>
      <c r="C22" s="303">
        <v>270</v>
      </c>
      <c r="D22" s="304">
        <v>270</v>
      </c>
      <c r="E22" s="304">
        <v>270</v>
      </c>
      <c r="F22" s="304">
        <v>270</v>
      </c>
      <c r="G22" s="304">
        <v>338.7</v>
      </c>
      <c r="H22" s="304">
        <v>295</v>
      </c>
      <c r="I22" s="304">
        <v>329.1</v>
      </c>
      <c r="J22" s="304">
        <v>239.9</v>
      </c>
      <c r="K22" s="304">
        <v>310</v>
      </c>
      <c r="L22" s="304">
        <v>270</v>
      </c>
      <c r="M22" s="304">
        <v>270</v>
      </c>
      <c r="N22" s="412">
        <v>270</v>
      </c>
      <c r="O22" s="409"/>
    </row>
    <row r="23" spans="1:15" ht="12.75" customHeight="1" x14ac:dyDescent="0.15">
      <c r="B23" s="239" t="s">
        <v>312</v>
      </c>
      <c r="C23" s="305">
        <v>220.3</v>
      </c>
      <c r="D23" s="306">
        <v>214</v>
      </c>
      <c r="E23" s="306">
        <v>254</v>
      </c>
      <c r="F23" s="306">
        <v>215.8</v>
      </c>
      <c r="G23" s="306">
        <v>259.2</v>
      </c>
      <c r="H23" s="306">
        <v>244.3</v>
      </c>
      <c r="I23" s="306">
        <v>249.7</v>
      </c>
      <c r="J23" s="306">
        <v>236</v>
      </c>
      <c r="K23" s="306">
        <v>226.1</v>
      </c>
      <c r="L23" s="306">
        <v>223.3</v>
      </c>
      <c r="M23" s="306">
        <v>241.7</v>
      </c>
      <c r="N23" s="401">
        <v>167</v>
      </c>
      <c r="O23" s="409"/>
    </row>
    <row r="24" spans="1:15" ht="12.75" customHeight="1" x14ac:dyDescent="0.15">
      <c r="B24" s="239" t="s">
        <v>314</v>
      </c>
      <c r="C24" s="312">
        <f>C23/C22</f>
        <v>0.81592592592592594</v>
      </c>
      <c r="D24" s="313">
        <f t="shared" ref="D24:N24" si="4">D23/D22</f>
        <v>0.79259259259259263</v>
      </c>
      <c r="E24" s="313">
        <f t="shared" si="4"/>
        <v>0.94074074074074077</v>
      </c>
      <c r="F24" s="313">
        <f t="shared" si="4"/>
        <v>0.79925925925925934</v>
      </c>
      <c r="G24" s="313">
        <f t="shared" si="4"/>
        <v>0.76527900797165638</v>
      </c>
      <c r="H24" s="313">
        <f t="shared" si="4"/>
        <v>0.82813559322033903</v>
      </c>
      <c r="I24" s="313">
        <f t="shared" si="4"/>
        <v>0.75873594652081422</v>
      </c>
      <c r="J24" s="313">
        <f t="shared" si="4"/>
        <v>0.98374322634431011</v>
      </c>
      <c r="K24" s="313">
        <f t="shared" si="4"/>
        <v>0.72935483870967743</v>
      </c>
      <c r="L24" s="313">
        <f t="shared" si="4"/>
        <v>0.82703703703703713</v>
      </c>
      <c r="M24" s="313">
        <f t="shared" si="4"/>
        <v>0.89518518518518519</v>
      </c>
      <c r="N24" s="314">
        <f t="shared" si="4"/>
        <v>0.61851851851851847</v>
      </c>
      <c r="O24" s="315"/>
    </row>
    <row r="25" spans="1:15" ht="12.75" customHeight="1" x14ac:dyDescent="0.15"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315"/>
    </row>
    <row r="26" spans="1:15" ht="12.75" customHeight="1" x14ac:dyDescent="0.15">
      <c r="O26" s="298"/>
    </row>
    <row r="27" spans="1:15" s="417" customFormat="1" ht="12.75" customHeight="1" x14ac:dyDescent="0.15">
      <c r="B27" s="418" t="s">
        <v>14</v>
      </c>
      <c r="C27" s="419"/>
      <c r="D27" s="419"/>
      <c r="E27" s="419"/>
      <c r="F27" s="419"/>
      <c r="G27" s="419"/>
      <c r="H27" s="419"/>
      <c r="I27" s="419"/>
      <c r="J27" s="419"/>
      <c r="K27" s="419"/>
      <c r="L27" s="419"/>
      <c r="M27" s="419"/>
      <c r="N27" s="419"/>
      <c r="O27" s="420"/>
    </row>
    <row r="28" spans="1:15" ht="12.75" customHeight="1" x14ac:dyDescent="0.15">
      <c r="B28" s="291" t="s">
        <v>358</v>
      </c>
      <c r="C28" s="407">
        <f t="shared" ref="C28:I28" si="5">(C31+C35+C39)/3</f>
        <v>0.61950269189728491</v>
      </c>
      <c r="D28" s="407">
        <f t="shared" si="5"/>
        <v>0.59393361568816749</v>
      </c>
      <c r="E28" s="407">
        <f t="shared" si="5"/>
        <v>0.51522251196276569</v>
      </c>
      <c r="F28" s="407">
        <f t="shared" si="5"/>
        <v>0.48891958578052225</v>
      </c>
      <c r="G28" s="407">
        <f t="shared" si="5"/>
        <v>0.43376975602334183</v>
      </c>
      <c r="H28" s="407">
        <f t="shared" si="5"/>
        <v>0.45662515503448953</v>
      </c>
      <c r="I28" s="407">
        <f t="shared" si="5"/>
        <v>0.5222032871491199</v>
      </c>
      <c r="J28" s="407">
        <f>(J43+J35+J39)/3</f>
        <v>0.45663432339953491</v>
      </c>
      <c r="K28" s="407">
        <f>(K43+K35+K39)/3</f>
        <v>0.49709865113263435</v>
      </c>
      <c r="L28" s="407">
        <f>(L43+L35+L39)/3</f>
        <v>0.52212228138638916</v>
      </c>
      <c r="M28" s="407">
        <f>(M43+M35+M39)/3</f>
        <v>0.60617722390860551</v>
      </c>
      <c r="N28" s="407">
        <f>(N43+N35+N39)/3</f>
        <v>0.48511231814879902</v>
      </c>
    </row>
    <row r="29" spans="1:15" ht="12.75" customHeight="1" x14ac:dyDescent="0.15">
      <c r="A29" s="239">
        <v>2000</v>
      </c>
      <c r="B29" s="292" t="s">
        <v>313</v>
      </c>
      <c r="C29" s="316">
        <v>553.9</v>
      </c>
      <c r="D29" s="317">
        <v>547.20000000000005</v>
      </c>
      <c r="E29" s="317">
        <v>559.20000000000005</v>
      </c>
      <c r="F29" s="317">
        <v>514.81700000000001</v>
      </c>
      <c r="G29" s="317">
        <v>535.6</v>
      </c>
      <c r="H29" s="317">
        <v>538.29999999999995</v>
      </c>
      <c r="I29" s="317">
        <v>574.37900000000002</v>
      </c>
      <c r="J29" s="317"/>
      <c r="K29" s="317"/>
      <c r="L29" s="317"/>
      <c r="M29" s="317"/>
      <c r="N29" s="318"/>
      <c r="O29" s="298"/>
    </row>
    <row r="30" spans="1:15" ht="12.75" customHeight="1" x14ac:dyDescent="0.15">
      <c r="B30" s="239" t="s">
        <v>312</v>
      </c>
      <c r="C30" s="319">
        <f>279.5+7.1</f>
        <v>286.60000000000002</v>
      </c>
      <c r="D30" s="320">
        <f>270+4.2</f>
        <v>274.2</v>
      </c>
      <c r="E30" s="320">
        <f>253.4+3.3</f>
        <v>256.7</v>
      </c>
      <c r="F30" s="320">
        <f>212.04+5.017</f>
        <v>217.05699999999999</v>
      </c>
      <c r="G30" s="320">
        <f>179.8+5.1</f>
        <v>184.9</v>
      </c>
      <c r="H30" s="320">
        <f>352.5+5.4</f>
        <v>357.9</v>
      </c>
      <c r="I30" s="320">
        <f>346.975+5.011</f>
        <v>351.98600000000005</v>
      </c>
      <c r="J30" s="320"/>
      <c r="K30" s="320"/>
      <c r="L30" s="320"/>
      <c r="M30" s="320"/>
      <c r="N30" s="321"/>
      <c r="O30" s="298"/>
    </row>
    <row r="31" spans="1:15" ht="12.75" customHeight="1" x14ac:dyDescent="0.15">
      <c r="B31" s="239" t="s">
        <v>314</v>
      </c>
      <c r="C31" s="312">
        <f t="shared" ref="C31:N31" si="6">C30/C29</f>
        <v>0.51742191731359455</v>
      </c>
      <c r="D31" s="313">
        <f t="shared" si="6"/>
        <v>0.5010964912280701</v>
      </c>
      <c r="E31" s="313">
        <f t="shared" si="6"/>
        <v>0.45904864091559366</v>
      </c>
      <c r="F31" s="313">
        <f t="shared" si="6"/>
        <v>0.42161972118247842</v>
      </c>
      <c r="G31" s="313">
        <f t="shared" si="6"/>
        <v>0.34522031366691558</v>
      </c>
      <c r="H31" s="313">
        <f t="shared" si="6"/>
        <v>0.66487088983838005</v>
      </c>
      <c r="I31" s="313">
        <f t="shared" si="6"/>
        <v>0.61281140153104485</v>
      </c>
      <c r="J31" s="313" t="e">
        <f t="shared" si="6"/>
        <v>#DIV/0!</v>
      </c>
      <c r="K31" s="313" t="e">
        <f t="shared" si="6"/>
        <v>#DIV/0!</v>
      </c>
      <c r="L31" s="313" t="e">
        <f t="shared" si="6"/>
        <v>#DIV/0!</v>
      </c>
      <c r="M31" s="313" t="e">
        <f t="shared" si="6"/>
        <v>#DIV/0!</v>
      </c>
      <c r="N31" s="314" t="e">
        <f t="shared" si="6"/>
        <v>#DIV/0!</v>
      </c>
      <c r="O31" s="298"/>
    </row>
    <row r="32" spans="1:15" ht="12.75" customHeight="1" x14ac:dyDescent="0.15">
      <c r="B32" s="291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298"/>
    </row>
    <row r="33" spans="1:15" s="254" customFormat="1" ht="12.75" customHeight="1" x14ac:dyDescent="0.15">
      <c r="A33" s="254">
        <v>1999</v>
      </c>
      <c r="B33" s="292" t="s">
        <v>313</v>
      </c>
      <c r="C33" s="295">
        <v>589.9</v>
      </c>
      <c r="D33" s="296">
        <v>589.6</v>
      </c>
      <c r="E33" s="296">
        <v>547.6</v>
      </c>
      <c r="F33" s="296">
        <v>547.6</v>
      </c>
      <c r="G33" s="296">
        <v>547.6</v>
      </c>
      <c r="H33" s="296">
        <v>547.6</v>
      </c>
      <c r="I33" s="296">
        <v>547.6</v>
      </c>
      <c r="J33" s="296">
        <v>548.1</v>
      </c>
      <c r="K33" s="296">
        <v>542.70000000000005</v>
      </c>
      <c r="L33" s="296">
        <v>542.70000000000005</v>
      </c>
      <c r="M33" s="296">
        <v>563.5</v>
      </c>
      <c r="N33" s="410">
        <f>637.4+85</f>
        <v>722.4</v>
      </c>
      <c r="O33" s="409"/>
    </row>
    <row r="34" spans="1:15" ht="12.75" customHeight="1" x14ac:dyDescent="0.15">
      <c r="B34" s="239" t="s">
        <v>312</v>
      </c>
      <c r="C34" s="297">
        <f>362.7+18.2</f>
        <v>380.9</v>
      </c>
      <c r="D34" s="298">
        <f>391.6+13.6</f>
        <v>405.20000000000005</v>
      </c>
      <c r="E34" s="298">
        <f>226.2+9.8</f>
        <v>236</v>
      </c>
      <c r="F34" s="298">
        <f>182.4+6.5</f>
        <v>188.9</v>
      </c>
      <c r="G34" s="298">
        <f>188.6+6</f>
        <v>194.6</v>
      </c>
      <c r="H34" s="298">
        <f>199.2+3.8</f>
        <v>203</v>
      </c>
      <c r="I34" s="298">
        <f>253.3+9.6</f>
        <v>262.90000000000003</v>
      </c>
      <c r="J34" s="298">
        <f>130.5+6.2</f>
        <v>136.69999999999999</v>
      </c>
      <c r="K34" s="298">
        <f>246.8+3.5</f>
        <v>250.3</v>
      </c>
      <c r="L34" s="298">
        <v>440</v>
      </c>
      <c r="M34" s="298">
        <v>527</v>
      </c>
      <c r="N34" s="400">
        <v>341.5</v>
      </c>
      <c r="O34" s="409"/>
    </row>
    <row r="35" spans="1:15" ht="12.75" customHeight="1" x14ac:dyDescent="0.15">
      <c r="B35" s="239" t="s">
        <v>314</v>
      </c>
      <c r="C35" s="312">
        <f t="shared" ref="C35:N35" si="7">C34/C33</f>
        <v>0.64570266146804545</v>
      </c>
      <c r="D35" s="313">
        <f t="shared" si="7"/>
        <v>0.68724559023066489</v>
      </c>
      <c r="E35" s="313">
        <f t="shared" si="7"/>
        <v>0.4309715120525931</v>
      </c>
      <c r="F35" s="313">
        <f t="shared" si="7"/>
        <v>0.34495982468955444</v>
      </c>
      <c r="G35" s="313">
        <f t="shared" si="7"/>
        <v>0.35536888239590941</v>
      </c>
      <c r="H35" s="313">
        <f t="shared" si="7"/>
        <v>0.37070854638422207</v>
      </c>
      <c r="I35" s="313">
        <f t="shared" si="7"/>
        <v>0.48009495982468958</v>
      </c>
      <c r="J35" s="313">
        <f t="shared" si="7"/>
        <v>0.24940704251049076</v>
      </c>
      <c r="K35" s="313">
        <f t="shared" si="7"/>
        <v>0.46121245623733187</v>
      </c>
      <c r="L35" s="313">
        <f t="shared" si="7"/>
        <v>0.81076100976598486</v>
      </c>
      <c r="M35" s="313">
        <f t="shared" si="7"/>
        <v>0.93522626441881096</v>
      </c>
      <c r="N35" s="314">
        <f t="shared" si="7"/>
        <v>0.47272978959025475</v>
      </c>
      <c r="O35" s="315"/>
    </row>
    <row r="36" spans="1:15" ht="12.75" customHeight="1" x14ac:dyDescent="0.15">
      <c r="N36" s="400"/>
      <c r="O36" s="298"/>
    </row>
    <row r="37" spans="1:15" ht="12.75" customHeight="1" x14ac:dyDescent="0.15">
      <c r="A37" s="239">
        <v>1998</v>
      </c>
      <c r="B37" s="292" t="s">
        <v>313</v>
      </c>
      <c r="C37" s="301">
        <v>550.20000000000005</v>
      </c>
      <c r="D37" s="302">
        <v>568.70000000000005</v>
      </c>
      <c r="E37" s="302">
        <v>617.1</v>
      </c>
      <c r="F37" s="302">
        <v>558</v>
      </c>
      <c r="G37" s="302">
        <v>555.5</v>
      </c>
      <c r="H37" s="302">
        <v>554</v>
      </c>
      <c r="I37" s="302">
        <v>545.70000000000005</v>
      </c>
      <c r="J37" s="302">
        <v>565.5</v>
      </c>
      <c r="K37" s="302">
        <v>529.5</v>
      </c>
      <c r="L37" s="302">
        <v>544.79999999999995</v>
      </c>
      <c r="M37" s="302">
        <v>593.70000000000005</v>
      </c>
      <c r="N37" s="399">
        <v>581.29999999999995</v>
      </c>
      <c r="O37" s="409"/>
    </row>
    <row r="38" spans="1:15" ht="12.75" customHeight="1" x14ac:dyDescent="0.15">
      <c r="B38" s="239" t="s">
        <v>312</v>
      </c>
      <c r="C38" s="297">
        <v>382.6</v>
      </c>
      <c r="D38" s="298">
        <v>337.5</v>
      </c>
      <c r="E38" s="298">
        <v>404.6</v>
      </c>
      <c r="F38" s="298">
        <v>390.7</v>
      </c>
      <c r="G38" s="298">
        <v>333.7</v>
      </c>
      <c r="H38" s="298">
        <v>185.2</v>
      </c>
      <c r="I38" s="298">
        <v>258.5</v>
      </c>
      <c r="J38" s="298">
        <v>360.6</v>
      </c>
      <c r="K38" s="298">
        <v>326.10000000000002</v>
      </c>
      <c r="L38" s="298">
        <v>330.2</v>
      </c>
      <c r="M38" s="298">
        <v>413.4</v>
      </c>
      <c r="N38" s="400">
        <v>396.9</v>
      </c>
      <c r="O38" s="409"/>
    </row>
    <row r="39" spans="1:15" ht="12.75" customHeight="1" x14ac:dyDescent="0.15">
      <c r="B39" s="239" t="s">
        <v>314</v>
      </c>
      <c r="C39" s="312">
        <f t="shared" ref="C39:N39" si="8">C38/C37</f>
        <v>0.6953834969102145</v>
      </c>
      <c r="D39" s="313">
        <f t="shared" si="8"/>
        <v>0.59345876560576749</v>
      </c>
      <c r="E39" s="313">
        <f t="shared" si="8"/>
        <v>0.65564738292011016</v>
      </c>
      <c r="F39" s="313">
        <f t="shared" si="8"/>
        <v>0.70017921146953399</v>
      </c>
      <c r="G39" s="313">
        <f t="shared" si="8"/>
        <v>0.60072007200720068</v>
      </c>
      <c r="H39" s="313">
        <f t="shared" si="8"/>
        <v>0.3342960288808664</v>
      </c>
      <c r="I39" s="313">
        <f t="shared" si="8"/>
        <v>0.47370350009162537</v>
      </c>
      <c r="J39" s="313">
        <f t="shared" si="8"/>
        <v>0.63766578249336869</v>
      </c>
      <c r="K39" s="313">
        <f t="shared" si="8"/>
        <v>0.61586402266288953</v>
      </c>
      <c r="L39" s="313">
        <f t="shared" si="8"/>
        <v>0.60609397944199705</v>
      </c>
      <c r="M39" s="313">
        <f t="shared" si="8"/>
        <v>0.69631126831733192</v>
      </c>
      <c r="N39" s="314">
        <f t="shared" si="8"/>
        <v>0.68277997591605022</v>
      </c>
      <c r="O39" s="315"/>
    </row>
    <row r="40" spans="1:15" ht="12.75" customHeight="1" x14ac:dyDescent="0.15"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411"/>
      <c r="O40" s="315"/>
    </row>
    <row r="41" spans="1:15" ht="12.75" customHeight="1" x14ac:dyDescent="0.15">
      <c r="A41" s="239">
        <v>1997</v>
      </c>
      <c r="B41" s="292" t="s">
        <v>313</v>
      </c>
      <c r="C41" s="303">
        <v>316</v>
      </c>
      <c r="D41" s="304">
        <v>316</v>
      </c>
      <c r="E41" s="304">
        <v>343.2</v>
      </c>
      <c r="F41" s="304">
        <v>346</v>
      </c>
      <c r="G41" s="304">
        <v>426.2</v>
      </c>
      <c r="H41" s="304">
        <v>393.2</v>
      </c>
      <c r="I41" s="304">
        <v>417.1</v>
      </c>
      <c r="J41" s="304">
        <v>433.9</v>
      </c>
      <c r="K41" s="304">
        <v>388.2</v>
      </c>
      <c r="L41" s="304">
        <v>358.5</v>
      </c>
      <c r="M41" s="304">
        <v>358.3</v>
      </c>
      <c r="N41" s="412">
        <v>347.2</v>
      </c>
      <c r="O41" s="409"/>
    </row>
    <row r="42" spans="1:15" ht="12.75" customHeight="1" x14ac:dyDescent="0.15">
      <c r="B42" s="239" t="s">
        <v>312</v>
      </c>
      <c r="C42" s="305">
        <v>115.2</v>
      </c>
      <c r="D42" s="306">
        <v>24</v>
      </c>
      <c r="E42" s="306">
        <v>29.9</v>
      </c>
      <c r="F42" s="306">
        <v>96.7</v>
      </c>
      <c r="G42" s="306">
        <v>190.5</v>
      </c>
      <c r="H42" s="306">
        <v>107.7</v>
      </c>
      <c r="I42" s="306">
        <v>204.1</v>
      </c>
      <c r="J42" s="306">
        <v>209.5</v>
      </c>
      <c r="K42" s="306">
        <v>160.80000000000001</v>
      </c>
      <c r="L42" s="306">
        <v>53.6</v>
      </c>
      <c r="M42" s="306">
        <v>67</v>
      </c>
      <c r="N42" s="401">
        <v>104.1</v>
      </c>
      <c r="O42" s="409"/>
    </row>
    <row r="43" spans="1:15" ht="12.75" customHeight="1" x14ac:dyDescent="0.15">
      <c r="B43" s="239" t="s">
        <v>314</v>
      </c>
      <c r="C43" s="312">
        <f t="shared" ref="C43:N43" si="9">C42/C41</f>
        <v>0.36455696202531646</v>
      </c>
      <c r="D43" s="313">
        <f t="shared" si="9"/>
        <v>7.5949367088607597E-2</v>
      </c>
      <c r="E43" s="313">
        <f t="shared" si="9"/>
        <v>8.7121212121212113E-2</v>
      </c>
      <c r="F43" s="313">
        <f t="shared" si="9"/>
        <v>0.27947976878612718</v>
      </c>
      <c r="G43" s="313">
        <f t="shared" si="9"/>
        <v>0.44697325199436883</v>
      </c>
      <c r="H43" s="313">
        <f t="shared" si="9"/>
        <v>0.27390640895218721</v>
      </c>
      <c r="I43" s="313">
        <f t="shared" si="9"/>
        <v>0.48933109566051303</v>
      </c>
      <c r="J43" s="313">
        <f t="shared" si="9"/>
        <v>0.48283014519474537</v>
      </c>
      <c r="K43" s="313">
        <f t="shared" si="9"/>
        <v>0.41421947449768165</v>
      </c>
      <c r="L43" s="313">
        <f t="shared" si="9"/>
        <v>0.14951185495118549</v>
      </c>
      <c r="M43" s="313">
        <f t="shared" si="9"/>
        <v>0.18699413898967346</v>
      </c>
      <c r="N43" s="314">
        <f t="shared" si="9"/>
        <v>0.29982718894009214</v>
      </c>
      <c r="O43" s="315"/>
    </row>
    <row r="44" spans="1:15" ht="12.75" customHeight="1" x14ac:dyDescent="0.15">
      <c r="O44" s="298"/>
    </row>
    <row r="45" spans="1:15" s="417" customFormat="1" ht="12.75" customHeight="1" x14ac:dyDescent="0.15">
      <c r="B45" s="418" t="s">
        <v>17</v>
      </c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19"/>
      <c r="N45" s="419"/>
      <c r="O45" s="420"/>
    </row>
    <row r="46" spans="1:15" ht="12.75" customHeight="1" x14ac:dyDescent="0.15">
      <c r="B46" s="291" t="s">
        <v>358</v>
      </c>
      <c r="C46" s="407">
        <f>C49</f>
        <v>0.97666666666666668</v>
      </c>
      <c r="D46" s="407">
        <f>D49</f>
        <v>1</v>
      </c>
      <c r="E46" s="407">
        <f>E49</f>
        <v>0.99833333333333329</v>
      </c>
      <c r="F46" s="407">
        <f>F49</f>
        <v>0.85446666666666671</v>
      </c>
      <c r="G46" s="407">
        <f>G49</f>
        <v>0.9916666666666667</v>
      </c>
      <c r="H46" s="407">
        <f>(H57+H53)/2</f>
        <v>0.93333333333333335</v>
      </c>
      <c r="I46" s="407">
        <f>(I57+I53)/2</f>
        <v>0.87583333333333335</v>
      </c>
      <c r="J46" s="407">
        <f>J53</f>
        <v>0.94166666666666665</v>
      </c>
      <c r="K46" s="407">
        <f>(K57+K53)/2</f>
        <v>0.97000000000000008</v>
      </c>
      <c r="L46" s="407">
        <f>K46</f>
        <v>0.97000000000000008</v>
      </c>
      <c r="M46" s="407">
        <f>L46</f>
        <v>0.97000000000000008</v>
      </c>
      <c r="N46" s="407">
        <f>M46</f>
        <v>0.97000000000000008</v>
      </c>
    </row>
    <row r="47" spans="1:15" ht="12.75" customHeight="1" x14ac:dyDescent="0.15">
      <c r="A47" s="239">
        <v>2000</v>
      </c>
      <c r="B47" s="292" t="s">
        <v>313</v>
      </c>
      <c r="C47" s="316">
        <v>60</v>
      </c>
      <c r="D47" s="317">
        <v>60</v>
      </c>
      <c r="E47" s="317">
        <v>60</v>
      </c>
      <c r="F47" s="317">
        <v>60</v>
      </c>
      <c r="G47" s="317">
        <v>60</v>
      </c>
      <c r="H47" s="317"/>
      <c r="I47" s="317"/>
      <c r="J47" s="317"/>
      <c r="K47" s="317"/>
      <c r="L47" s="317"/>
      <c r="M47" s="317"/>
      <c r="N47" s="318"/>
      <c r="O47" s="298"/>
    </row>
    <row r="48" spans="1:15" ht="12.75" customHeight="1" x14ac:dyDescent="0.15">
      <c r="B48" s="239" t="s">
        <v>312</v>
      </c>
      <c r="C48" s="319">
        <v>58.6</v>
      </c>
      <c r="D48" s="320">
        <v>60</v>
      </c>
      <c r="E48" s="320">
        <v>59.9</v>
      </c>
      <c r="F48" s="320">
        <v>51.268000000000001</v>
      </c>
      <c r="G48" s="320">
        <v>59.5</v>
      </c>
      <c r="H48" s="320"/>
      <c r="I48" s="320"/>
      <c r="J48" s="320"/>
      <c r="K48" s="320"/>
      <c r="L48" s="320"/>
      <c r="M48" s="320"/>
      <c r="N48" s="321"/>
      <c r="O48" s="298"/>
    </row>
    <row r="49" spans="1:15" ht="12.75" customHeight="1" x14ac:dyDescent="0.15">
      <c r="B49" s="239" t="s">
        <v>314</v>
      </c>
      <c r="C49" s="312">
        <f t="shared" ref="C49:N49" si="10">C48/C47</f>
        <v>0.97666666666666668</v>
      </c>
      <c r="D49" s="313">
        <f t="shared" si="10"/>
        <v>1</v>
      </c>
      <c r="E49" s="313">
        <f t="shared" si="10"/>
        <v>0.99833333333333329</v>
      </c>
      <c r="F49" s="313">
        <f t="shared" si="10"/>
        <v>0.85446666666666671</v>
      </c>
      <c r="G49" s="313">
        <f t="shared" si="10"/>
        <v>0.9916666666666667</v>
      </c>
      <c r="H49" s="313" t="e">
        <f t="shared" si="10"/>
        <v>#DIV/0!</v>
      </c>
      <c r="I49" s="313" t="e">
        <f t="shared" si="10"/>
        <v>#DIV/0!</v>
      </c>
      <c r="J49" s="313" t="e">
        <f t="shared" si="10"/>
        <v>#DIV/0!</v>
      </c>
      <c r="K49" s="313" t="e">
        <f t="shared" si="10"/>
        <v>#DIV/0!</v>
      </c>
      <c r="L49" s="313" t="e">
        <f t="shared" si="10"/>
        <v>#DIV/0!</v>
      </c>
      <c r="M49" s="313" t="e">
        <f t="shared" si="10"/>
        <v>#DIV/0!</v>
      </c>
      <c r="N49" s="314" t="e">
        <f t="shared" si="10"/>
        <v>#DIV/0!</v>
      </c>
      <c r="O49" s="298"/>
    </row>
    <row r="50" spans="1:15" ht="12.75" customHeight="1" x14ac:dyDescent="0.15">
      <c r="B50" s="291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298"/>
    </row>
    <row r="51" spans="1:15" s="254" customFormat="1" ht="12.75" customHeight="1" x14ac:dyDescent="0.15">
      <c r="A51" s="254">
        <v>1999</v>
      </c>
      <c r="B51" s="292" t="s">
        <v>313</v>
      </c>
      <c r="C51" s="295">
        <v>48</v>
      </c>
      <c r="D51" s="296">
        <v>48</v>
      </c>
      <c r="E51" s="296">
        <v>119.7</v>
      </c>
      <c r="F51" s="296">
        <v>60</v>
      </c>
      <c r="G51" s="296">
        <v>0</v>
      </c>
      <c r="H51" s="296">
        <v>60</v>
      </c>
      <c r="I51" s="296">
        <v>60</v>
      </c>
      <c r="J51" s="296">
        <v>60</v>
      </c>
      <c r="K51" s="296">
        <v>60</v>
      </c>
      <c r="L51" s="296">
        <v>62</v>
      </c>
      <c r="M51" s="296">
        <v>62</v>
      </c>
      <c r="N51" s="410">
        <v>60</v>
      </c>
      <c r="O51" s="409"/>
    </row>
    <row r="52" spans="1:15" ht="12.75" customHeight="1" x14ac:dyDescent="0.15">
      <c r="B52" s="239" t="s">
        <v>312</v>
      </c>
      <c r="C52" s="297">
        <v>18</v>
      </c>
      <c r="D52" s="298">
        <v>18.100000000000001</v>
      </c>
      <c r="E52" s="298">
        <v>59.7</v>
      </c>
      <c r="F52" s="298">
        <v>58</v>
      </c>
      <c r="G52" s="298">
        <v>1.9</v>
      </c>
      <c r="H52" s="298">
        <v>55.2</v>
      </c>
      <c r="I52" s="298">
        <v>51.9</v>
      </c>
      <c r="J52" s="298">
        <v>56.5</v>
      </c>
      <c r="K52" s="298">
        <v>60.2</v>
      </c>
      <c r="L52" s="298">
        <v>0</v>
      </c>
      <c r="M52" s="298">
        <v>0</v>
      </c>
      <c r="N52" s="400">
        <v>60</v>
      </c>
      <c r="O52" s="409"/>
    </row>
    <row r="53" spans="1:15" ht="12.75" customHeight="1" x14ac:dyDescent="0.15">
      <c r="B53" s="239" t="s">
        <v>314</v>
      </c>
      <c r="C53" s="312">
        <f t="shared" ref="C53:N53" si="11">C52/C51</f>
        <v>0.375</v>
      </c>
      <c r="D53" s="313">
        <f t="shared" si="11"/>
        <v>0.37708333333333338</v>
      </c>
      <c r="E53" s="313">
        <f t="shared" si="11"/>
        <v>0.49874686716791983</v>
      </c>
      <c r="F53" s="313">
        <f t="shared" si="11"/>
        <v>0.96666666666666667</v>
      </c>
      <c r="G53" s="313" t="e">
        <f t="shared" si="11"/>
        <v>#DIV/0!</v>
      </c>
      <c r="H53" s="313">
        <f t="shared" si="11"/>
        <v>0.92</v>
      </c>
      <c r="I53" s="313">
        <f t="shared" si="11"/>
        <v>0.86499999999999999</v>
      </c>
      <c r="J53" s="313">
        <f t="shared" si="11"/>
        <v>0.94166666666666665</v>
      </c>
      <c r="K53" s="313">
        <f t="shared" si="11"/>
        <v>1.0033333333333334</v>
      </c>
      <c r="L53" s="313">
        <f t="shared" si="11"/>
        <v>0</v>
      </c>
      <c r="M53" s="313">
        <f t="shared" si="11"/>
        <v>0</v>
      </c>
      <c r="N53" s="314">
        <f t="shared" si="11"/>
        <v>1</v>
      </c>
      <c r="O53" s="315"/>
    </row>
    <row r="54" spans="1:15" ht="12.75" customHeight="1" x14ac:dyDescent="0.15">
      <c r="N54" s="400"/>
      <c r="O54" s="298"/>
    </row>
    <row r="55" spans="1:15" ht="12.75" customHeight="1" x14ac:dyDescent="0.15">
      <c r="A55" s="239">
        <v>1998</v>
      </c>
      <c r="B55" s="292" t="s">
        <v>313</v>
      </c>
      <c r="C55" s="301">
        <v>1.9</v>
      </c>
      <c r="D55" s="302">
        <v>5.9</v>
      </c>
      <c r="E55" s="302">
        <v>13.5</v>
      </c>
      <c r="F55" s="302">
        <v>0</v>
      </c>
      <c r="G55" s="302">
        <v>8.4</v>
      </c>
      <c r="H55" s="302">
        <v>60</v>
      </c>
      <c r="I55" s="302">
        <v>60</v>
      </c>
      <c r="J55" s="302">
        <v>2.4</v>
      </c>
      <c r="K55" s="302">
        <v>60</v>
      </c>
      <c r="L55" s="302">
        <v>90</v>
      </c>
      <c r="M55" s="302">
        <v>46.4</v>
      </c>
      <c r="N55" s="399">
        <v>48</v>
      </c>
      <c r="O55" s="409"/>
    </row>
    <row r="56" spans="1:15" ht="12.75" customHeight="1" x14ac:dyDescent="0.15">
      <c r="B56" s="239" t="s">
        <v>312</v>
      </c>
      <c r="C56" s="297">
        <v>7.5</v>
      </c>
      <c r="D56" s="298">
        <v>10.3</v>
      </c>
      <c r="E56" s="298">
        <v>15.4</v>
      </c>
      <c r="F56" s="298">
        <v>0</v>
      </c>
      <c r="G56" s="298">
        <v>8.1</v>
      </c>
      <c r="H56" s="298">
        <v>56.8</v>
      </c>
      <c r="I56" s="298">
        <v>53.2</v>
      </c>
      <c r="J56" s="298">
        <v>66.099999999999994</v>
      </c>
      <c r="K56" s="298">
        <v>56.2</v>
      </c>
      <c r="L56" s="298">
        <v>55.2</v>
      </c>
      <c r="M56" s="298">
        <v>16.600000000000001</v>
      </c>
      <c r="N56" s="400">
        <v>18</v>
      </c>
      <c r="O56" s="409"/>
    </row>
    <row r="57" spans="1:15" ht="12.75" customHeight="1" x14ac:dyDescent="0.15">
      <c r="B57" s="239" t="s">
        <v>314</v>
      </c>
      <c r="C57" s="312">
        <f t="shared" ref="C57:N57" si="12">C56/C55</f>
        <v>3.9473684210526319</v>
      </c>
      <c r="D57" s="313">
        <f t="shared" si="12"/>
        <v>1.7457627118644068</v>
      </c>
      <c r="E57" s="313">
        <f t="shared" si="12"/>
        <v>1.1407407407407408</v>
      </c>
      <c r="F57" s="313" t="e">
        <f t="shared" si="12"/>
        <v>#DIV/0!</v>
      </c>
      <c r="G57" s="313">
        <f t="shared" si="12"/>
        <v>0.96428571428571419</v>
      </c>
      <c r="H57" s="313">
        <f t="shared" si="12"/>
        <v>0.94666666666666666</v>
      </c>
      <c r="I57" s="313">
        <f t="shared" si="12"/>
        <v>0.88666666666666671</v>
      </c>
      <c r="J57" s="313">
        <f t="shared" si="12"/>
        <v>27.541666666666664</v>
      </c>
      <c r="K57" s="313">
        <f t="shared" si="12"/>
        <v>0.93666666666666676</v>
      </c>
      <c r="L57" s="313">
        <f t="shared" si="12"/>
        <v>0.6133333333333334</v>
      </c>
      <c r="M57" s="314">
        <f t="shared" si="12"/>
        <v>0.35775862068965519</v>
      </c>
      <c r="N57" s="413">
        <f t="shared" si="12"/>
        <v>0.375</v>
      </c>
      <c r="O57" s="315"/>
    </row>
    <row r="58" spans="1:15" ht="12.75" customHeight="1" x14ac:dyDescent="0.15">
      <c r="O58" s="298"/>
    </row>
    <row r="59" spans="1:15" ht="12.75" customHeight="1" x14ac:dyDescent="0.15">
      <c r="O59" s="298"/>
    </row>
    <row r="60" spans="1:15" s="417" customFormat="1" ht="12.75" customHeight="1" x14ac:dyDescent="0.15">
      <c r="B60" s="418" t="s">
        <v>19</v>
      </c>
      <c r="C60" s="419"/>
      <c r="D60" s="419"/>
      <c r="E60" s="419"/>
      <c r="F60" s="419"/>
      <c r="G60" s="419"/>
      <c r="H60" s="419"/>
      <c r="I60" s="419"/>
      <c r="J60" s="419"/>
      <c r="K60" s="419"/>
      <c r="L60" s="419"/>
      <c r="M60" s="419"/>
      <c r="N60" s="419"/>
      <c r="O60" s="420"/>
    </row>
    <row r="61" spans="1:15" ht="12.75" customHeight="1" x14ac:dyDescent="0.15">
      <c r="B61" s="291" t="s">
        <v>358</v>
      </c>
      <c r="C61" s="407">
        <f t="shared" ref="C61:I61" si="13">(C64+C68+C72)/3</f>
        <v>1.2577164800319165</v>
      </c>
      <c r="D61" s="407">
        <f t="shared" si="13"/>
        <v>1.1828785383831255</v>
      </c>
      <c r="E61" s="407">
        <f t="shared" si="13"/>
        <v>2.3199003283996573</v>
      </c>
      <c r="F61" s="407">
        <f t="shared" si="13"/>
        <v>0.88184072661891377</v>
      </c>
      <c r="G61" s="407">
        <f t="shared" si="13"/>
        <v>0.96474404573821493</v>
      </c>
      <c r="H61" s="407">
        <f t="shared" si="13"/>
        <v>0.90702180767209672</v>
      </c>
      <c r="I61" s="407">
        <f t="shared" si="13"/>
        <v>0.87861044015029532</v>
      </c>
      <c r="J61" s="407">
        <f>(J68+J72)/2</f>
        <v>0.70415230646871685</v>
      </c>
      <c r="K61" s="407">
        <f>(K68+K72)/2</f>
        <v>0.93002717391304368</v>
      </c>
      <c r="L61" s="407">
        <f>(L68+L72)/2</f>
        <v>1.2714150378938971</v>
      </c>
      <c r="M61" s="407">
        <f>(M68+M72)/2</f>
        <v>1.2880434782608696</v>
      </c>
      <c r="N61" s="407">
        <f>(N68+N72)/2</f>
        <v>1.210755931654385</v>
      </c>
    </row>
    <row r="62" spans="1:15" s="254" customFormat="1" ht="12.75" customHeight="1" x14ac:dyDescent="0.15">
      <c r="A62" s="254">
        <v>2000</v>
      </c>
      <c r="B62" s="292" t="s">
        <v>313</v>
      </c>
      <c r="C62" s="295">
        <v>93.6</v>
      </c>
      <c r="D62" s="296">
        <v>93.6</v>
      </c>
      <c r="E62" s="296">
        <v>128.6</v>
      </c>
      <c r="F62" s="296">
        <f>150.933</f>
        <v>150.93299999999999</v>
      </c>
      <c r="G62" s="296">
        <v>180.7</v>
      </c>
      <c r="H62" s="296">
        <v>190.3</v>
      </c>
      <c r="I62" s="296">
        <v>183.6</v>
      </c>
      <c r="J62" s="296"/>
      <c r="K62" s="296"/>
      <c r="L62" s="296"/>
      <c r="M62" s="296"/>
      <c r="N62" s="410"/>
      <c r="O62" s="409"/>
    </row>
    <row r="63" spans="1:15" ht="12.75" customHeight="1" x14ac:dyDescent="0.15">
      <c r="B63" s="239" t="s">
        <v>312</v>
      </c>
      <c r="C63" s="297">
        <v>68.900000000000006</v>
      </c>
      <c r="D63" s="298">
        <v>69.599999999999994</v>
      </c>
      <c r="E63" s="298">
        <v>112.5</v>
      </c>
      <c r="F63" s="298">
        <f>118.585</f>
        <v>118.58499999999999</v>
      </c>
      <c r="G63" s="298">
        <v>177.3</v>
      </c>
      <c r="H63" s="298">
        <v>172.9</v>
      </c>
      <c r="I63" s="298">
        <v>163.387</v>
      </c>
      <c r="J63" s="298"/>
      <c r="K63" s="298"/>
      <c r="L63" s="298"/>
      <c r="M63" s="298"/>
      <c r="N63" s="400"/>
      <c r="O63" s="409"/>
    </row>
    <row r="64" spans="1:15" ht="12.75" customHeight="1" x14ac:dyDescent="0.15">
      <c r="B64" s="239" t="s">
        <v>314</v>
      </c>
      <c r="C64" s="299">
        <f t="shared" ref="C64:N64" si="14">C63/C62</f>
        <v>0.73611111111111127</v>
      </c>
      <c r="D64" s="300">
        <f t="shared" si="14"/>
        <v>0.74358974358974361</v>
      </c>
      <c r="E64" s="300">
        <f t="shared" si="14"/>
        <v>0.87480559875583208</v>
      </c>
      <c r="F64" s="300">
        <f t="shared" si="14"/>
        <v>0.78567973869200236</v>
      </c>
      <c r="G64" s="300">
        <f t="shared" si="14"/>
        <v>0.98118428334255681</v>
      </c>
      <c r="H64" s="300">
        <f t="shared" si="14"/>
        <v>0.90856542301629006</v>
      </c>
      <c r="I64" s="300">
        <f t="shared" si="14"/>
        <v>0.88990740740740748</v>
      </c>
      <c r="J64" s="300" t="e">
        <f t="shared" si="14"/>
        <v>#DIV/0!</v>
      </c>
      <c r="K64" s="300" t="e">
        <f t="shared" si="14"/>
        <v>#DIV/0!</v>
      </c>
      <c r="L64" s="300" t="e">
        <f t="shared" si="14"/>
        <v>#DIV/0!</v>
      </c>
      <c r="M64" s="300" t="e">
        <f t="shared" si="14"/>
        <v>#DIV/0!</v>
      </c>
      <c r="N64" s="413" t="e">
        <f t="shared" si="14"/>
        <v>#DIV/0!</v>
      </c>
      <c r="O64" s="315"/>
    </row>
    <row r="65" spans="1:18" ht="12.75" customHeight="1" x14ac:dyDescent="0.15">
      <c r="B65" s="291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298"/>
    </row>
    <row r="66" spans="1:18" s="254" customFormat="1" ht="12.75" customHeight="1" x14ac:dyDescent="0.15">
      <c r="A66" s="254">
        <v>1999</v>
      </c>
      <c r="B66" s="292" t="s">
        <v>313</v>
      </c>
      <c r="C66" s="295">
        <v>48.1</v>
      </c>
      <c r="D66" s="296">
        <v>43.6</v>
      </c>
      <c r="E66" s="296">
        <v>13.9</v>
      </c>
      <c r="F66" s="296">
        <v>73.599999999999994</v>
      </c>
      <c r="G66" s="296">
        <v>133.6</v>
      </c>
      <c r="H66" s="296">
        <v>73.599999999999994</v>
      </c>
      <c r="I66" s="296">
        <v>73.599999999999994</v>
      </c>
      <c r="J66" s="296">
        <v>73.599999999999994</v>
      </c>
      <c r="K66" s="296">
        <v>73.599999999999994</v>
      </c>
      <c r="L66" s="296">
        <v>73.599999999999994</v>
      </c>
      <c r="M66" s="296">
        <v>73.599999999999994</v>
      </c>
      <c r="N66" s="410">
        <v>93.2</v>
      </c>
      <c r="O66" s="409"/>
    </row>
    <row r="67" spans="1:18" ht="12.75" customHeight="1" x14ac:dyDescent="0.15">
      <c r="B67" s="239" t="s">
        <v>312</v>
      </c>
      <c r="C67" s="297">
        <v>74.900000000000006</v>
      </c>
      <c r="D67" s="298">
        <v>73</v>
      </c>
      <c r="E67" s="298">
        <v>73.900000000000006</v>
      </c>
      <c r="F67" s="298">
        <v>72.400000000000006</v>
      </c>
      <c r="G67" s="298">
        <v>129</v>
      </c>
      <c r="H67" s="298">
        <v>71.900000000000006</v>
      </c>
      <c r="I67" s="298">
        <v>65.599999999999994</v>
      </c>
      <c r="J67" s="298">
        <v>69.599999999999994</v>
      </c>
      <c r="K67" s="298">
        <v>64.2</v>
      </c>
      <c r="L67" s="298">
        <v>70</v>
      </c>
      <c r="M67" s="298">
        <v>70</v>
      </c>
      <c r="N67" s="400">
        <v>91.6</v>
      </c>
      <c r="O67" s="409"/>
    </row>
    <row r="68" spans="1:18" ht="12.75" customHeight="1" x14ac:dyDescent="0.15">
      <c r="B68" s="239" t="s">
        <v>314</v>
      </c>
      <c r="C68" s="299">
        <f t="shared" ref="C68:N68" si="15">C67/C66</f>
        <v>1.5571725571725572</v>
      </c>
      <c r="D68" s="300">
        <f t="shared" si="15"/>
        <v>1.6743119266055044</v>
      </c>
      <c r="E68" s="300">
        <f t="shared" si="15"/>
        <v>5.3165467625899288</v>
      </c>
      <c r="F68" s="300">
        <f t="shared" si="15"/>
        <v>0.98369565217391319</v>
      </c>
      <c r="G68" s="300">
        <f t="shared" si="15"/>
        <v>0.96556886227544914</v>
      </c>
      <c r="H68" s="300">
        <f t="shared" si="15"/>
        <v>0.97690217391304368</v>
      </c>
      <c r="I68" s="300">
        <f t="shared" si="15"/>
        <v>0.89130434782608692</v>
      </c>
      <c r="J68" s="300">
        <f t="shared" si="15"/>
        <v>0.94565217391304346</v>
      </c>
      <c r="K68" s="300">
        <f t="shared" si="15"/>
        <v>0.87228260869565233</v>
      </c>
      <c r="L68" s="300">
        <f t="shared" si="15"/>
        <v>0.95108695652173925</v>
      </c>
      <c r="M68" s="300">
        <f t="shared" si="15"/>
        <v>0.95108695652173925</v>
      </c>
      <c r="N68" s="413">
        <f t="shared" si="15"/>
        <v>0.98283261802575095</v>
      </c>
      <c r="O68" s="315"/>
    </row>
    <row r="69" spans="1:18" ht="12.75" customHeight="1" x14ac:dyDescent="0.15">
      <c r="N69" s="400"/>
      <c r="O69" s="298"/>
    </row>
    <row r="70" spans="1:18" ht="12.75" customHeight="1" x14ac:dyDescent="0.15">
      <c r="A70" s="239">
        <v>1998</v>
      </c>
      <c r="B70" s="292" t="s">
        <v>313</v>
      </c>
      <c r="C70" s="301">
        <v>29.8</v>
      </c>
      <c r="D70" s="302">
        <v>43.6</v>
      </c>
      <c r="E70" s="302">
        <v>43.6</v>
      </c>
      <c r="F70" s="302">
        <v>43.6</v>
      </c>
      <c r="G70" s="302">
        <v>47.6</v>
      </c>
      <c r="H70" s="302">
        <v>73.599999999999994</v>
      </c>
      <c r="I70" s="302">
        <v>73.599999999999994</v>
      </c>
      <c r="J70" s="302">
        <v>131.19999999999999</v>
      </c>
      <c r="K70" s="302">
        <v>73.599999999999994</v>
      </c>
      <c r="L70" s="302">
        <v>43.6</v>
      </c>
      <c r="M70" s="302">
        <v>44.8</v>
      </c>
      <c r="N70" s="399">
        <v>63.6</v>
      </c>
      <c r="O70" s="408"/>
    </row>
    <row r="71" spans="1:18" ht="12.75" customHeight="1" x14ac:dyDescent="0.15">
      <c r="B71" s="239" t="s">
        <v>312</v>
      </c>
      <c r="C71" s="297">
        <v>44.1</v>
      </c>
      <c r="D71" s="298">
        <v>49.3</v>
      </c>
      <c r="E71" s="298">
        <v>33.5</v>
      </c>
      <c r="F71" s="298">
        <v>38.200000000000003</v>
      </c>
      <c r="G71" s="298">
        <v>45.1</v>
      </c>
      <c r="H71" s="298">
        <v>61.5</v>
      </c>
      <c r="I71" s="298">
        <v>62.9</v>
      </c>
      <c r="J71" s="298">
        <v>60.7</v>
      </c>
      <c r="K71" s="298">
        <v>72.7</v>
      </c>
      <c r="L71" s="298">
        <v>69.400000000000006</v>
      </c>
      <c r="M71" s="298">
        <v>72.8</v>
      </c>
      <c r="N71" s="400">
        <v>91.5</v>
      </c>
      <c r="O71" s="409"/>
    </row>
    <row r="72" spans="1:18" ht="12.75" customHeight="1" x14ac:dyDescent="0.15">
      <c r="B72" s="239" t="s">
        <v>314</v>
      </c>
      <c r="C72" s="299">
        <f t="shared" ref="C72:N72" si="16">C71/C70</f>
        <v>1.4798657718120805</v>
      </c>
      <c r="D72" s="300">
        <f t="shared" si="16"/>
        <v>1.1307339449541283</v>
      </c>
      <c r="E72" s="300">
        <f t="shared" si="16"/>
        <v>0.76834862385321101</v>
      </c>
      <c r="F72" s="300">
        <f t="shared" si="16"/>
        <v>0.87614678899082576</v>
      </c>
      <c r="G72" s="300">
        <f t="shared" si="16"/>
        <v>0.94747899159663862</v>
      </c>
      <c r="H72" s="300">
        <f t="shared" si="16"/>
        <v>0.83559782608695654</v>
      </c>
      <c r="I72" s="300">
        <f t="shared" si="16"/>
        <v>0.85461956521739135</v>
      </c>
      <c r="J72" s="300">
        <f t="shared" si="16"/>
        <v>0.46265243902439029</v>
      </c>
      <c r="K72" s="300">
        <f t="shared" si="16"/>
        <v>0.98777173913043492</v>
      </c>
      <c r="L72" s="300">
        <f t="shared" si="16"/>
        <v>1.5917431192660552</v>
      </c>
      <c r="M72" s="300">
        <f t="shared" si="16"/>
        <v>1.625</v>
      </c>
      <c r="N72" s="413">
        <f t="shared" si="16"/>
        <v>1.4386792452830188</v>
      </c>
      <c r="O72" s="315"/>
    </row>
    <row r="73" spans="1:18" ht="12.75" customHeight="1" x14ac:dyDescent="0.15">
      <c r="C73" s="293"/>
      <c r="D73" s="293"/>
      <c r="E73" s="293"/>
      <c r="F73" s="293"/>
      <c r="G73" s="293"/>
      <c r="H73" s="293"/>
      <c r="I73" s="293"/>
      <c r="J73" s="293"/>
      <c r="K73" s="293"/>
      <c r="L73" s="293"/>
      <c r="M73" s="293"/>
      <c r="N73" s="411"/>
      <c r="O73" s="315"/>
    </row>
    <row r="74" spans="1:18" ht="12.75" customHeight="1" x14ac:dyDescent="0.15">
      <c r="A74" s="239">
        <v>1997</v>
      </c>
      <c r="B74" s="292" t="s">
        <v>313</v>
      </c>
      <c r="C74" s="307">
        <v>0</v>
      </c>
      <c r="D74" s="308">
        <v>0</v>
      </c>
      <c r="E74" s="308">
        <v>0</v>
      </c>
      <c r="F74" s="308">
        <v>25</v>
      </c>
      <c r="G74" s="308">
        <v>30.6</v>
      </c>
      <c r="H74" s="308">
        <v>24</v>
      </c>
      <c r="I74" s="308">
        <v>10</v>
      </c>
      <c r="J74" s="308">
        <v>10</v>
      </c>
      <c r="K74" s="308">
        <v>15</v>
      </c>
      <c r="L74" s="308">
        <v>23.5</v>
      </c>
      <c r="M74" s="308">
        <v>23.5</v>
      </c>
      <c r="N74" s="414">
        <v>35</v>
      </c>
      <c r="O74" s="409"/>
      <c r="P74" s="242"/>
      <c r="Q74" s="242"/>
      <c r="R74" s="242"/>
    </row>
    <row r="75" spans="1:18" ht="12.75" customHeight="1" x14ac:dyDescent="0.15">
      <c r="B75" s="239" t="s">
        <v>312</v>
      </c>
      <c r="C75" s="309">
        <v>0</v>
      </c>
      <c r="D75" s="246">
        <v>0</v>
      </c>
      <c r="E75" s="246">
        <v>0</v>
      </c>
      <c r="F75" s="246">
        <v>24.5</v>
      </c>
      <c r="G75" s="246">
        <v>19.600000000000001</v>
      </c>
      <c r="H75" s="246">
        <v>20.5</v>
      </c>
      <c r="I75" s="246">
        <v>34.1</v>
      </c>
      <c r="J75" s="246">
        <v>33.9</v>
      </c>
      <c r="K75" s="246">
        <v>47.6</v>
      </c>
      <c r="L75" s="246">
        <v>49.7</v>
      </c>
      <c r="M75" s="246">
        <v>40.9</v>
      </c>
      <c r="N75" s="415">
        <v>37</v>
      </c>
      <c r="O75" s="409"/>
      <c r="P75" s="242"/>
      <c r="Q75" s="242"/>
      <c r="R75" s="242"/>
    </row>
    <row r="76" spans="1:18" ht="12.75" customHeight="1" x14ac:dyDescent="0.15">
      <c r="B76" s="239" t="s">
        <v>314</v>
      </c>
      <c r="C76" s="299" t="e">
        <f t="shared" ref="C76:N76" si="17">C75/C74</f>
        <v>#DIV/0!</v>
      </c>
      <c r="D76" s="300" t="e">
        <f t="shared" si="17"/>
        <v>#DIV/0!</v>
      </c>
      <c r="E76" s="300" t="e">
        <f t="shared" si="17"/>
        <v>#DIV/0!</v>
      </c>
      <c r="F76" s="300">
        <f t="shared" si="17"/>
        <v>0.98</v>
      </c>
      <c r="G76" s="300">
        <f t="shared" si="17"/>
        <v>0.64052287581699352</v>
      </c>
      <c r="H76" s="300">
        <f t="shared" si="17"/>
        <v>0.85416666666666663</v>
      </c>
      <c r="I76" s="300">
        <f t="shared" si="17"/>
        <v>3.41</v>
      </c>
      <c r="J76" s="300">
        <f t="shared" si="17"/>
        <v>3.3899999999999997</v>
      </c>
      <c r="K76" s="300">
        <f t="shared" si="17"/>
        <v>3.1733333333333333</v>
      </c>
      <c r="L76" s="300">
        <f t="shared" si="17"/>
        <v>2.1148936170212767</v>
      </c>
      <c r="M76" s="300">
        <f t="shared" si="17"/>
        <v>1.7404255319148936</v>
      </c>
      <c r="N76" s="413">
        <f t="shared" si="17"/>
        <v>1.0571428571428572</v>
      </c>
      <c r="O76" s="315"/>
    </row>
    <row r="77" spans="1:18" ht="12.75" customHeight="1" x14ac:dyDescent="0.15"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315"/>
    </row>
    <row r="78" spans="1:18" ht="12.75" hidden="1" customHeight="1" x14ac:dyDescent="0.15">
      <c r="B78" s="291" t="s">
        <v>352</v>
      </c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315"/>
    </row>
    <row r="79" spans="1:18" ht="12.75" hidden="1" customHeight="1" x14ac:dyDescent="0.15">
      <c r="B79" s="291" t="s">
        <v>358</v>
      </c>
      <c r="C79" s="406">
        <f>(C81+C85+C89)/3</f>
        <v>886.86666666666679</v>
      </c>
      <c r="D79" s="406">
        <f>(D81+D85+D89)/3</f>
        <v>873.1</v>
      </c>
      <c r="E79" s="406">
        <f>(E81+E85+E89)/3</f>
        <v>840.13333333333321</v>
      </c>
      <c r="F79" s="406">
        <f>(F81+F85+F89)/3</f>
        <v>756.76333333333332</v>
      </c>
      <c r="G79" s="406">
        <f>(G93+G85+G89)/3</f>
        <v>476.33333333333331</v>
      </c>
      <c r="H79" s="406">
        <f t="shared" ref="H79:N79" si="18">(H93+H85+H89)/3</f>
        <v>413.56666666666666</v>
      </c>
      <c r="I79" s="406">
        <f t="shared" si="18"/>
        <v>460.8</v>
      </c>
      <c r="J79" s="406">
        <f t="shared" si="18"/>
        <v>458.40000000000003</v>
      </c>
      <c r="K79" s="406">
        <f t="shared" si="18"/>
        <v>482.23333333333335</v>
      </c>
      <c r="L79" s="406">
        <f t="shared" si="18"/>
        <v>487.0333333333333</v>
      </c>
      <c r="M79" s="406">
        <f t="shared" si="18"/>
        <v>586.76666666666665</v>
      </c>
      <c r="N79" s="406">
        <f t="shared" si="18"/>
        <v>602.86666666666667</v>
      </c>
    </row>
    <row r="80" spans="1:18" ht="12.75" hidden="1" customHeight="1" x14ac:dyDescent="0.15">
      <c r="A80" s="254">
        <v>2000</v>
      </c>
      <c r="B80" s="292" t="s">
        <v>313</v>
      </c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15"/>
    </row>
    <row r="81" spans="1:15" ht="12.75" hidden="1" customHeight="1" x14ac:dyDescent="0.15">
      <c r="B81" s="239" t="s">
        <v>312</v>
      </c>
      <c r="C81" s="290">
        <f>C63+C48+C30+C11</f>
        <v>854.90000000000009</v>
      </c>
      <c r="D81" s="290">
        <f>D63+D48+D30+D11</f>
        <v>842.2</v>
      </c>
      <c r="E81" s="290">
        <f>E63+E48+E30+E11</f>
        <v>890</v>
      </c>
      <c r="F81" s="290">
        <f>F63+F48+F30+F11</f>
        <v>719.89</v>
      </c>
      <c r="G81" s="293"/>
      <c r="H81" s="293"/>
      <c r="I81" s="293"/>
      <c r="J81" s="293"/>
      <c r="K81" s="293"/>
      <c r="L81" s="293"/>
      <c r="M81" s="293"/>
      <c r="N81" s="293"/>
      <c r="O81" s="315"/>
    </row>
    <row r="82" spans="1:15" ht="12.75" hidden="1" customHeight="1" x14ac:dyDescent="0.15">
      <c r="B82" s="239" t="s">
        <v>314</v>
      </c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315"/>
    </row>
    <row r="83" spans="1:15" ht="12.75" hidden="1" customHeight="1" x14ac:dyDescent="0.15">
      <c r="B83" s="291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315"/>
    </row>
    <row r="84" spans="1:15" ht="12.75" hidden="1" customHeight="1" x14ac:dyDescent="0.15">
      <c r="A84" s="254">
        <v>1999</v>
      </c>
      <c r="B84" s="292" t="s">
        <v>313</v>
      </c>
      <c r="C84" s="293"/>
      <c r="D84" s="293"/>
      <c r="E84" s="293"/>
      <c r="F84" s="293"/>
      <c r="G84" s="293"/>
      <c r="H84" s="293"/>
      <c r="I84" s="293"/>
      <c r="J84" s="293"/>
      <c r="K84" s="293"/>
      <c r="L84" s="293"/>
      <c r="M84" s="293"/>
      <c r="N84" s="293"/>
      <c r="O84" s="315"/>
    </row>
    <row r="85" spans="1:15" ht="12.75" hidden="1" customHeight="1" x14ac:dyDescent="0.15">
      <c r="B85" s="239" t="s">
        <v>312</v>
      </c>
      <c r="C85" s="290">
        <f t="shared" ref="C85:N85" si="19">C67+C52+C34+C15</f>
        <v>900.9</v>
      </c>
      <c r="D85" s="290">
        <f t="shared" si="19"/>
        <v>952.30000000000007</v>
      </c>
      <c r="E85" s="290">
        <f t="shared" si="19"/>
        <v>806.1</v>
      </c>
      <c r="F85" s="290">
        <f t="shared" si="19"/>
        <v>752.5</v>
      </c>
      <c r="G85" s="290">
        <f t="shared" si="19"/>
        <v>753.2</v>
      </c>
      <c r="H85" s="290">
        <f t="shared" si="19"/>
        <v>732.5</v>
      </c>
      <c r="I85" s="290">
        <f t="shared" si="19"/>
        <v>799.7</v>
      </c>
      <c r="J85" s="290">
        <f t="shared" si="19"/>
        <v>684</v>
      </c>
      <c r="K85" s="290">
        <f t="shared" si="19"/>
        <v>783.40000000000009</v>
      </c>
      <c r="L85" s="290">
        <f t="shared" si="19"/>
        <v>818</v>
      </c>
      <c r="M85" s="290">
        <f t="shared" si="19"/>
        <v>933</v>
      </c>
      <c r="N85" s="290">
        <f t="shared" si="19"/>
        <v>921.2</v>
      </c>
      <c r="O85" s="315"/>
    </row>
    <row r="86" spans="1:15" ht="12.75" hidden="1" customHeight="1" x14ac:dyDescent="0.15">
      <c r="B86" s="239" t="s">
        <v>314</v>
      </c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15"/>
    </row>
    <row r="87" spans="1:15" ht="12.75" hidden="1" customHeight="1" x14ac:dyDescent="0.15"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15"/>
    </row>
    <row r="88" spans="1:15" ht="12.75" hidden="1" customHeight="1" x14ac:dyDescent="0.15">
      <c r="A88" s="239">
        <v>1998</v>
      </c>
      <c r="B88" s="292" t="s">
        <v>313</v>
      </c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315"/>
    </row>
    <row r="89" spans="1:15" ht="12.75" hidden="1" customHeight="1" x14ac:dyDescent="0.15">
      <c r="B89" s="239" t="s">
        <v>312</v>
      </c>
      <c r="C89" s="290">
        <f t="shared" ref="C89:N89" si="20">C71+C56+C38+C19</f>
        <v>904.80000000000007</v>
      </c>
      <c r="D89" s="290">
        <f t="shared" si="20"/>
        <v>824.8</v>
      </c>
      <c r="E89" s="290">
        <f t="shared" si="20"/>
        <v>824.3</v>
      </c>
      <c r="F89" s="290">
        <f t="shared" si="20"/>
        <v>797.9</v>
      </c>
      <c r="G89" s="290">
        <f t="shared" si="20"/>
        <v>675.8</v>
      </c>
      <c r="H89" s="290">
        <f t="shared" si="20"/>
        <v>508.2</v>
      </c>
      <c r="I89" s="290">
        <f t="shared" si="20"/>
        <v>582.70000000000005</v>
      </c>
      <c r="J89" s="290">
        <f t="shared" si="20"/>
        <v>691.2</v>
      </c>
      <c r="K89" s="290">
        <f t="shared" si="20"/>
        <v>663.3</v>
      </c>
      <c r="L89" s="290">
        <f t="shared" si="20"/>
        <v>643.1</v>
      </c>
      <c r="M89" s="290">
        <f t="shared" si="20"/>
        <v>827.3</v>
      </c>
      <c r="N89" s="290">
        <f t="shared" si="20"/>
        <v>887.4</v>
      </c>
      <c r="O89" s="315"/>
    </row>
    <row r="90" spans="1:15" ht="12.75" hidden="1" customHeight="1" x14ac:dyDescent="0.15">
      <c r="B90" s="239" t="s">
        <v>314</v>
      </c>
      <c r="C90" s="293"/>
      <c r="D90" s="293"/>
      <c r="E90" s="293"/>
      <c r="F90" s="293"/>
      <c r="G90" s="293"/>
      <c r="H90" s="293"/>
      <c r="I90" s="293"/>
      <c r="J90" s="293"/>
      <c r="K90" s="293"/>
      <c r="L90" s="293"/>
      <c r="M90" s="293"/>
      <c r="N90" s="293"/>
      <c r="O90" s="315"/>
    </row>
    <row r="91" spans="1:15" ht="12.75" hidden="1" customHeight="1" x14ac:dyDescent="0.15">
      <c r="C91" s="293"/>
      <c r="D91" s="293"/>
      <c r="E91" s="293"/>
      <c r="F91" s="293"/>
      <c r="G91" s="293"/>
      <c r="H91" s="293"/>
      <c r="I91" s="293"/>
      <c r="J91" s="293"/>
      <c r="K91" s="293"/>
      <c r="L91" s="293"/>
      <c r="M91" s="293"/>
      <c r="N91" s="293"/>
      <c r="O91" s="315"/>
    </row>
    <row r="92" spans="1:15" ht="12.75" customHeight="1" x14ac:dyDescent="0.15">
      <c r="O92" s="298"/>
    </row>
    <row r="93" spans="1:15" s="417" customFormat="1" ht="12.75" customHeight="1" x14ac:dyDescent="0.15">
      <c r="B93" s="418" t="s">
        <v>311</v>
      </c>
      <c r="C93" s="419"/>
      <c r="D93" s="419"/>
      <c r="E93" s="419"/>
      <c r="F93" s="419"/>
      <c r="G93" s="419"/>
      <c r="H93" s="419"/>
      <c r="I93" s="419"/>
      <c r="J93" s="419"/>
      <c r="K93" s="419"/>
      <c r="L93" s="419"/>
      <c r="M93" s="419"/>
      <c r="N93" s="421"/>
      <c r="O93" s="420"/>
    </row>
    <row r="94" spans="1:15" s="254" customFormat="1" ht="12.75" customHeight="1" x14ac:dyDescent="0.15">
      <c r="A94" s="254">
        <v>1999</v>
      </c>
      <c r="B94" s="292" t="s">
        <v>313</v>
      </c>
      <c r="C94" s="295">
        <v>100</v>
      </c>
      <c r="D94" s="296">
        <v>100</v>
      </c>
      <c r="E94" s="296">
        <v>155.19999999999999</v>
      </c>
      <c r="F94" s="296">
        <v>145</v>
      </c>
      <c r="G94" s="296">
        <v>145</v>
      </c>
      <c r="H94" s="296">
        <v>145</v>
      </c>
      <c r="I94" s="296">
        <v>149</v>
      </c>
      <c r="J94" s="296">
        <v>186.1</v>
      </c>
      <c r="K94" s="296">
        <v>175</v>
      </c>
      <c r="L94" s="296">
        <v>100</v>
      </c>
      <c r="M94" s="296">
        <v>100</v>
      </c>
      <c r="N94" s="410">
        <v>45</v>
      </c>
      <c r="O94" s="409"/>
    </row>
    <row r="95" spans="1:15" ht="12.75" customHeight="1" x14ac:dyDescent="0.15">
      <c r="B95" s="239" t="s">
        <v>312</v>
      </c>
      <c r="C95" s="297">
        <v>57</v>
      </c>
      <c r="D95" s="298">
        <v>51.1</v>
      </c>
      <c r="E95" s="298">
        <v>31.8</v>
      </c>
      <c r="F95" s="298">
        <v>38.4</v>
      </c>
      <c r="G95" s="298">
        <v>21.1</v>
      </c>
      <c r="H95" s="298">
        <v>51</v>
      </c>
      <c r="I95" s="298">
        <v>75.8</v>
      </c>
      <c r="J95" s="298">
        <v>150.6</v>
      </c>
      <c r="K95" s="298">
        <v>93.7</v>
      </c>
      <c r="L95" s="298">
        <v>95</v>
      </c>
      <c r="M95" s="298">
        <v>95</v>
      </c>
      <c r="N95" s="400">
        <v>0.5</v>
      </c>
      <c r="O95" s="409"/>
    </row>
    <row r="96" spans="1:15" ht="12.75" customHeight="1" x14ac:dyDescent="0.15">
      <c r="B96" s="239" t="s">
        <v>314</v>
      </c>
      <c r="C96" s="299">
        <f t="shared" ref="C96:N96" si="21">C95/C94</f>
        <v>0.56999999999999995</v>
      </c>
      <c r="D96" s="300">
        <f t="shared" si="21"/>
        <v>0.51100000000000001</v>
      </c>
      <c r="E96" s="300">
        <f t="shared" si="21"/>
        <v>0.20489690721649487</v>
      </c>
      <c r="F96" s="300">
        <f t="shared" si="21"/>
        <v>0.26482758620689656</v>
      </c>
      <c r="G96" s="300">
        <f t="shared" si="21"/>
        <v>0.14551724137931035</v>
      </c>
      <c r="H96" s="300">
        <f t="shared" si="21"/>
        <v>0.35172413793103446</v>
      </c>
      <c r="I96" s="300">
        <f t="shared" si="21"/>
        <v>0.50872483221476505</v>
      </c>
      <c r="J96" s="300">
        <f t="shared" si="21"/>
        <v>0.80924234282643737</v>
      </c>
      <c r="K96" s="300">
        <f t="shared" si="21"/>
        <v>0.53542857142857148</v>
      </c>
      <c r="L96" s="300">
        <f t="shared" si="21"/>
        <v>0.95</v>
      </c>
      <c r="M96" s="300">
        <f t="shared" si="21"/>
        <v>0.95</v>
      </c>
      <c r="N96" s="413">
        <f t="shared" si="21"/>
        <v>1.1111111111111112E-2</v>
      </c>
      <c r="O96" s="315"/>
    </row>
    <row r="97" spans="1:15" ht="12.75" customHeight="1" x14ac:dyDescent="0.15">
      <c r="N97" s="400"/>
      <c r="O97" s="298"/>
    </row>
    <row r="98" spans="1:15" ht="12.75" customHeight="1" x14ac:dyDescent="0.15">
      <c r="A98" s="239">
        <v>1998</v>
      </c>
      <c r="B98" s="292" t="s">
        <v>313</v>
      </c>
      <c r="C98" s="301">
        <v>145</v>
      </c>
      <c r="D98" s="302">
        <v>145</v>
      </c>
      <c r="E98" s="302">
        <v>145</v>
      </c>
      <c r="F98" s="302">
        <v>110</v>
      </c>
      <c r="G98" s="302">
        <v>110</v>
      </c>
      <c r="H98" s="302">
        <v>116.7</v>
      </c>
      <c r="I98" s="302">
        <v>213.7</v>
      </c>
      <c r="J98" s="302">
        <v>112.6</v>
      </c>
      <c r="K98" s="302">
        <v>110</v>
      </c>
      <c r="L98" s="302">
        <v>110</v>
      </c>
      <c r="M98" s="302">
        <v>100</v>
      </c>
      <c r="N98" s="399">
        <v>100</v>
      </c>
      <c r="O98" s="408"/>
    </row>
    <row r="99" spans="1:15" ht="12.75" customHeight="1" x14ac:dyDescent="0.15">
      <c r="B99" s="239" t="s">
        <v>312</v>
      </c>
      <c r="C99" s="297">
        <f>1.5+45</f>
        <v>46.5</v>
      </c>
      <c r="D99" s="298">
        <f>33.2+45</f>
        <v>78.2</v>
      </c>
      <c r="E99" s="298">
        <f>39+45</f>
        <v>84</v>
      </c>
      <c r="F99" s="298">
        <f>16.1+45</f>
        <v>61.1</v>
      </c>
      <c r="G99" s="298">
        <f>25.6+45</f>
        <v>70.599999999999994</v>
      </c>
      <c r="H99" s="298">
        <f>127.8+45</f>
        <v>172.8</v>
      </c>
      <c r="I99" s="298">
        <f>116.8+45</f>
        <v>161.80000000000001</v>
      </c>
      <c r="J99" s="298">
        <f>2.6+45</f>
        <v>47.6</v>
      </c>
      <c r="K99" s="298">
        <f>65.6+45</f>
        <v>110.6</v>
      </c>
      <c r="L99" s="298">
        <f>14.8+45</f>
        <v>59.8</v>
      </c>
      <c r="M99" s="298">
        <v>45</v>
      </c>
      <c r="N99" s="400">
        <f>1.2+45</f>
        <v>46.2</v>
      </c>
      <c r="O99" s="409"/>
    </row>
    <row r="100" spans="1:15" ht="12.75" customHeight="1" x14ac:dyDescent="0.15">
      <c r="B100" s="239" t="s">
        <v>314</v>
      </c>
      <c r="C100" s="299">
        <f t="shared" ref="C100:N100" si="22">C99/C98</f>
        <v>0.32068965517241377</v>
      </c>
      <c r="D100" s="300">
        <f t="shared" si="22"/>
        <v>0.53931034482758622</v>
      </c>
      <c r="E100" s="300">
        <f t="shared" si="22"/>
        <v>0.57931034482758625</v>
      </c>
      <c r="F100" s="300">
        <f t="shared" si="22"/>
        <v>0.55545454545454542</v>
      </c>
      <c r="G100" s="300">
        <f t="shared" si="22"/>
        <v>0.64181818181818173</v>
      </c>
      <c r="H100" s="300">
        <f t="shared" si="22"/>
        <v>1.480719794344473</v>
      </c>
      <c r="I100" s="300">
        <f t="shared" si="22"/>
        <v>0.7571361722040244</v>
      </c>
      <c r="J100" s="300">
        <f t="shared" si="22"/>
        <v>0.42273534635879223</v>
      </c>
      <c r="K100" s="300">
        <f t="shared" si="22"/>
        <v>1.0054545454545454</v>
      </c>
      <c r="L100" s="300">
        <f t="shared" si="22"/>
        <v>0.54363636363636358</v>
      </c>
      <c r="M100" s="300">
        <f t="shared" si="22"/>
        <v>0.45</v>
      </c>
      <c r="N100" s="413">
        <f t="shared" si="22"/>
        <v>0.46200000000000002</v>
      </c>
      <c r="O100" s="315"/>
    </row>
    <row r="101" spans="1:15" ht="12.75" customHeight="1" x14ac:dyDescent="0.15">
      <c r="C101" s="293"/>
      <c r="D101" s="293"/>
      <c r="E101" s="293"/>
      <c r="F101" s="293"/>
      <c r="G101" s="293"/>
      <c r="H101" s="293"/>
      <c r="I101" s="293"/>
      <c r="J101" s="293"/>
      <c r="K101" s="293"/>
      <c r="L101" s="293"/>
      <c r="M101" s="293"/>
      <c r="N101" s="293"/>
      <c r="O101" s="315"/>
    </row>
    <row r="102" spans="1:15" ht="12.75" customHeight="1" x14ac:dyDescent="0.15">
      <c r="O102" s="298"/>
    </row>
    <row r="103" spans="1:15" s="417" customFormat="1" ht="12.75" customHeight="1" x14ac:dyDescent="0.15">
      <c r="B103" s="418" t="s">
        <v>25</v>
      </c>
      <c r="C103" s="419"/>
      <c r="D103" s="419"/>
      <c r="E103" s="419"/>
      <c r="F103" s="419"/>
      <c r="G103" s="419"/>
      <c r="H103" s="419"/>
      <c r="I103" s="419"/>
      <c r="J103" s="419"/>
      <c r="K103" s="419"/>
      <c r="L103" s="419"/>
      <c r="M103" s="419"/>
      <c r="N103" s="419"/>
      <c r="O103" s="420"/>
    </row>
    <row r="104" spans="1:15" ht="12.75" customHeight="1" x14ac:dyDescent="0.15">
      <c r="B104" s="291" t="s">
        <v>358</v>
      </c>
      <c r="C104" s="407">
        <f>(C107+C111+C115)/3</f>
        <v>0.59129962334791353</v>
      </c>
      <c r="D104" s="407">
        <f>(D107+D111+D115)/3</f>
        <v>0.61450379466043759</v>
      </c>
      <c r="E104" s="407">
        <f>(E107+E111+E115)/3</f>
        <v>0.78052373677961961</v>
      </c>
      <c r="F104" s="407">
        <f>(F107+F111+F115)/3</f>
        <v>0.77118668976423799</v>
      </c>
      <c r="G104" s="407">
        <f>(G119+G111+G115)/3</f>
        <v>0.86931893746941125</v>
      </c>
      <c r="H104" s="407">
        <f t="shared" ref="H104:N104" si="23">(H119+H111+H115)/3</f>
        <v>0.94937431571255926</v>
      </c>
      <c r="I104" s="407">
        <f t="shared" si="23"/>
        <v>0.81825886933858616</v>
      </c>
      <c r="J104" s="407">
        <f t="shared" si="23"/>
        <v>0.87243494577091696</v>
      </c>
      <c r="K104" s="407">
        <f t="shared" si="23"/>
        <v>0.75269070075399114</v>
      </c>
      <c r="L104" s="407">
        <f t="shared" si="23"/>
        <v>0.4933372145179164</v>
      </c>
      <c r="M104" s="407">
        <f t="shared" si="23"/>
        <v>0.50001464972223131</v>
      </c>
      <c r="N104" s="407">
        <f t="shared" si="23"/>
        <v>0.90517894656382047</v>
      </c>
    </row>
    <row r="105" spans="1:15" s="254" customFormat="1" ht="12.75" customHeight="1" x14ac:dyDescent="0.15">
      <c r="A105" s="254">
        <v>2000</v>
      </c>
      <c r="B105" s="292" t="s">
        <v>313</v>
      </c>
      <c r="C105" s="295">
        <v>243</v>
      </c>
      <c r="D105" s="296">
        <v>236.2</v>
      </c>
      <c r="E105" s="296">
        <v>227.9</v>
      </c>
      <c r="F105" s="296">
        <v>569.46699999999998</v>
      </c>
      <c r="G105" s="296"/>
      <c r="H105" s="296"/>
      <c r="I105" s="296"/>
      <c r="J105" s="296"/>
      <c r="K105" s="296"/>
      <c r="L105" s="296"/>
      <c r="M105" s="296"/>
      <c r="N105" s="410"/>
      <c r="O105" s="409"/>
    </row>
    <row r="106" spans="1:15" s="254" customFormat="1" ht="12.75" customHeight="1" x14ac:dyDescent="0.15">
      <c r="B106" s="239" t="s">
        <v>312</v>
      </c>
      <c r="C106" s="310">
        <v>199.2</v>
      </c>
      <c r="D106" s="311">
        <v>206.6</v>
      </c>
      <c r="E106" s="311">
        <v>219.9</v>
      </c>
      <c r="F106" s="311">
        <v>318.96800000000002</v>
      </c>
      <c r="G106" s="311"/>
      <c r="H106" s="311"/>
      <c r="I106" s="311"/>
      <c r="J106" s="311"/>
      <c r="K106" s="311"/>
      <c r="L106" s="311"/>
      <c r="M106" s="311"/>
      <c r="N106" s="416"/>
      <c r="O106" s="409"/>
    </row>
    <row r="107" spans="1:15" ht="12.75" customHeight="1" x14ac:dyDescent="0.15">
      <c r="B107" s="239" t="s">
        <v>314</v>
      </c>
      <c r="C107" s="299">
        <f t="shared" ref="C107:N107" si="24">C106/C105</f>
        <v>0.81975308641975309</v>
      </c>
      <c r="D107" s="300">
        <f t="shared" si="24"/>
        <v>0.87468247248094833</v>
      </c>
      <c r="E107" s="300">
        <f t="shared" si="24"/>
        <v>0.96489688459850809</v>
      </c>
      <c r="F107" s="300">
        <f t="shared" si="24"/>
        <v>0.56011674074178142</v>
      </c>
      <c r="G107" s="300" t="e">
        <f t="shared" si="24"/>
        <v>#DIV/0!</v>
      </c>
      <c r="H107" s="300" t="e">
        <f t="shared" si="24"/>
        <v>#DIV/0!</v>
      </c>
      <c r="I107" s="300" t="e">
        <f t="shared" si="24"/>
        <v>#DIV/0!</v>
      </c>
      <c r="J107" s="300" t="e">
        <f t="shared" si="24"/>
        <v>#DIV/0!</v>
      </c>
      <c r="K107" s="300" t="e">
        <f t="shared" si="24"/>
        <v>#DIV/0!</v>
      </c>
      <c r="L107" s="300" t="e">
        <f t="shared" si="24"/>
        <v>#DIV/0!</v>
      </c>
      <c r="M107" s="300" t="e">
        <f t="shared" si="24"/>
        <v>#DIV/0!</v>
      </c>
      <c r="N107" s="413" t="e">
        <f t="shared" si="24"/>
        <v>#DIV/0!</v>
      </c>
      <c r="O107" s="315"/>
    </row>
    <row r="108" spans="1:15" ht="12.75" customHeight="1" x14ac:dyDescent="0.15">
      <c r="B108" s="291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298"/>
    </row>
    <row r="109" spans="1:15" s="254" customFormat="1" ht="12.75" customHeight="1" x14ac:dyDescent="0.15">
      <c r="A109" s="254">
        <v>1999</v>
      </c>
      <c r="B109" s="292" t="s">
        <v>313</v>
      </c>
      <c r="C109" s="295">
        <v>277.58100000000002</v>
      </c>
      <c r="D109" s="296">
        <v>276.5</v>
      </c>
      <c r="E109" s="296">
        <v>261.142</v>
      </c>
      <c r="F109" s="296">
        <v>225.5</v>
      </c>
      <c r="G109" s="296">
        <v>207.58699999999999</v>
      </c>
      <c r="H109" s="296">
        <v>213.648</v>
      </c>
      <c r="I109" s="296">
        <v>223.9</v>
      </c>
      <c r="J109" s="296">
        <v>254.9</v>
      </c>
      <c r="K109" s="296">
        <v>220.6</v>
      </c>
      <c r="L109" s="296">
        <v>260</v>
      </c>
      <c r="M109" s="296">
        <v>260</v>
      </c>
      <c r="N109" s="410">
        <v>242.45599999999999</v>
      </c>
      <c r="O109" s="409"/>
    </row>
    <row r="110" spans="1:15" s="254" customFormat="1" ht="12.75" customHeight="1" x14ac:dyDescent="0.15">
      <c r="B110" s="239" t="s">
        <v>312</v>
      </c>
      <c r="C110" s="310">
        <v>137.32499999999999</v>
      </c>
      <c r="D110" s="311">
        <v>110.4</v>
      </c>
      <c r="E110" s="311">
        <v>188.571</v>
      </c>
      <c r="F110" s="311">
        <v>292.60000000000002</v>
      </c>
      <c r="G110" s="311">
        <v>253.30699999999999</v>
      </c>
      <c r="H110" s="311">
        <v>240.215</v>
      </c>
      <c r="I110" s="311">
        <v>234.2</v>
      </c>
      <c r="J110" s="311">
        <v>361.8</v>
      </c>
      <c r="K110" s="311">
        <v>213.1</v>
      </c>
      <c r="L110" s="311">
        <v>53</v>
      </c>
      <c r="M110" s="311">
        <v>58</v>
      </c>
      <c r="N110" s="416">
        <v>140.27500000000001</v>
      </c>
      <c r="O110" s="409"/>
    </row>
    <row r="111" spans="1:15" ht="12.75" customHeight="1" x14ac:dyDescent="0.15">
      <c r="B111" s="239" t="s">
        <v>314</v>
      </c>
      <c r="C111" s="299">
        <f t="shared" ref="C111:N111" si="25">C110/C109</f>
        <v>0.49472045997384539</v>
      </c>
      <c r="D111" s="300">
        <f t="shared" si="25"/>
        <v>0.39927667269439421</v>
      </c>
      <c r="E111" s="300">
        <f t="shared" si="25"/>
        <v>0.72210138545312508</v>
      </c>
      <c r="F111" s="300">
        <f t="shared" si="25"/>
        <v>1.2975609756097561</v>
      </c>
      <c r="G111" s="300">
        <f t="shared" si="25"/>
        <v>1.22024500570845</v>
      </c>
      <c r="H111" s="300">
        <f t="shared" si="25"/>
        <v>1.1243493971392198</v>
      </c>
      <c r="I111" s="300">
        <f t="shared" si="25"/>
        <v>1.0460026797677533</v>
      </c>
      <c r="J111" s="300">
        <f t="shared" si="25"/>
        <v>1.4193801490780698</v>
      </c>
      <c r="K111" s="300">
        <f t="shared" si="25"/>
        <v>0.96600181323662737</v>
      </c>
      <c r="L111" s="300">
        <f t="shared" si="25"/>
        <v>0.20384615384615384</v>
      </c>
      <c r="M111" s="300">
        <f t="shared" si="25"/>
        <v>0.22307692307692309</v>
      </c>
      <c r="N111" s="413">
        <f t="shared" si="25"/>
        <v>0.57855858382551895</v>
      </c>
      <c r="O111" s="315"/>
    </row>
    <row r="112" spans="1:15" ht="12.75" customHeight="1" x14ac:dyDescent="0.15">
      <c r="O112" s="298"/>
    </row>
    <row r="113" spans="1:20" ht="12.75" customHeight="1" x14ac:dyDescent="0.15">
      <c r="A113" s="239">
        <v>1998</v>
      </c>
      <c r="B113" s="292" t="s">
        <v>313</v>
      </c>
      <c r="C113" s="301">
        <v>316.7</v>
      </c>
      <c r="D113" s="302">
        <v>335</v>
      </c>
      <c r="E113" s="302">
        <v>264.60000000000002</v>
      </c>
      <c r="F113" s="302">
        <v>306</v>
      </c>
      <c r="G113" s="302">
        <v>213.4</v>
      </c>
      <c r="H113" s="302">
        <v>282.5</v>
      </c>
      <c r="I113" s="302">
        <v>337</v>
      </c>
      <c r="J113" s="302">
        <v>286.7</v>
      </c>
      <c r="K113" s="302">
        <v>287.8</v>
      </c>
      <c r="L113" s="302">
        <v>306.89999999999998</v>
      </c>
      <c r="M113" s="302">
        <v>285.3</v>
      </c>
      <c r="N113" s="399">
        <v>86.2</v>
      </c>
      <c r="O113" s="409"/>
    </row>
    <row r="114" spans="1:20" ht="12.75" customHeight="1" x14ac:dyDescent="0.15">
      <c r="B114" s="239" t="s">
        <v>312</v>
      </c>
      <c r="C114" s="297">
        <v>145.5</v>
      </c>
      <c r="D114" s="298">
        <v>190.8</v>
      </c>
      <c r="E114" s="298">
        <v>173.2</v>
      </c>
      <c r="F114" s="298">
        <v>139.5</v>
      </c>
      <c r="G114" s="298">
        <v>163.80000000000001</v>
      </c>
      <c r="H114" s="298">
        <v>296.5</v>
      </c>
      <c r="I114" s="298">
        <v>266.8</v>
      </c>
      <c r="J114" s="298">
        <v>154.6</v>
      </c>
      <c r="K114" s="298">
        <v>198</v>
      </c>
      <c r="L114" s="298">
        <v>170.9</v>
      </c>
      <c r="M114" s="298">
        <v>130.6</v>
      </c>
      <c r="N114" s="400">
        <v>124.3</v>
      </c>
      <c r="O114" s="409"/>
    </row>
    <row r="115" spans="1:20" ht="12.75" customHeight="1" x14ac:dyDescent="0.15">
      <c r="B115" s="239" t="s">
        <v>314</v>
      </c>
      <c r="C115" s="299">
        <f t="shared" ref="C115:N115" si="26">C114/C113</f>
        <v>0.4594253236501421</v>
      </c>
      <c r="D115" s="300">
        <f t="shared" si="26"/>
        <v>0.56955223880597017</v>
      </c>
      <c r="E115" s="300">
        <f t="shared" si="26"/>
        <v>0.6545729402872259</v>
      </c>
      <c r="F115" s="300">
        <f t="shared" si="26"/>
        <v>0.45588235294117646</v>
      </c>
      <c r="G115" s="300">
        <f t="shared" si="26"/>
        <v>0.76757263355201499</v>
      </c>
      <c r="H115" s="300">
        <f t="shared" si="26"/>
        <v>1.0495575221238937</v>
      </c>
      <c r="I115" s="300">
        <f t="shared" si="26"/>
        <v>0.79169139465875371</v>
      </c>
      <c r="J115" s="300">
        <f t="shared" si="26"/>
        <v>0.53923962329961628</v>
      </c>
      <c r="K115" s="300">
        <f t="shared" si="26"/>
        <v>0.68797776233495478</v>
      </c>
      <c r="L115" s="300">
        <f t="shared" si="26"/>
        <v>0.55685891169762147</v>
      </c>
      <c r="M115" s="300">
        <f t="shared" si="26"/>
        <v>0.4577637574483</v>
      </c>
      <c r="N115" s="413">
        <f t="shared" si="26"/>
        <v>1.4419953596287702</v>
      </c>
      <c r="O115" s="315"/>
    </row>
    <row r="116" spans="1:20" ht="12.75" customHeight="1" x14ac:dyDescent="0.15"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15"/>
    </row>
    <row r="117" spans="1:20" ht="12.75" customHeight="1" x14ac:dyDescent="0.15">
      <c r="A117" s="239">
        <v>1997</v>
      </c>
      <c r="B117" s="292" t="s">
        <v>313</v>
      </c>
      <c r="C117" s="307">
        <v>353.8</v>
      </c>
      <c r="D117" s="308">
        <v>373.3</v>
      </c>
      <c r="E117" s="308">
        <v>346.7</v>
      </c>
      <c r="F117" s="308">
        <v>356.1</v>
      </c>
      <c r="G117" s="308">
        <v>244.3</v>
      </c>
      <c r="H117" s="308">
        <v>344.4</v>
      </c>
      <c r="I117" s="308">
        <v>312.60000000000002</v>
      </c>
      <c r="J117" s="308">
        <v>246.4</v>
      </c>
      <c r="K117" s="308">
        <v>337.2</v>
      </c>
      <c r="L117" s="308">
        <v>421.1</v>
      </c>
      <c r="M117" s="308">
        <v>391.6</v>
      </c>
      <c r="N117" s="414">
        <v>350.8</v>
      </c>
      <c r="O117" s="409"/>
      <c r="P117" s="242"/>
      <c r="Q117" s="242"/>
      <c r="R117" s="242"/>
      <c r="S117" s="242"/>
      <c r="T117" s="242"/>
    </row>
    <row r="118" spans="1:20" ht="12.75" customHeight="1" x14ac:dyDescent="0.15">
      <c r="B118" s="239" t="s">
        <v>312</v>
      </c>
      <c r="C118" s="309">
        <v>226.4</v>
      </c>
      <c r="D118" s="246">
        <v>296</v>
      </c>
      <c r="E118" s="246">
        <v>269.3</v>
      </c>
      <c r="F118" s="246">
        <v>211.2</v>
      </c>
      <c r="G118" s="246">
        <v>151.5</v>
      </c>
      <c r="H118" s="246">
        <v>232.2</v>
      </c>
      <c r="I118" s="246">
        <v>192.9</v>
      </c>
      <c r="J118" s="246">
        <v>162.30000000000001</v>
      </c>
      <c r="K118" s="246">
        <v>203.7</v>
      </c>
      <c r="L118" s="246">
        <v>302.89999999999998</v>
      </c>
      <c r="M118" s="246">
        <v>320.8</v>
      </c>
      <c r="N118" s="415">
        <v>243.8</v>
      </c>
      <c r="O118" s="409"/>
      <c r="P118" s="242"/>
      <c r="Q118" s="242"/>
      <c r="R118" s="242"/>
      <c r="S118" s="242"/>
      <c r="T118" s="242"/>
    </row>
    <row r="119" spans="1:20" ht="12.75" customHeight="1" x14ac:dyDescent="0.15">
      <c r="B119" s="239" t="s">
        <v>314</v>
      </c>
      <c r="C119" s="299">
        <f t="shared" ref="C119:N119" si="27">C118/C117</f>
        <v>0.63990955342001132</v>
      </c>
      <c r="D119" s="300">
        <f t="shared" si="27"/>
        <v>0.79292793999464239</v>
      </c>
      <c r="E119" s="300">
        <f t="shared" si="27"/>
        <v>0.77675223536198446</v>
      </c>
      <c r="F119" s="300">
        <f t="shared" si="27"/>
        <v>0.59309182813816341</v>
      </c>
      <c r="G119" s="300">
        <f t="shared" si="27"/>
        <v>0.62013917314776912</v>
      </c>
      <c r="H119" s="300">
        <f t="shared" si="27"/>
        <v>0.67421602787456447</v>
      </c>
      <c r="I119" s="300">
        <f t="shared" si="27"/>
        <v>0.61708253358925136</v>
      </c>
      <c r="J119" s="300">
        <f t="shared" si="27"/>
        <v>0.65868506493506496</v>
      </c>
      <c r="K119" s="300">
        <f t="shared" si="27"/>
        <v>0.60409252669039148</v>
      </c>
      <c r="L119" s="300">
        <f t="shared" si="27"/>
        <v>0.71930657800997377</v>
      </c>
      <c r="M119" s="300">
        <f t="shared" si="27"/>
        <v>0.81920326864147086</v>
      </c>
      <c r="N119" s="413">
        <f t="shared" si="27"/>
        <v>0.69498289623717224</v>
      </c>
      <c r="O119" s="315"/>
    </row>
    <row r="120" spans="1:20" ht="12.75" customHeight="1" x14ac:dyDescent="0.15">
      <c r="O120" s="298"/>
    </row>
    <row r="121" spans="1:20" s="417" customFormat="1" ht="12.75" customHeight="1" x14ac:dyDescent="0.15">
      <c r="B121" s="418" t="s">
        <v>27</v>
      </c>
      <c r="C121" s="419"/>
      <c r="D121" s="419"/>
      <c r="E121" s="419"/>
      <c r="F121" s="419"/>
      <c r="G121" s="419"/>
      <c r="H121" s="419"/>
      <c r="I121" s="419"/>
      <c r="J121" s="419"/>
      <c r="K121" s="419"/>
      <c r="L121" s="419"/>
      <c r="M121" s="419"/>
      <c r="N121" s="419"/>
      <c r="O121" s="420"/>
    </row>
    <row r="122" spans="1:20" ht="12.75" customHeight="1" x14ac:dyDescent="0.15">
      <c r="B122" s="291" t="s">
        <v>358</v>
      </c>
      <c r="C122" s="407">
        <f>(C125+C129+C133)/3</f>
        <v>0.43807388809182207</v>
      </c>
      <c r="D122" s="407">
        <f>(D125+D129+D133)/3</f>
        <v>0.72495309568480304</v>
      </c>
      <c r="E122" s="407">
        <f>(E125+E129+E133)/3</f>
        <v>0.61612692307692318</v>
      </c>
      <c r="F122" s="407">
        <f>(F125+F129+F133)/3</f>
        <v>0.63050064102564107</v>
      </c>
      <c r="G122" s="407">
        <f>(G129+G133)/2</f>
        <v>0.64983942307692311</v>
      </c>
      <c r="H122" s="407">
        <f t="shared" ref="H122:N122" si="28">(H129+H133)/2</f>
        <v>0.82069999999999999</v>
      </c>
      <c r="I122" s="407">
        <f t="shared" si="28"/>
        <v>0.88749999999999996</v>
      </c>
      <c r="J122" s="407">
        <f t="shared" si="28"/>
        <v>0.66499999999999992</v>
      </c>
      <c r="K122" s="407">
        <f t="shared" si="28"/>
        <v>0.80249999999999999</v>
      </c>
      <c r="L122" s="407">
        <f t="shared" si="28"/>
        <v>0.21249999999999999</v>
      </c>
      <c r="M122" s="407">
        <f t="shared" si="28"/>
        <v>0.50823045267489708</v>
      </c>
      <c r="N122" s="407">
        <f t="shared" si="28"/>
        <v>0.40003170731707316</v>
      </c>
      <c r="O122" s="298"/>
    </row>
    <row r="123" spans="1:20" s="254" customFormat="1" ht="12.75" customHeight="1" x14ac:dyDescent="0.15">
      <c r="A123" s="254">
        <v>2000</v>
      </c>
      <c r="B123" s="292" t="s">
        <v>313</v>
      </c>
      <c r="C123" s="295">
        <v>40</v>
      </c>
      <c r="D123" s="296">
        <v>40</v>
      </c>
      <c r="E123" s="296">
        <v>40</v>
      </c>
      <c r="F123" s="296">
        <v>40</v>
      </c>
      <c r="G123" s="296"/>
      <c r="H123" s="296"/>
      <c r="I123" s="296"/>
      <c r="J123" s="296"/>
      <c r="K123" s="296"/>
      <c r="L123" s="296"/>
      <c r="M123" s="296"/>
      <c r="N123" s="296"/>
      <c r="O123" s="408"/>
    </row>
    <row r="124" spans="1:20" s="254" customFormat="1" ht="12.75" customHeight="1" x14ac:dyDescent="0.15">
      <c r="B124" s="239" t="s">
        <v>312</v>
      </c>
      <c r="C124" s="310">
        <v>17.899999999999999</v>
      </c>
      <c r="D124" s="311">
        <v>27.2</v>
      </c>
      <c r="E124" s="311">
        <v>24.3</v>
      </c>
      <c r="F124" s="311">
        <v>21.137</v>
      </c>
      <c r="G124" s="311"/>
      <c r="H124" s="311"/>
      <c r="I124" s="311"/>
      <c r="J124" s="311"/>
      <c r="K124" s="311"/>
      <c r="L124" s="311"/>
      <c r="M124" s="311"/>
      <c r="N124" s="311"/>
      <c r="O124" s="409"/>
    </row>
    <row r="125" spans="1:20" ht="12.75" customHeight="1" x14ac:dyDescent="0.15">
      <c r="B125" s="239" t="s">
        <v>314</v>
      </c>
      <c r="C125" s="299">
        <f t="shared" ref="C125:N125" si="29">C124/C123</f>
        <v>0.44749999999999995</v>
      </c>
      <c r="D125" s="300">
        <f t="shared" si="29"/>
        <v>0.67999999999999994</v>
      </c>
      <c r="E125" s="300">
        <f t="shared" si="29"/>
        <v>0.60750000000000004</v>
      </c>
      <c r="F125" s="300">
        <f t="shared" si="29"/>
        <v>0.52842500000000003</v>
      </c>
      <c r="G125" s="300" t="e">
        <f t="shared" si="29"/>
        <v>#DIV/0!</v>
      </c>
      <c r="H125" s="300" t="e">
        <f t="shared" si="29"/>
        <v>#DIV/0!</v>
      </c>
      <c r="I125" s="300" t="e">
        <f t="shared" si="29"/>
        <v>#DIV/0!</v>
      </c>
      <c r="J125" s="300" t="e">
        <f t="shared" si="29"/>
        <v>#DIV/0!</v>
      </c>
      <c r="K125" s="300" t="e">
        <f t="shared" si="29"/>
        <v>#DIV/0!</v>
      </c>
      <c r="L125" s="300" t="e">
        <f t="shared" si="29"/>
        <v>#DIV/0!</v>
      </c>
      <c r="M125" s="300" t="e">
        <f t="shared" si="29"/>
        <v>#DIV/0!</v>
      </c>
      <c r="N125" s="300" t="e">
        <f t="shared" si="29"/>
        <v>#DIV/0!</v>
      </c>
      <c r="O125" s="315"/>
    </row>
    <row r="126" spans="1:20" ht="12.75" customHeight="1" x14ac:dyDescent="0.15">
      <c r="O126" s="298"/>
    </row>
    <row r="127" spans="1:20" s="254" customFormat="1" ht="12.75" customHeight="1" x14ac:dyDescent="0.15">
      <c r="A127" s="254">
        <v>1999</v>
      </c>
      <c r="B127" s="292" t="s">
        <v>313</v>
      </c>
      <c r="C127" s="295">
        <v>82</v>
      </c>
      <c r="D127" s="296">
        <v>82</v>
      </c>
      <c r="E127" s="296">
        <v>40</v>
      </c>
      <c r="F127" s="296">
        <v>40</v>
      </c>
      <c r="G127" s="296">
        <v>40</v>
      </c>
      <c r="H127" s="296">
        <v>40</v>
      </c>
      <c r="I127" s="296">
        <v>40</v>
      </c>
      <c r="J127" s="296">
        <v>40</v>
      </c>
      <c r="K127" s="296">
        <v>40</v>
      </c>
      <c r="L127" s="296">
        <v>40</v>
      </c>
      <c r="M127" s="296">
        <v>40</v>
      </c>
      <c r="N127" s="410">
        <v>40</v>
      </c>
      <c r="O127" s="408"/>
    </row>
    <row r="128" spans="1:20" s="254" customFormat="1" ht="12.75" customHeight="1" x14ac:dyDescent="0.15">
      <c r="B128" s="239" t="s">
        <v>312</v>
      </c>
      <c r="C128" s="310">
        <v>42.13</v>
      </c>
      <c r="D128" s="311">
        <v>68.900000000000006</v>
      </c>
      <c r="E128" s="311">
        <v>24.065999999999999</v>
      </c>
      <c r="F128" s="311">
        <v>24</v>
      </c>
      <c r="G128" s="311">
        <v>22.140999999999998</v>
      </c>
      <c r="H128" s="311">
        <v>27.155999999999999</v>
      </c>
      <c r="I128" s="311">
        <v>31.7</v>
      </c>
      <c r="J128" s="311">
        <v>35.299999999999997</v>
      </c>
      <c r="K128" s="311">
        <v>38.299999999999997</v>
      </c>
      <c r="L128" s="311">
        <v>0</v>
      </c>
      <c r="M128" s="311">
        <v>0</v>
      </c>
      <c r="N128" s="416">
        <v>6.3440000000000003</v>
      </c>
      <c r="O128" s="409"/>
    </row>
    <row r="129" spans="1:15" ht="12.75" customHeight="1" x14ac:dyDescent="0.15">
      <c r="B129" s="239" t="s">
        <v>314</v>
      </c>
      <c r="C129" s="299">
        <f t="shared" ref="C129:N129" si="30">C128/C127</f>
        <v>0.51378048780487806</v>
      </c>
      <c r="D129" s="300">
        <f t="shared" si="30"/>
        <v>0.84024390243902447</v>
      </c>
      <c r="E129" s="300">
        <f t="shared" si="30"/>
        <v>0.60165000000000002</v>
      </c>
      <c r="F129" s="300">
        <f t="shared" si="30"/>
        <v>0.6</v>
      </c>
      <c r="G129" s="300">
        <f t="shared" si="30"/>
        <v>0.55352499999999993</v>
      </c>
      <c r="H129" s="300">
        <f t="shared" si="30"/>
        <v>0.67889999999999995</v>
      </c>
      <c r="I129" s="300">
        <f t="shared" si="30"/>
        <v>0.79249999999999998</v>
      </c>
      <c r="J129" s="300">
        <f t="shared" si="30"/>
        <v>0.88249999999999995</v>
      </c>
      <c r="K129" s="300">
        <f t="shared" si="30"/>
        <v>0.95749999999999991</v>
      </c>
      <c r="L129" s="300">
        <f t="shared" si="30"/>
        <v>0</v>
      </c>
      <c r="M129" s="300">
        <f t="shared" si="30"/>
        <v>0</v>
      </c>
      <c r="N129" s="413">
        <f t="shared" si="30"/>
        <v>0.15860000000000002</v>
      </c>
      <c r="O129" s="315"/>
    </row>
    <row r="130" spans="1:15" ht="12.75" customHeight="1" x14ac:dyDescent="0.15">
      <c r="O130" s="298"/>
    </row>
    <row r="131" spans="1:15" ht="12.75" customHeight="1" x14ac:dyDescent="0.15">
      <c r="A131" s="239">
        <v>1998</v>
      </c>
      <c r="B131" s="292" t="s">
        <v>313</v>
      </c>
      <c r="C131" s="301">
        <v>170</v>
      </c>
      <c r="D131" s="302">
        <v>130</v>
      </c>
      <c r="E131" s="302">
        <v>130</v>
      </c>
      <c r="F131" s="302">
        <v>130</v>
      </c>
      <c r="G131" s="302">
        <v>130</v>
      </c>
      <c r="H131" s="302">
        <v>40</v>
      </c>
      <c r="I131" s="302">
        <v>40</v>
      </c>
      <c r="J131" s="302">
        <v>40</v>
      </c>
      <c r="K131" s="302">
        <v>40</v>
      </c>
      <c r="L131" s="302">
        <v>40</v>
      </c>
      <c r="M131" s="302">
        <v>48.6</v>
      </c>
      <c r="N131" s="399">
        <v>82</v>
      </c>
      <c r="O131" s="409"/>
    </row>
    <row r="132" spans="1:15" ht="12.75" customHeight="1" x14ac:dyDescent="0.15">
      <c r="B132" s="239" t="s">
        <v>312</v>
      </c>
      <c r="C132" s="297">
        <v>60</v>
      </c>
      <c r="D132" s="298">
        <v>85.1</v>
      </c>
      <c r="E132" s="298">
        <v>83.1</v>
      </c>
      <c r="F132" s="298">
        <v>99.2</v>
      </c>
      <c r="G132" s="298">
        <v>97</v>
      </c>
      <c r="H132" s="298">
        <v>38.5</v>
      </c>
      <c r="I132" s="298">
        <v>39.299999999999997</v>
      </c>
      <c r="J132" s="298">
        <v>17.899999999999999</v>
      </c>
      <c r="K132" s="298">
        <v>25.9</v>
      </c>
      <c r="L132" s="298">
        <v>17</v>
      </c>
      <c r="M132" s="298">
        <v>49.4</v>
      </c>
      <c r="N132" s="400">
        <v>52.6</v>
      </c>
      <c r="O132" s="409"/>
    </row>
    <row r="133" spans="1:15" ht="12.75" customHeight="1" x14ac:dyDescent="0.15">
      <c r="B133" s="239" t="s">
        <v>314</v>
      </c>
      <c r="C133" s="299">
        <f t="shared" ref="C133:N133" si="31">C132/C131</f>
        <v>0.35294117647058826</v>
      </c>
      <c r="D133" s="300">
        <f t="shared" si="31"/>
        <v>0.6546153846153846</v>
      </c>
      <c r="E133" s="300">
        <f t="shared" si="31"/>
        <v>0.63923076923076916</v>
      </c>
      <c r="F133" s="300">
        <f t="shared" si="31"/>
        <v>0.7630769230769231</v>
      </c>
      <c r="G133" s="300">
        <f t="shared" si="31"/>
        <v>0.74615384615384617</v>
      </c>
      <c r="H133" s="300">
        <f t="shared" si="31"/>
        <v>0.96250000000000002</v>
      </c>
      <c r="I133" s="300">
        <f t="shared" si="31"/>
        <v>0.98249999999999993</v>
      </c>
      <c r="J133" s="300">
        <f t="shared" si="31"/>
        <v>0.44749999999999995</v>
      </c>
      <c r="K133" s="300">
        <f t="shared" si="31"/>
        <v>0.64749999999999996</v>
      </c>
      <c r="L133" s="300">
        <f t="shared" si="31"/>
        <v>0.42499999999999999</v>
      </c>
      <c r="M133" s="300">
        <f t="shared" si="31"/>
        <v>1.0164609053497942</v>
      </c>
      <c r="N133" s="413">
        <f t="shared" si="31"/>
        <v>0.64146341463414636</v>
      </c>
      <c r="O133" s="315"/>
    </row>
    <row r="134" spans="1:15" ht="12.75" customHeight="1" x14ac:dyDescent="0.15">
      <c r="O134" s="298"/>
    </row>
    <row r="135" spans="1:15" s="417" customFormat="1" ht="12.75" customHeight="1" x14ac:dyDescent="0.15">
      <c r="B135" s="418" t="s">
        <v>29</v>
      </c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20"/>
    </row>
    <row r="136" spans="1:15" ht="12.75" customHeight="1" x14ac:dyDescent="0.15">
      <c r="B136" s="291" t="s">
        <v>358</v>
      </c>
      <c r="C136" s="407">
        <f>(C139+C143+C147)/3</f>
        <v>0.55081726878260451</v>
      </c>
      <c r="D136" s="407">
        <f>(D139+D143+D147)/3</f>
        <v>0.70077519379844955</v>
      </c>
      <c r="E136" s="407">
        <f>(E139+E143+E147)/3</f>
        <v>0.73917191871932475</v>
      </c>
      <c r="F136" s="407">
        <f>(F139+F143+F147)/3</f>
        <v>0.65063350877192982</v>
      </c>
      <c r="G136" s="407">
        <f>(G155+G143+G147)/3</f>
        <v>0.44133422138022177</v>
      </c>
      <c r="H136" s="407">
        <f t="shared" ref="H136:N136" si="32">(H155+H143+H147)/3</f>
        <v>0.41064150943396233</v>
      </c>
      <c r="I136" s="407">
        <f t="shared" si="32"/>
        <v>0.42073173148181175</v>
      </c>
      <c r="J136" s="407">
        <f t="shared" si="32"/>
        <v>0.42054507337526204</v>
      </c>
      <c r="K136" s="407">
        <f t="shared" si="32"/>
        <v>0.40314465408805028</v>
      </c>
      <c r="L136" s="407">
        <f t="shared" si="32"/>
        <v>0.33987110800527986</v>
      </c>
      <c r="M136" s="407">
        <f t="shared" si="32"/>
        <v>0.38700452589341477</v>
      </c>
      <c r="N136" s="407">
        <f t="shared" si="32"/>
        <v>0.45130817610062895</v>
      </c>
      <c r="O136" s="298"/>
    </row>
    <row r="137" spans="1:15" s="254" customFormat="1" ht="12.75" customHeight="1" x14ac:dyDescent="0.15">
      <c r="A137" s="254">
        <v>2000</v>
      </c>
      <c r="B137" s="292" t="s">
        <v>313</v>
      </c>
      <c r="C137" s="295">
        <v>159</v>
      </c>
      <c r="D137" s="296">
        <v>159</v>
      </c>
      <c r="E137" s="296">
        <v>104</v>
      </c>
      <c r="F137" s="296">
        <v>100</v>
      </c>
      <c r="G137" s="296"/>
      <c r="H137" s="296"/>
      <c r="I137" s="296"/>
      <c r="J137" s="296"/>
      <c r="K137" s="296"/>
      <c r="L137" s="296"/>
      <c r="M137" s="296"/>
      <c r="N137" s="296"/>
      <c r="O137" s="409"/>
    </row>
    <row r="138" spans="1:15" s="254" customFormat="1" ht="12.75" customHeight="1" x14ac:dyDescent="0.15">
      <c r="B138" s="239" t="s">
        <v>312</v>
      </c>
      <c r="C138" s="310">
        <v>112.2</v>
      </c>
      <c r="D138" s="311">
        <v>155.80000000000001</v>
      </c>
      <c r="E138" s="311">
        <v>101</v>
      </c>
      <c r="F138" s="311">
        <v>86.519000000000005</v>
      </c>
      <c r="G138" s="311"/>
      <c r="H138" s="311"/>
      <c r="I138" s="311"/>
      <c r="J138" s="311"/>
      <c r="K138" s="311"/>
      <c r="L138" s="311"/>
      <c r="M138" s="311"/>
      <c r="N138" s="311"/>
      <c r="O138" s="409"/>
    </row>
    <row r="139" spans="1:15" ht="12.75" customHeight="1" x14ac:dyDescent="0.15">
      <c r="B139" s="239" t="s">
        <v>314</v>
      </c>
      <c r="C139" s="299">
        <f t="shared" ref="C139:N139" si="33">C138/C137</f>
        <v>0.70566037735849063</v>
      </c>
      <c r="D139" s="300">
        <f t="shared" si="33"/>
        <v>0.9798742138364781</v>
      </c>
      <c r="E139" s="300">
        <f t="shared" si="33"/>
        <v>0.97115384615384615</v>
      </c>
      <c r="F139" s="300">
        <f t="shared" si="33"/>
        <v>0.86519000000000001</v>
      </c>
      <c r="G139" s="300" t="e">
        <f t="shared" si="33"/>
        <v>#DIV/0!</v>
      </c>
      <c r="H139" s="300" t="e">
        <f t="shared" si="33"/>
        <v>#DIV/0!</v>
      </c>
      <c r="I139" s="300" t="e">
        <f t="shared" si="33"/>
        <v>#DIV/0!</v>
      </c>
      <c r="J139" s="300" t="e">
        <f t="shared" si="33"/>
        <v>#DIV/0!</v>
      </c>
      <c r="K139" s="300" t="e">
        <f t="shared" si="33"/>
        <v>#DIV/0!</v>
      </c>
      <c r="L139" s="300" t="e">
        <f t="shared" si="33"/>
        <v>#DIV/0!</v>
      </c>
      <c r="M139" s="300" t="e">
        <f t="shared" si="33"/>
        <v>#DIV/0!</v>
      </c>
      <c r="N139" s="300" t="e">
        <f t="shared" si="33"/>
        <v>#DIV/0!</v>
      </c>
      <c r="O139" s="315"/>
    </row>
    <row r="140" spans="1:15" ht="12.75" customHeight="1" x14ac:dyDescent="0.15">
      <c r="O140" s="298"/>
    </row>
    <row r="141" spans="1:15" s="254" customFormat="1" ht="12.75" customHeight="1" x14ac:dyDescent="0.15">
      <c r="A141" s="254">
        <v>1999</v>
      </c>
      <c r="B141" s="292" t="s">
        <v>313</v>
      </c>
      <c r="C141" s="295">
        <v>159</v>
      </c>
      <c r="D141" s="296">
        <v>159</v>
      </c>
      <c r="E141" s="296">
        <v>169</v>
      </c>
      <c r="F141" s="296">
        <v>175</v>
      </c>
      <c r="G141" s="296">
        <v>158.667</v>
      </c>
      <c r="H141" s="296">
        <v>159</v>
      </c>
      <c r="I141" s="296">
        <v>158.69999999999999</v>
      </c>
      <c r="J141" s="296">
        <v>159</v>
      </c>
      <c r="K141" s="296">
        <v>159</v>
      </c>
      <c r="L141" s="296">
        <v>162</v>
      </c>
      <c r="M141" s="296">
        <v>162</v>
      </c>
      <c r="N141" s="410">
        <v>159</v>
      </c>
      <c r="O141" s="409"/>
    </row>
    <row r="142" spans="1:15" s="254" customFormat="1" ht="12.75" customHeight="1" x14ac:dyDescent="0.15">
      <c r="B142" s="239" t="s">
        <v>312</v>
      </c>
      <c r="C142" s="310">
        <v>81.911000000000001</v>
      </c>
      <c r="D142" s="311">
        <v>82.7</v>
      </c>
      <c r="E142" s="311">
        <v>109.864</v>
      </c>
      <c r="F142" s="311">
        <v>112</v>
      </c>
      <c r="G142" s="311">
        <v>96.974000000000004</v>
      </c>
      <c r="H142" s="311">
        <v>97.676000000000002</v>
      </c>
      <c r="I142" s="311">
        <v>100</v>
      </c>
      <c r="J142" s="311">
        <v>102.6</v>
      </c>
      <c r="K142" s="311">
        <v>99.3</v>
      </c>
      <c r="L142" s="311">
        <f>210-98-32</f>
        <v>80</v>
      </c>
      <c r="M142" s="311">
        <f>205-98</f>
        <v>107</v>
      </c>
      <c r="N142" s="416">
        <v>140.67400000000001</v>
      </c>
      <c r="O142" s="409"/>
    </row>
    <row r="143" spans="1:15" ht="12.75" customHeight="1" x14ac:dyDescent="0.15">
      <c r="B143" s="239" t="s">
        <v>314</v>
      </c>
      <c r="C143" s="299">
        <f t="shared" ref="C143:N143" si="34">C142/C141</f>
        <v>0.51516352201257865</v>
      </c>
      <c r="D143" s="300">
        <f t="shared" si="34"/>
        <v>0.52012578616352201</v>
      </c>
      <c r="E143" s="300">
        <f t="shared" si="34"/>
        <v>0.65008284023668639</v>
      </c>
      <c r="F143" s="300">
        <f t="shared" si="34"/>
        <v>0.64</v>
      </c>
      <c r="G143" s="300">
        <f t="shared" si="34"/>
        <v>0.61117938827859608</v>
      </c>
      <c r="H143" s="300">
        <f t="shared" si="34"/>
        <v>0.61431446540880508</v>
      </c>
      <c r="I143" s="300">
        <f t="shared" si="34"/>
        <v>0.63011972274732209</v>
      </c>
      <c r="J143" s="300">
        <f t="shared" si="34"/>
        <v>0.6452830188679245</v>
      </c>
      <c r="K143" s="300">
        <f t="shared" si="34"/>
        <v>0.62452830188679243</v>
      </c>
      <c r="L143" s="300">
        <f t="shared" si="34"/>
        <v>0.49382716049382713</v>
      </c>
      <c r="M143" s="300">
        <f t="shared" si="34"/>
        <v>0.66049382716049387</v>
      </c>
      <c r="N143" s="413">
        <f t="shared" si="34"/>
        <v>0.88474213836477988</v>
      </c>
      <c r="O143" s="315"/>
    </row>
    <row r="144" spans="1:15" ht="12.75" customHeight="1" x14ac:dyDescent="0.15">
      <c r="O144" s="298"/>
    </row>
    <row r="145" spans="1:44" ht="12.75" customHeight="1" x14ac:dyDescent="0.15">
      <c r="A145" s="239">
        <v>1998</v>
      </c>
      <c r="B145" s="292" t="s">
        <v>313</v>
      </c>
      <c r="C145" s="301">
        <v>215</v>
      </c>
      <c r="D145" s="302">
        <v>215</v>
      </c>
      <c r="E145" s="302">
        <v>215</v>
      </c>
      <c r="F145" s="302">
        <v>304</v>
      </c>
      <c r="G145" s="302">
        <v>185.6</v>
      </c>
      <c r="H145" s="302">
        <v>159</v>
      </c>
      <c r="I145" s="302">
        <v>159</v>
      </c>
      <c r="J145" s="302">
        <v>159</v>
      </c>
      <c r="K145" s="302">
        <v>159</v>
      </c>
      <c r="L145" s="302">
        <v>159</v>
      </c>
      <c r="M145" s="302">
        <v>192.4</v>
      </c>
      <c r="N145" s="399">
        <v>159</v>
      </c>
      <c r="O145" s="409"/>
    </row>
    <row r="146" spans="1:44" ht="12.75" customHeight="1" x14ac:dyDescent="0.15">
      <c r="B146" s="239" t="s">
        <v>312</v>
      </c>
      <c r="C146" s="297">
        <v>92.8</v>
      </c>
      <c r="D146" s="298">
        <v>129.5</v>
      </c>
      <c r="E146" s="298">
        <v>128.19999999999999</v>
      </c>
      <c r="F146" s="298">
        <v>135.80000000000001</v>
      </c>
      <c r="G146" s="298">
        <v>132.30000000000001</v>
      </c>
      <c r="H146" s="298">
        <v>98.2</v>
      </c>
      <c r="I146" s="298">
        <v>100.5</v>
      </c>
      <c r="J146" s="298">
        <v>98</v>
      </c>
      <c r="K146" s="298">
        <v>93</v>
      </c>
      <c r="L146" s="298">
        <v>83.6</v>
      </c>
      <c r="M146" s="298">
        <v>96.3</v>
      </c>
      <c r="N146" s="400">
        <v>74.599999999999994</v>
      </c>
      <c r="O146" s="409"/>
    </row>
    <row r="147" spans="1:44" ht="12.75" customHeight="1" x14ac:dyDescent="0.15">
      <c r="B147" s="239" t="s">
        <v>314</v>
      </c>
      <c r="C147" s="299">
        <f t="shared" ref="C147:N147" si="35">C146/C145</f>
        <v>0.43162790697674419</v>
      </c>
      <c r="D147" s="300">
        <f t="shared" si="35"/>
        <v>0.60232558139534886</v>
      </c>
      <c r="E147" s="300">
        <f t="shared" si="35"/>
        <v>0.59627906976744183</v>
      </c>
      <c r="F147" s="300">
        <f t="shared" si="35"/>
        <v>0.4467105263157895</v>
      </c>
      <c r="G147" s="300">
        <f t="shared" si="35"/>
        <v>0.71282327586206906</v>
      </c>
      <c r="H147" s="300">
        <f t="shared" si="35"/>
        <v>0.61761006289308173</v>
      </c>
      <c r="I147" s="300">
        <f t="shared" si="35"/>
        <v>0.63207547169811318</v>
      </c>
      <c r="J147" s="300">
        <f t="shared" si="35"/>
        <v>0.61635220125786161</v>
      </c>
      <c r="K147" s="300">
        <f t="shared" si="35"/>
        <v>0.58490566037735847</v>
      </c>
      <c r="L147" s="300">
        <f t="shared" si="35"/>
        <v>0.52578616352201257</v>
      </c>
      <c r="M147" s="300">
        <f t="shared" si="35"/>
        <v>0.50051975051975051</v>
      </c>
      <c r="N147" s="413">
        <f t="shared" si="35"/>
        <v>0.46918238993710687</v>
      </c>
      <c r="O147" s="315"/>
    </row>
    <row r="148" spans="1:44" ht="12.75" customHeight="1" x14ac:dyDescent="0.15"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15"/>
    </row>
    <row r="149" spans="1:44" ht="12.75" customHeight="1" x14ac:dyDescent="0.15">
      <c r="A149" s="239">
        <v>1997</v>
      </c>
      <c r="B149" s="292" t="s">
        <v>313</v>
      </c>
      <c r="C149" s="307">
        <v>355</v>
      </c>
      <c r="D149" s="308">
        <v>355</v>
      </c>
      <c r="E149" s="308">
        <v>357.7</v>
      </c>
      <c r="F149" s="308">
        <v>370</v>
      </c>
      <c r="G149" s="308">
        <v>360</v>
      </c>
      <c r="H149" s="308">
        <v>355</v>
      </c>
      <c r="I149" s="308">
        <v>355</v>
      </c>
      <c r="J149" s="308">
        <v>355</v>
      </c>
      <c r="K149" s="308">
        <v>355</v>
      </c>
      <c r="L149" s="308">
        <v>359.5</v>
      </c>
      <c r="M149" s="308">
        <v>357.2</v>
      </c>
      <c r="N149" s="414">
        <v>370</v>
      </c>
      <c r="O149" s="409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  <c r="AA149" s="242"/>
      <c r="AB149" s="242"/>
      <c r="AC149" s="242"/>
      <c r="AD149" s="242"/>
      <c r="AE149" s="242"/>
      <c r="AF149" s="242"/>
      <c r="AG149" s="242"/>
      <c r="AH149" s="242"/>
      <c r="AI149" s="242"/>
      <c r="AJ149" s="242"/>
      <c r="AK149" s="242"/>
      <c r="AL149" s="242"/>
      <c r="AM149" s="242"/>
      <c r="AN149" s="242"/>
      <c r="AO149" s="242"/>
      <c r="AP149" s="242"/>
      <c r="AQ149" s="242"/>
      <c r="AR149" s="242"/>
    </row>
    <row r="150" spans="1:44" ht="12.75" customHeight="1" x14ac:dyDescent="0.15">
      <c r="B150" s="239" t="s">
        <v>312</v>
      </c>
      <c r="C150" s="309">
        <v>207.8</v>
      </c>
      <c r="D150" s="246">
        <v>233.7</v>
      </c>
      <c r="E150" s="246">
        <v>257.3</v>
      </c>
      <c r="F150" s="246">
        <v>205.9</v>
      </c>
      <c r="G150" s="246">
        <v>223.3</v>
      </c>
      <c r="H150" s="246">
        <v>220.2</v>
      </c>
      <c r="I150" s="246">
        <v>195.6</v>
      </c>
      <c r="J150" s="246">
        <v>191.9</v>
      </c>
      <c r="K150" s="246">
        <v>191.3</v>
      </c>
      <c r="L150" s="246">
        <v>271.8</v>
      </c>
      <c r="M150" s="246">
        <v>152.6</v>
      </c>
      <c r="N150" s="415">
        <v>207.1</v>
      </c>
      <c r="O150" s="409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  <c r="AA150" s="242"/>
      <c r="AB150" s="242"/>
      <c r="AC150" s="242"/>
      <c r="AD150" s="242"/>
      <c r="AE150" s="242"/>
      <c r="AF150" s="242"/>
      <c r="AG150" s="242"/>
      <c r="AH150" s="242"/>
      <c r="AI150" s="242"/>
      <c r="AJ150" s="242"/>
      <c r="AK150" s="242"/>
      <c r="AL150" s="242"/>
      <c r="AM150" s="242"/>
      <c r="AN150" s="242"/>
      <c r="AO150" s="242"/>
      <c r="AP150" s="242"/>
      <c r="AQ150" s="242"/>
      <c r="AR150" s="242"/>
    </row>
    <row r="151" spans="1:44" ht="12.75" customHeight="1" x14ac:dyDescent="0.15">
      <c r="B151" s="239" t="s">
        <v>314</v>
      </c>
      <c r="C151" s="299">
        <f t="shared" ref="C151:N151" si="36">C150/C149</f>
        <v>0.58535211267605636</v>
      </c>
      <c r="D151" s="300">
        <f t="shared" si="36"/>
        <v>0.65830985915492957</v>
      </c>
      <c r="E151" s="300">
        <f t="shared" si="36"/>
        <v>0.7193178641319542</v>
      </c>
      <c r="F151" s="300">
        <f t="shared" si="36"/>
        <v>0.55648648648648646</v>
      </c>
      <c r="G151" s="300">
        <f t="shared" si="36"/>
        <v>0.62027777777777782</v>
      </c>
      <c r="H151" s="300">
        <f t="shared" si="36"/>
        <v>0.620281690140845</v>
      </c>
      <c r="I151" s="300">
        <f t="shared" si="36"/>
        <v>0.55098591549295772</v>
      </c>
      <c r="J151" s="300">
        <f t="shared" si="36"/>
        <v>0.54056338028169015</v>
      </c>
      <c r="K151" s="300">
        <f t="shared" si="36"/>
        <v>0.5388732394366198</v>
      </c>
      <c r="L151" s="300">
        <f t="shared" si="36"/>
        <v>0.75605006954102927</v>
      </c>
      <c r="M151" s="300">
        <f t="shared" si="36"/>
        <v>0.42721164613661816</v>
      </c>
      <c r="N151" s="413">
        <f t="shared" si="36"/>
        <v>0.55972972972972967</v>
      </c>
      <c r="O151" s="315"/>
    </row>
    <row r="152" spans="1:44" ht="12.75" customHeight="1" x14ac:dyDescent="0.15">
      <c r="O152" s="298"/>
    </row>
    <row r="153" spans="1:44" ht="12.75" hidden="1" customHeight="1" x14ac:dyDescent="0.15">
      <c r="B153" s="291" t="s">
        <v>353</v>
      </c>
      <c r="O153" s="298"/>
    </row>
    <row r="154" spans="1:44" ht="12.75" hidden="1" customHeight="1" x14ac:dyDescent="0.15">
      <c r="A154" s="254">
        <v>2000</v>
      </c>
      <c r="B154" s="292" t="s">
        <v>313</v>
      </c>
      <c r="O154" s="298"/>
    </row>
    <row r="155" spans="1:44" ht="12.75" hidden="1" customHeight="1" x14ac:dyDescent="0.15">
      <c r="A155" s="254"/>
      <c r="B155" s="239" t="s">
        <v>312</v>
      </c>
      <c r="C155" s="405">
        <f>C138+C133+C129</f>
        <v>113.06672166427548</v>
      </c>
      <c r="D155" s="405">
        <f>D138+D133+D129</f>
        <v>157.29485928705444</v>
      </c>
      <c r="E155" s="405">
        <f>E138+E133+E129</f>
        <v>102.24088076923077</v>
      </c>
      <c r="F155" s="405">
        <f>F138+F133+F129</f>
        <v>87.882076923076923</v>
      </c>
      <c r="O155" s="298"/>
    </row>
    <row r="156" spans="1:44" ht="12.75" hidden="1" customHeight="1" x14ac:dyDescent="0.15">
      <c r="B156" s="239" t="s">
        <v>314</v>
      </c>
      <c r="O156" s="298"/>
    </row>
    <row r="157" spans="1:44" ht="12.75" hidden="1" customHeight="1" x14ac:dyDescent="0.15">
      <c r="O157" s="298"/>
    </row>
    <row r="158" spans="1:44" ht="12.75" hidden="1" customHeight="1" x14ac:dyDescent="0.15">
      <c r="A158" s="254">
        <v>1999</v>
      </c>
      <c r="B158" s="292" t="s">
        <v>313</v>
      </c>
      <c r="O158" s="298"/>
    </row>
    <row r="159" spans="1:44" ht="12.75" hidden="1" customHeight="1" x14ac:dyDescent="0.15">
      <c r="A159" s="254"/>
      <c r="B159" s="239" t="s">
        <v>312</v>
      </c>
      <c r="C159" s="405">
        <f>C142+C138+C133</f>
        <v>194.46394117647057</v>
      </c>
      <c r="D159" s="405">
        <f t="shared" ref="D159:N159" si="37">D142+D138+D133</f>
        <v>239.1546153846154</v>
      </c>
      <c r="E159" s="405">
        <f t="shared" si="37"/>
        <v>211.50323076923078</v>
      </c>
      <c r="F159" s="405">
        <f t="shared" si="37"/>
        <v>199.28207692307691</v>
      </c>
      <c r="G159" s="405">
        <f t="shared" si="37"/>
        <v>97.720153846153849</v>
      </c>
      <c r="H159" s="405">
        <f t="shared" si="37"/>
        <v>98.638500000000008</v>
      </c>
      <c r="I159" s="405">
        <f t="shared" si="37"/>
        <v>100.9825</v>
      </c>
      <c r="J159" s="405">
        <f t="shared" si="37"/>
        <v>103.0475</v>
      </c>
      <c r="K159" s="405">
        <f t="shared" si="37"/>
        <v>99.947499999999991</v>
      </c>
      <c r="L159" s="405">
        <f t="shared" si="37"/>
        <v>80.424999999999997</v>
      </c>
      <c r="M159" s="405">
        <f t="shared" si="37"/>
        <v>108.01646090534979</v>
      </c>
      <c r="N159" s="405">
        <f t="shared" si="37"/>
        <v>141.31546341463417</v>
      </c>
      <c r="O159" s="298"/>
    </row>
    <row r="160" spans="1:44" ht="12.75" hidden="1" customHeight="1" x14ac:dyDescent="0.15">
      <c r="B160" s="239" t="s">
        <v>314</v>
      </c>
      <c r="O160" s="298"/>
    </row>
    <row r="161" spans="1:15" ht="12.75" hidden="1" customHeight="1" x14ac:dyDescent="0.15">
      <c r="O161" s="298"/>
    </row>
    <row r="162" spans="1:15" ht="12.75" hidden="1" customHeight="1" x14ac:dyDescent="0.15">
      <c r="A162" s="239">
        <v>1998</v>
      </c>
      <c r="B162" s="292" t="s">
        <v>313</v>
      </c>
      <c r="O162" s="298"/>
    </row>
    <row r="163" spans="1:15" ht="12.75" hidden="1" customHeight="1" x14ac:dyDescent="0.15">
      <c r="B163" s="239" t="s">
        <v>312</v>
      </c>
      <c r="C163" s="405">
        <f>C146+C142+C138</f>
        <v>286.911</v>
      </c>
      <c r="D163" s="405">
        <f t="shared" ref="D163:N163" si="38">D146+D142+D138</f>
        <v>368</v>
      </c>
      <c r="E163" s="405">
        <f t="shared" si="38"/>
        <v>339.06399999999996</v>
      </c>
      <c r="F163" s="405">
        <f t="shared" si="38"/>
        <v>334.31900000000002</v>
      </c>
      <c r="G163" s="405">
        <f t="shared" si="38"/>
        <v>229.274</v>
      </c>
      <c r="H163" s="405">
        <f t="shared" si="38"/>
        <v>195.876</v>
      </c>
      <c r="I163" s="405">
        <f t="shared" si="38"/>
        <v>200.5</v>
      </c>
      <c r="J163" s="405">
        <f t="shared" si="38"/>
        <v>200.6</v>
      </c>
      <c r="K163" s="405">
        <f t="shared" si="38"/>
        <v>192.3</v>
      </c>
      <c r="L163" s="405">
        <f t="shared" si="38"/>
        <v>163.6</v>
      </c>
      <c r="M163" s="405">
        <f t="shared" si="38"/>
        <v>203.3</v>
      </c>
      <c r="N163" s="405">
        <f t="shared" si="38"/>
        <v>215.274</v>
      </c>
      <c r="O163" s="298"/>
    </row>
    <row r="164" spans="1:15" ht="12.75" hidden="1" customHeight="1" x14ac:dyDescent="0.15">
      <c r="B164" s="239" t="s">
        <v>314</v>
      </c>
      <c r="O164" s="298"/>
    </row>
    <row r="165" spans="1:15" ht="12.75" hidden="1" customHeight="1" x14ac:dyDescent="0.15">
      <c r="O165" s="298"/>
    </row>
    <row r="166" spans="1:15" ht="12.75" hidden="1" customHeight="1" x14ac:dyDescent="0.15">
      <c r="O166" s="298"/>
    </row>
    <row r="167" spans="1:15" ht="12.75" hidden="1" customHeight="1" x14ac:dyDescent="0.15">
      <c r="O167" s="298"/>
    </row>
    <row r="168" spans="1:15" ht="12.75" hidden="1" customHeight="1" x14ac:dyDescent="0.15">
      <c r="O168" s="298"/>
    </row>
    <row r="169" spans="1:15" ht="12.75" customHeight="1" x14ac:dyDescent="0.15">
      <c r="O169" s="298"/>
    </row>
    <row r="170" spans="1:15" s="417" customFormat="1" ht="12.75" customHeight="1" x14ac:dyDescent="0.15">
      <c r="B170" s="418" t="s">
        <v>34</v>
      </c>
      <c r="C170" s="419"/>
      <c r="D170" s="419"/>
      <c r="E170" s="419"/>
      <c r="F170" s="419"/>
      <c r="G170" s="419"/>
      <c r="H170" s="419"/>
      <c r="I170" s="419"/>
      <c r="J170" s="419"/>
      <c r="K170" s="419"/>
      <c r="L170" s="419"/>
      <c r="M170" s="419"/>
      <c r="N170" s="419"/>
      <c r="O170" s="420"/>
    </row>
    <row r="171" spans="1:15" ht="12.75" customHeight="1" x14ac:dyDescent="0.15">
      <c r="B171" s="291" t="s">
        <v>358</v>
      </c>
      <c r="C171" s="407">
        <f>(C174+C178+C182)/3</f>
        <v>0.74718451118716411</v>
      </c>
      <c r="D171" s="407">
        <f>(D174+D178+D182)/3</f>
        <v>0.66246903207201935</v>
      </c>
      <c r="E171" s="407">
        <f>(E174+E178+E182)/3</f>
        <v>1.2952089617730225</v>
      </c>
      <c r="F171" s="407">
        <f>(F174+F178+F182)/3</f>
        <v>0.78110278935874522</v>
      </c>
      <c r="G171" s="407">
        <f>(G186+G178+G182)/3</f>
        <v>0.79154198158476829</v>
      </c>
      <c r="H171" s="407">
        <f t="shared" ref="H171:N171" si="39">(H186+H178+H182)/3</f>
        <v>0.717146227076079</v>
      </c>
      <c r="I171" s="407">
        <f t="shared" si="39"/>
        <v>0.92105089602050205</v>
      </c>
      <c r="J171" s="407">
        <f t="shared" si="39"/>
        <v>0.75363555276906224</v>
      </c>
      <c r="K171" s="407">
        <f t="shared" si="39"/>
        <v>0.84926221493931842</v>
      </c>
      <c r="L171" s="407">
        <f t="shared" si="39"/>
        <v>0.83923483788482178</v>
      </c>
      <c r="M171" s="407">
        <f t="shared" si="39"/>
        <v>0.81788845554505019</v>
      </c>
      <c r="N171" s="407">
        <f t="shared" si="39"/>
        <v>0.66461310978250687</v>
      </c>
      <c r="O171" s="298"/>
    </row>
    <row r="172" spans="1:15" s="254" customFormat="1" ht="12.75" customHeight="1" x14ac:dyDescent="0.15">
      <c r="A172" s="254">
        <v>2000</v>
      </c>
      <c r="B172" s="292" t="s">
        <v>313</v>
      </c>
      <c r="C172" s="295">
        <v>307</v>
      </c>
      <c r="D172" s="296">
        <v>333.2</v>
      </c>
      <c r="E172" s="296">
        <v>322</v>
      </c>
      <c r="F172" s="296">
        <v>322</v>
      </c>
      <c r="G172" s="296"/>
      <c r="H172" s="296"/>
      <c r="I172" s="296"/>
      <c r="J172" s="296"/>
      <c r="K172" s="296"/>
      <c r="L172" s="296"/>
      <c r="M172" s="296"/>
      <c r="N172" s="410"/>
      <c r="O172" s="408"/>
    </row>
    <row r="173" spans="1:15" s="254" customFormat="1" ht="12.75" customHeight="1" x14ac:dyDescent="0.15">
      <c r="B173" s="239" t="s">
        <v>312</v>
      </c>
      <c r="C173" s="310">
        <v>228</v>
      </c>
      <c r="D173" s="311">
        <v>205.4</v>
      </c>
      <c r="E173" s="311">
        <v>221.5</v>
      </c>
      <c r="F173" s="311">
        <v>255.52799999999999</v>
      </c>
      <c r="G173" s="311"/>
      <c r="H173" s="311"/>
      <c r="I173" s="311"/>
      <c r="J173" s="311"/>
      <c r="K173" s="311"/>
      <c r="L173" s="311"/>
      <c r="M173" s="311"/>
      <c r="N173" s="416"/>
      <c r="O173" s="409"/>
    </row>
    <row r="174" spans="1:15" ht="12.75" customHeight="1" x14ac:dyDescent="0.15">
      <c r="B174" s="239" t="s">
        <v>314</v>
      </c>
      <c r="C174" s="299">
        <f t="shared" ref="C174:N174" si="40">C173/C172</f>
        <v>0.74267100977198697</v>
      </c>
      <c r="D174" s="300">
        <f t="shared" si="40"/>
        <v>0.61644657863145258</v>
      </c>
      <c r="E174" s="300">
        <f t="shared" si="40"/>
        <v>0.68788819875776397</v>
      </c>
      <c r="F174" s="300">
        <f t="shared" si="40"/>
        <v>0.79356521739130437</v>
      </c>
      <c r="G174" s="300" t="e">
        <f t="shared" si="40"/>
        <v>#DIV/0!</v>
      </c>
      <c r="H174" s="300" t="e">
        <f t="shared" si="40"/>
        <v>#DIV/0!</v>
      </c>
      <c r="I174" s="300" t="e">
        <f t="shared" si="40"/>
        <v>#DIV/0!</v>
      </c>
      <c r="J174" s="300" t="e">
        <f t="shared" si="40"/>
        <v>#DIV/0!</v>
      </c>
      <c r="K174" s="300" t="e">
        <f t="shared" si="40"/>
        <v>#DIV/0!</v>
      </c>
      <c r="L174" s="300" t="e">
        <f t="shared" si="40"/>
        <v>#DIV/0!</v>
      </c>
      <c r="M174" s="300" t="e">
        <f t="shared" si="40"/>
        <v>#DIV/0!</v>
      </c>
      <c r="N174" s="413" t="e">
        <f t="shared" si="40"/>
        <v>#DIV/0!</v>
      </c>
      <c r="O174" s="315"/>
    </row>
    <row r="175" spans="1:15" ht="12.75" customHeight="1" x14ac:dyDescent="0.15">
      <c r="O175" s="298"/>
    </row>
    <row r="176" spans="1:15" s="254" customFormat="1" ht="12.75" customHeight="1" x14ac:dyDescent="0.15">
      <c r="A176" s="254">
        <v>1999</v>
      </c>
      <c r="B176" s="292" t="s">
        <v>313</v>
      </c>
      <c r="C176" s="295">
        <v>274</v>
      </c>
      <c r="D176" s="296">
        <v>274</v>
      </c>
      <c r="E176" s="296">
        <v>366</v>
      </c>
      <c r="F176" s="296">
        <v>320</v>
      </c>
      <c r="G176" s="296">
        <v>320</v>
      </c>
      <c r="H176" s="296">
        <v>320</v>
      </c>
      <c r="I176" s="296">
        <v>320</v>
      </c>
      <c r="J176" s="296">
        <v>320</v>
      </c>
      <c r="K176" s="296">
        <v>320</v>
      </c>
      <c r="L176" s="296">
        <f>142.5</f>
        <v>142.5</v>
      </c>
      <c r="M176" s="296">
        <f>142.5</f>
        <v>142.5</v>
      </c>
      <c r="N176" s="410">
        <v>322</v>
      </c>
      <c r="O176" s="408"/>
    </row>
    <row r="177" spans="1:18" s="254" customFormat="1" ht="12.75" customHeight="1" x14ac:dyDescent="0.15">
      <c r="B177" s="239" t="s">
        <v>312</v>
      </c>
      <c r="C177" s="310">
        <v>219.898</v>
      </c>
      <c r="D177" s="311">
        <v>199.1</v>
      </c>
      <c r="E177" s="311">
        <v>234.55199999999999</v>
      </c>
      <c r="F177" s="311">
        <v>237.2</v>
      </c>
      <c r="G177" s="311">
        <v>234.81100000000001</v>
      </c>
      <c r="H177" s="311">
        <v>181.27699999999999</v>
      </c>
      <c r="I177" s="311">
        <v>207.6</v>
      </c>
      <c r="J177" s="311">
        <v>217.5</v>
      </c>
      <c r="K177" s="311">
        <v>243</v>
      </c>
      <c r="L177" s="311">
        <v>140</v>
      </c>
      <c r="M177" s="311">
        <v>140</v>
      </c>
      <c r="N177" s="416">
        <v>220.12299999999999</v>
      </c>
      <c r="O177" s="409"/>
    </row>
    <row r="178" spans="1:18" ht="12.75" customHeight="1" x14ac:dyDescent="0.15">
      <c r="B178" s="239" t="s">
        <v>314</v>
      </c>
      <c r="C178" s="299">
        <f t="shared" ref="C178:N178" si="41">C177/C176</f>
        <v>0.80254744525547439</v>
      </c>
      <c r="D178" s="300">
        <f t="shared" si="41"/>
        <v>0.72664233576642334</v>
      </c>
      <c r="E178" s="300">
        <f t="shared" si="41"/>
        <v>0.64085245901639343</v>
      </c>
      <c r="F178" s="300">
        <f t="shared" si="41"/>
        <v>0.74124999999999996</v>
      </c>
      <c r="G178" s="300">
        <f t="shared" si="41"/>
        <v>0.73378437500000004</v>
      </c>
      <c r="H178" s="300">
        <f t="shared" si="41"/>
        <v>0.56649062499999991</v>
      </c>
      <c r="I178" s="300">
        <f t="shared" si="41"/>
        <v>0.64874999999999994</v>
      </c>
      <c r="J178" s="300">
        <f t="shared" si="41"/>
        <v>0.6796875</v>
      </c>
      <c r="K178" s="300">
        <f t="shared" si="41"/>
        <v>0.75937500000000002</v>
      </c>
      <c r="L178" s="300">
        <f t="shared" si="41"/>
        <v>0.98245614035087714</v>
      </c>
      <c r="M178" s="300">
        <f t="shared" si="41"/>
        <v>0.98245614035087714</v>
      </c>
      <c r="N178" s="413">
        <f t="shared" si="41"/>
        <v>0.68361180124223597</v>
      </c>
      <c r="O178" s="315"/>
    </row>
    <row r="179" spans="1:18" ht="12.75" customHeight="1" x14ac:dyDescent="0.15">
      <c r="O179" s="298"/>
    </row>
    <row r="180" spans="1:18" ht="12.75" customHeight="1" x14ac:dyDescent="0.15">
      <c r="A180" s="239">
        <v>1998</v>
      </c>
      <c r="B180" s="292" t="s">
        <v>313</v>
      </c>
      <c r="C180" s="301">
        <v>191</v>
      </c>
      <c r="D180" s="302">
        <v>176</v>
      </c>
      <c r="E180" s="302">
        <v>50.1</v>
      </c>
      <c r="F180" s="302">
        <v>365</v>
      </c>
      <c r="G180" s="302">
        <v>384.2</v>
      </c>
      <c r="H180" s="302">
        <v>380</v>
      </c>
      <c r="I180" s="302">
        <v>188.3</v>
      </c>
      <c r="J180" s="302">
        <v>380</v>
      </c>
      <c r="K180" s="302">
        <v>275</v>
      </c>
      <c r="L180" s="302">
        <v>275</v>
      </c>
      <c r="M180" s="302">
        <v>334</v>
      </c>
      <c r="N180" s="399">
        <v>391.5</v>
      </c>
      <c r="O180" s="409"/>
    </row>
    <row r="181" spans="1:18" ht="12.75" customHeight="1" x14ac:dyDescent="0.15">
      <c r="B181" s="239" t="s">
        <v>312</v>
      </c>
      <c r="C181" s="297">
        <v>133</v>
      </c>
      <c r="D181" s="298">
        <v>113.4</v>
      </c>
      <c r="E181" s="298">
        <v>128.1</v>
      </c>
      <c r="F181" s="298">
        <v>295.10000000000002</v>
      </c>
      <c r="G181" s="298">
        <v>275</v>
      </c>
      <c r="H181" s="298">
        <v>249.8</v>
      </c>
      <c r="I181" s="298">
        <v>220.9</v>
      </c>
      <c r="J181" s="298">
        <v>226.5</v>
      </c>
      <c r="K181" s="298">
        <v>234.7</v>
      </c>
      <c r="L181" s="298">
        <v>179.6</v>
      </c>
      <c r="M181" s="298">
        <v>164.8</v>
      </c>
      <c r="N181" s="400">
        <v>160.1</v>
      </c>
      <c r="O181" s="409"/>
    </row>
    <row r="182" spans="1:18" ht="12.75" customHeight="1" x14ac:dyDescent="0.15">
      <c r="B182" s="239" t="s">
        <v>314</v>
      </c>
      <c r="C182" s="299">
        <f t="shared" ref="C182:N182" si="42">C181/C180</f>
        <v>0.69633507853403143</v>
      </c>
      <c r="D182" s="300">
        <f t="shared" si="42"/>
        <v>0.6443181818181819</v>
      </c>
      <c r="E182" s="300">
        <f t="shared" si="42"/>
        <v>2.55688622754491</v>
      </c>
      <c r="F182" s="300">
        <f t="shared" si="42"/>
        <v>0.80849315068493155</v>
      </c>
      <c r="G182" s="300">
        <f t="shared" si="42"/>
        <v>0.71577303487766786</v>
      </c>
      <c r="H182" s="300">
        <f t="shared" si="42"/>
        <v>0.6573684210526316</v>
      </c>
      <c r="I182" s="300">
        <f t="shared" si="42"/>
        <v>1.1731279872543812</v>
      </c>
      <c r="J182" s="300">
        <f t="shared" si="42"/>
        <v>0.59605263157894739</v>
      </c>
      <c r="K182" s="300">
        <f t="shared" si="42"/>
        <v>0.85345454545454547</v>
      </c>
      <c r="L182" s="300">
        <f t="shared" si="42"/>
        <v>0.65309090909090906</v>
      </c>
      <c r="M182" s="300">
        <f t="shared" si="42"/>
        <v>0.49341317365269466</v>
      </c>
      <c r="N182" s="413">
        <f t="shared" si="42"/>
        <v>0.4089399744572158</v>
      </c>
      <c r="O182" s="315"/>
    </row>
    <row r="183" spans="1:18" ht="12.75" customHeight="1" x14ac:dyDescent="0.15"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15"/>
    </row>
    <row r="184" spans="1:18" ht="12.75" customHeight="1" x14ac:dyDescent="0.15">
      <c r="A184" s="239">
        <v>1997</v>
      </c>
      <c r="B184" s="292" t="s">
        <v>313</v>
      </c>
      <c r="C184" s="307">
        <v>303.8</v>
      </c>
      <c r="D184" s="308">
        <v>321</v>
      </c>
      <c r="E184" s="308">
        <v>313.8</v>
      </c>
      <c r="F184" s="308">
        <v>324.8</v>
      </c>
      <c r="G184" s="308">
        <v>328.3</v>
      </c>
      <c r="H184" s="308">
        <v>367.3</v>
      </c>
      <c r="I184" s="308">
        <v>359.3</v>
      </c>
      <c r="J184" s="308">
        <v>357.3</v>
      </c>
      <c r="K184" s="308">
        <v>361.3</v>
      </c>
      <c r="L184" s="308">
        <v>391.2</v>
      </c>
      <c r="M184" s="308">
        <v>364.8</v>
      </c>
      <c r="N184" s="414">
        <v>349.5</v>
      </c>
      <c r="O184" s="409"/>
      <c r="P184" s="242"/>
      <c r="Q184" s="242"/>
      <c r="R184" s="242"/>
    </row>
    <row r="185" spans="1:18" ht="12.75" customHeight="1" x14ac:dyDescent="0.15">
      <c r="B185" s="239" t="s">
        <v>312</v>
      </c>
      <c r="C185" s="309">
        <v>280.8</v>
      </c>
      <c r="D185" s="246">
        <v>285.10000000000002</v>
      </c>
      <c r="E185" s="246">
        <v>291.5</v>
      </c>
      <c r="F185" s="246">
        <v>323.8</v>
      </c>
      <c r="G185" s="246">
        <v>303.7</v>
      </c>
      <c r="H185" s="246">
        <v>340.7</v>
      </c>
      <c r="I185" s="246">
        <v>338.2</v>
      </c>
      <c r="J185" s="246">
        <v>352</v>
      </c>
      <c r="K185" s="246">
        <v>337.8</v>
      </c>
      <c r="L185" s="246">
        <v>345.1</v>
      </c>
      <c r="M185" s="246">
        <v>356.7</v>
      </c>
      <c r="N185" s="415">
        <v>315</v>
      </c>
      <c r="O185" s="409"/>
      <c r="P185" s="242"/>
      <c r="Q185" s="242"/>
      <c r="R185" s="242"/>
    </row>
    <row r="186" spans="1:18" ht="12.75" customHeight="1" x14ac:dyDescent="0.15">
      <c r="B186" s="239" t="s">
        <v>314</v>
      </c>
      <c r="C186" s="299">
        <f t="shared" ref="C186:N186" si="43">C185/C184</f>
        <v>0.92429229756418696</v>
      </c>
      <c r="D186" s="300">
        <f t="shared" si="43"/>
        <v>0.88816199376947047</v>
      </c>
      <c r="E186" s="300">
        <f t="shared" si="43"/>
        <v>0.92893562778840022</v>
      </c>
      <c r="F186" s="300">
        <f t="shared" si="43"/>
        <v>0.9969211822660099</v>
      </c>
      <c r="G186" s="300">
        <f t="shared" si="43"/>
        <v>0.92506853487663721</v>
      </c>
      <c r="H186" s="300">
        <f t="shared" si="43"/>
        <v>0.92757963517560571</v>
      </c>
      <c r="I186" s="300">
        <f t="shared" si="43"/>
        <v>0.94127470080712494</v>
      </c>
      <c r="J186" s="300">
        <f t="shared" si="43"/>
        <v>0.98516652672823957</v>
      </c>
      <c r="K186" s="300">
        <f t="shared" si="43"/>
        <v>0.93495709936340987</v>
      </c>
      <c r="L186" s="300">
        <f t="shared" si="43"/>
        <v>0.88215746421267904</v>
      </c>
      <c r="M186" s="300">
        <f t="shared" si="43"/>
        <v>0.97779605263157887</v>
      </c>
      <c r="N186" s="413">
        <f t="shared" si="43"/>
        <v>0.90128755364806867</v>
      </c>
      <c r="O186" s="315"/>
    </row>
    <row r="187" spans="1:18" ht="12.75" customHeight="1" x14ac:dyDescent="0.15">
      <c r="O187" s="298"/>
    </row>
    <row r="188" spans="1:18" s="417" customFormat="1" ht="12.75" customHeight="1" x14ac:dyDescent="0.15">
      <c r="B188" s="418" t="s">
        <v>39</v>
      </c>
      <c r="C188" s="419"/>
      <c r="D188" s="419"/>
      <c r="E188" s="419"/>
      <c r="F188" s="419"/>
      <c r="G188" s="419"/>
      <c r="H188" s="419"/>
      <c r="I188" s="419"/>
      <c r="J188" s="419"/>
      <c r="K188" s="419"/>
      <c r="L188" s="419"/>
      <c r="M188" s="419"/>
      <c r="N188" s="419"/>
      <c r="O188" s="420"/>
    </row>
    <row r="189" spans="1:18" ht="12.75" customHeight="1" x14ac:dyDescent="0.15">
      <c r="B189" s="291" t="s">
        <v>358</v>
      </c>
      <c r="C189" s="407">
        <f>(C192+C196+C200)/3</f>
        <v>0.89218469008971368</v>
      </c>
      <c r="D189" s="407">
        <f>(D192+D196+D200)/3</f>
        <v>1.0991357863582978</v>
      </c>
      <c r="E189" s="407">
        <f>(E192+E196+E200)/3</f>
        <v>1.2683300401590394</v>
      </c>
      <c r="F189" s="407">
        <f>(F192+F196+F200)/3</f>
        <v>0.88170393005894343</v>
      </c>
      <c r="G189" s="407">
        <f>(G196+G200)/2</f>
        <v>0.96098731001918258</v>
      </c>
      <c r="H189" s="407">
        <f t="shared" ref="H189:N189" si="44">(H196+H200)/2</f>
        <v>1.1724606448428436</v>
      </c>
      <c r="I189" s="407">
        <f t="shared" si="44"/>
        <v>0.70054004961899696</v>
      </c>
      <c r="J189" s="407">
        <f t="shared" si="44"/>
        <v>0.96399855124954725</v>
      </c>
      <c r="K189" s="407">
        <f t="shared" si="44"/>
        <v>0.70367965367965368</v>
      </c>
      <c r="L189" s="407">
        <f t="shared" si="44"/>
        <v>0.74481421639762824</v>
      </c>
      <c r="M189" s="407">
        <f t="shared" si="44"/>
        <v>0.92295340438527185</v>
      </c>
      <c r="N189" s="407">
        <f t="shared" si="44"/>
        <v>1.2052527905811854</v>
      </c>
      <c r="O189" s="298"/>
    </row>
    <row r="190" spans="1:18" s="254" customFormat="1" ht="12.75" customHeight="1" x14ac:dyDescent="0.15">
      <c r="A190" s="254">
        <v>2000</v>
      </c>
      <c r="B190" s="292" t="s">
        <v>313</v>
      </c>
      <c r="C190" s="295">
        <v>138.5</v>
      </c>
      <c r="D190" s="296">
        <v>213.4</v>
      </c>
      <c r="E190" s="296">
        <v>196.2</v>
      </c>
      <c r="F190" s="296">
        <f>194.275</f>
        <v>194.27500000000001</v>
      </c>
      <c r="G190" s="296"/>
      <c r="H190" s="296"/>
      <c r="I190" s="296"/>
      <c r="J190" s="296"/>
      <c r="K190" s="296"/>
      <c r="L190" s="296"/>
      <c r="M190" s="296"/>
      <c r="N190" s="410"/>
      <c r="O190" s="408"/>
    </row>
    <row r="191" spans="1:18" s="254" customFormat="1" ht="12.75" customHeight="1" x14ac:dyDescent="0.15">
      <c r="B191" s="239" t="s">
        <v>312</v>
      </c>
      <c r="C191" s="310">
        <v>163.69999999999999</v>
      </c>
      <c r="D191" s="311">
        <v>260.39999999999998</v>
      </c>
      <c r="E191" s="311">
        <v>221.4</v>
      </c>
      <c r="F191" s="311">
        <v>166.40299999999999</v>
      </c>
      <c r="G191" s="311"/>
      <c r="H191" s="311"/>
      <c r="I191" s="311"/>
      <c r="J191" s="311"/>
      <c r="K191" s="311"/>
      <c r="L191" s="311"/>
      <c r="M191" s="311"/>
      <c r="N191" s="416"/>
      <c r="O191" s="409"/>
    </row>
    <row r="192" spans="1:18" ht="12.75" customHeight="1" x14ac:dyDescent="0.15">
      <c r="B192" s="239" t="s">
        <v>314</v>
      </c>
      <c r="C192" s="299">
        <f t="shared" ref="C192:N192" si="45">C191/C190</f>
        <v>1.1819494584837544</v>
      </c>
      <c r="D192" s="300">
        <f t="shared" si="45"/>
        <v>1.2202436738519211</v>
      </c>
      <c r="E192" s="300">
        <f t="shared" si="45"/>
        <v>1.1284403669724772</v>
      </c>
      <c r="F192" s="300">
        <f t="shared" si="45"/>
        <v>0.85653326470209745</v>
      </c>
      <c r="G192" s="300" t="e">
        <f t="shared" si="45"/>
        <v>#DIV/0!</v>
      </c>
      <c r="H192" s="300" t="e">
        <f t="shared" si="45"/>
        <v>#DIV/0!</v>
      </c>
      <c r="I192" s="300" t="e">
        <f t="shared" si="45"/>
        <v>#DIV/0!</v>
      </c>
      <c r="J192" s="300" t="e">
        <f t="shared" si="45"/>
        <v>#DIV/0!</v>
      </c>
      <c r="K192" s="300" t="e">
        <f t="shared" si="45"/>
        <v>#DIV/0!</v>
      </c>
      <c r="L192" s="300" t="e">
        <f t="shared" si="45"/>
        <v>#DIV/0!</v>
      </c>
      <c r="M192" s="300" t="e">
        <f t="shared" si="45"/>
        <v>#DIV/0!</v>
      </c>
      <c r="N192" s="413" t="e">
        <f t="shared" si="45"/>
        <v>#DIV/0!</v>
      </c>
      <c r="O192" s="315"/>
    </row>
    <row r="193" spans="1:15" ht="12.75" customHeight="1" x14ac:dyDescent="0.15">
      <c r="O193" s="298"/>
    </row>
    <row r="194" spans="1:15" s="254" customFormat="1" ht="12.75" customHeight="1" x14ac:dyDescent="0.15">
      <c r="A194" s="254">
        <v>1999</v>
      </c>
      <c r="B194" s="292" t="s">
        <v>313</v>
      </c>
      <c r="C194" s="295">
        <v>125.8</v>
      </c>
      <c r="D194" s="296">
        <v>125.8</v>
      </c>
      <c r="E194" s="296">
        <v>123.5</v>
      </c>
      <c r="F194" s="296">
        <v>125.7</v>
      </c>
      <c r="G194" s="296">
        <v>148.5</v>
      </c>
      <c r="H194" s="296">
        <v>148.5</v>
      </c>
      <c r="I194" s="296">
        <v>148.5</v>
      </c>
      <c r="J194" s="296">
        <v>148.5</v>
      </c>
      <c r="K194" s="296">
        <v>148.5</v>
      </c>
      <c r="L194" s="296">
        <f>343.3+95-120</f>
        <v>318.3</v>
      </c>
      <c r="M194" s="296">
        <f>238.3+95-120</f>
        <v>213.3</v>
      </c>
      <c r="N194" s="410">
        <v>123.5</v>
      </c>
      <c r="O194" s="408"/>
    </row>
    <row r="195" spans="1:15" s="254" customFormat="1" ht="12.75" customHeight="1" x14ac:dyDescent="0.15">
      <c r="B195" s="239" t="s">
        <v>312</v>
      </c>
      <c r="C195" s="310">
        <v>115.405</v>
      </c>
      <c r="D195" s="311">
        <v>111.8</v>
      </c>
      <c r="E195" s="311">
        <v>121.255</v>
      </c>
      <c r="F195" s="311">
        <v>101.8</v>
      </c>
      <c r="G195" s="311">
        <v>109.846</v>
      </c>
      <c r="H195" s="311">
        <v>148.92500000000001</v>
      </c>
      <c r="I195" s="311">
        <v>135.1</v>
      </c>
      <c r="J195" s="311">
        <v>124.2</v>
      </c>
      <c r="K195" s="311">
        <v>108.5</v>
      </c>
      <c r="L195" s="311">
        <v>183.3</v>
      </c>
      <c r="M195" s="311">
        <v>183.3</v>
      </c>
      <c r="N195" s="416">
        <v>163.82400000000001</v>
      </c>
      <c r="O195" s="409"/>
    </row>
    <row r="196" spans="1:15" ht="12.75" customHeight="1" x14ac:dyDescent="0.15">
      <c r="B196" s="239" t="s">
        <v>314</v>
      </c>
      <c r="C196" s="299">
        <f t="shared" ref="C196:N196" si="46">C195/C194</f>
        <v>0.91736883942766301</v>
      </c>
      <c r="D196" s="300">
        <f t="shared" si="46"/>
        <v>0.88871224165341811</v>
      </c>
      <c r="E196" s="300">
        <f t="shared" si="46"/>
        <v>0.98182186234817814</v>
      </c>
      <c r="F196" s="300">
        <f t="shared" si="46"/>
        <v>0.80986475735879071</v>
      </c>
      <c r="G196" s="300">
        <f t="shared" si="46"/>
        <v>0.73970370370370375</v>
      </c>
      <c r="H196" s="300">
        <f t="shared" si="46"/>
        <v>1.0028619528619529</v>
      </c>
      <c r="I196" s="300">
        <f t="shared" si="46"/>
        <v>0.90976430976430978</v>
      </c>
      <c r="J196" s="300">
        <f t="shared" si="46"/>
        <v>0.83636363636363642</v>
      </c>
      <c r="K196" s="300">
        <f t="shared" si="46"/>
        <v>0.73063973063973064</v>
      </c>
      <c r="L196" s="300">
        <f t="shared" si="46"/>
        <v>0.57587181903864282</v>
      </c>
      <c r="M196" s="300">
        <f t="shared" si="46"/>
        <v>0.85935302390998591</v>
      </c>
      <c r="N196" s="413">
        <f t="shared" si="46"/>
        <v>1.3265101214574899</v>
      </c>
      <c r="O196" s="315"/>
    </row>
    <row r="197" spans="1:15" ht="12.75" customHeight="1" x14ac:dyDescent="0.15">
      <c r="O197" s="298"/>
    </row>
    <row r="198" spans="1:15" ht="12.75" customHeight="1" x14ac:dyDescent="0.15">
      <c r="A198" s="239">
        <v>1998</v>
      </c>
      <c r="B198" s="292" t="s">
        <v>313</v>
      </c>
      <c r="C198" s="301">
        <v>295.2</v>
      </c>
      <c r="D198" s="302">
        <v>190.5</v>
      </c>
      <c r="E198" s="302">
        <v>117.6</v>
      </c>
      <c r="F198" s="302">
        <v>220.8</v>
      </c>
      <c r="G198" s="302">
        <v>200.8</v>
      </c>
      <c r="H198" s="302">
        <v>171.9</v>
      </c>
      <c r="I198" s="302">
        <v>380</v>
      </c>
      <c r="J198" s="302">
        <v>200.8</v>
      </c>
      <c r="K198" s="302">
        <v>189</v>
      </c>
      <c r="L198" s="302">
        <v>189</v>
      </c>
      <c r="M198" s="302">
        <v>200.8</v>
      </c>
      <c r="N198" s="399">
        <v>176.2</v>
      </c>
      <c r="O198" s="408"/>
    </row>
    <row r="199" spans="1:15" ht="12.75" customHeight="1" x14ac:dyDescent="0.15">
      <c r="B199" s="239" t="s">
        <v>312</v>
      </c>
      <c r="C199" s="297">
        <v>170.4</v>
      </c>
      <c r="D199" s="298">
        <v>226.4</v>
      </c>
      <c r="E199" s="298">
        <v>199.3</v>
      </c>
      <c r="F199" s="298">
        <v>216.1</v>
      </c>
      <c r="G199" s="298">
        <v>237.4</v>
      </c>
      <c r="H199" s="298">
        <v>230.7</v>
      </c>
      <c r="I199" s="298">
        <v>186.7</v>
      </c>
      <c r="J199" s="298">
        <v>219.2</v>
      </c>
      <c r="K199" s="298">
        <v>127.9</v>
      </c>
      <c r="L199" s="298">
        <v>172.7</v>
      </c>
      <c r="M199" s="298">
        <v>198.1</v>
      </c>
      <c r="N199" s="400">
        <v>191</v>
      </c>
      <c r="O199" s="409"/>
    </row>
    <row r="200" spans="1:15" ht="12.75" customHeight="1" x14ac:dyDescent="0.15">
      <c r="B200" s="239" t="s">
        <v>314</v>
      </c>
      <c r="C200" s="299">
        <f t="shared" ref="C200:N200" si="47">C199/C198</f>
        <v>0.57723577235772361</v>
      </c>
      <c r="D200" s="300">
        <f t="shared" si="47"/>
        <v>1.1884514435695539</v>
      </c>
      <c r="E200" s="300">
        <f t="shared" si="47"/>
        <v>1.6947278911564627</v>
      </c>
      <c r="F200" s="300">
        <f t="shared" si="47"/>
        <v>0.97871376811594191</v>
      </c>
      <c r="G200" s="300">
        <f t="shared" si="47"/>
        <v>1.1822709163346614</v>
      </c>
      <c r="H200" s="300">
        <f t="shared" si="47"/>
        <v>1.3420593368237346</v>
      </c>
      <c r="I200" s="300">
        <f t="shared" si="47"/>
        <v>0.49131578947368421</v>
      </c>
      <c r="J200" s="300">
        <f t="shared" si="47"/>
        <v>1.0916334661354581</v>
      </c>
      <c r="K200" s="300">
        <f t="shared" si="47"/>
        <v>0.67671957671957672</v>
      </c>
      <c r="L200" s="300">
        <f t="shared" si="47"/>
        <v>0.91375661375661366</v>
      </c>
      <c r="M200" s="300">
        <f t="shared" si="47"/>
        <v>0.98655378486055767</v>
      </c>
      <c r="N200" s="413">
        <f t="shared" si="47"/>
        <v>1.0839954597048809</v>
      </c>
      <c r="O200" s="315"/>
    </row>
    <row r="201" spans="1:15" ht="12.75" customHeight="1" x14ac:dyDescent="0.15">
      <c r="O201" s="298"/>
    </row>
    <row r="202" spans="1:15" s="417" customFormat="1" ht="12.75" customHeight="1" x14ac:dyDescent="0.15">
      <c r="B202" s="418" t="s">
        <v>44</v>
      </c>
      <c r="C202" s="419"/>
      <c r="D202" s="419"/>
      <c r="E202" s="419"/>
      <c r="F202" s="419"/>
      <c r="G202" s="419"/>
      <c r="H202" s="419"/>
      <c r="I202" s="419"/>
      <c r="J202" s="419"/>
      <c r="K202" s="419"/>
      <c r="L202" s="419"/>
      <c r="M202" s="419"/>
      <c r="N202" s="419"/>
      <c r="O202" s="420"/>
    </row>
    <row r="203" spans="1:15" ht="12.75" customHeight="1" x14ac:dyDescent="0.15">
      <c r="B203" s="291" t="s">
        <v>358</v>
      </c>
      <c r="C203" s="407">
        <f t="shared" ref="C203:I203" si="48">(C206+C210+C214)/3</f>
        <v>0.97107240143369167</v>
      </c>
      <c r="D203" s="407">
        <f t="shared" si="48"/>
        <v>0.99777777777777776</v>
      </c>
      <c r="E203" s="407">
        <f t="shared" si="48"/>
        <v>0.95093906810035855</v>
      </c>
      <c r="F203" s="407">
        <f t="shared" si="48"/>
        <v>0.85838182019731735</v>
      </c>
      <c r="G203" s="407">
        <f t="shared" si="48"/>
        <v>0.85733538779883967</v>
      </c>
      <c r="H203" s="407">
        <f t="shared" si="48"/>
        <v>0.7797512544802867</v>
      </c>
      <c r="I203" s="407">
        <f t="shared" si="48"/>
        <v>0.81469534050179204</v>
      </c>
      <c r="J203" s="407">
        <f>(J218+J210+J214)/3</f>
        <v>0.67858314936241726</v>
      </c>
      <c r="K203" s="407">
        <f>(K218+K210+K214)/3</f>
        <v>0.63627240143369179</v>
      </c>
      <c r="L203" s="407">
        <f>(L218+L210+L214)/3</f>
        <v>0.49462800043445204</v>
      </c>
      <c r="M203" s="407">
        <f>(M218+M210+M214)/3</f>
        <v>0.61335722819593785</v>
      </c>
      <c r="N203" s="407">
        <f>(N218+N210+N214)/3</f>
        <v>0.72407096774193558</v>
      </c>
      <c r="O203" s="298"/>
    </row>
    <row r="204" spans="1:15" s="254" customFormat="1" ht="12.75" customHeight="1" x14ac:dyDescent="0.15">
      <c r="A204" s="254">
        <v>2000</v>
      </c>
      <c r="B204" s="292" t="s">
        <v>313</v>
      </c>
      <c r="C204" s="295">
        <v>465</v>
      </c>
      <c r="D204" s="296">
        <v>465</v>
      </c>
      <c r="E204" s="296">
        <v>465</v>
      </c>
      <c r="F204" s="296">
        <v>465</v>
      </c>
      <c r="G204" s="296">
        <v>465</v>
      </c>
      <c r="H204" s="296">
        <v>465</v>
      </c>
      <c r="I204" s="296">
        <v>465</v>
      </c>
      <c r="J204" s="296"/>
      <c r="K204" s="296"/>
      <c r="L204" s="296"/>
      <c r="M204" s="296"/>
      <c r="N204" s="410"/>
      <c r="O204" s="409"/>
    </row>
    <row r="205" spans="1:15" s="254" customFormat="1" ht="12.75" customHeight="1" x14ac:dyDescent="0.15">
      <c r="B205" s="239" t="s">
        <v>312</v>
      </c>
      <c r="C205" s="310">
        <v>416.2</v>
      </c>
      <c r="D205" s="311">
        <v>452.1</v>
      </c>
      <c r="E205" s="311">
        <v>470.1</v>
      </c>
      <c r="F205" s="311">
        <f>353.892+21.996</f>
        <v>375.88799999999998</v>
      </c>
      <c r="G205" s="311">
        <f>378.7+79.6</f>
        <v>458.29999999999995</v>
      </c>
      <c r="H205" s="311">
        <f>280.1+151.2+3.2</f>
        <v>434.5</v>
      </c>
      <c r="I205" s="311">
        <f>280.3+172.6+1.6</f>
        <v>454.5</v>
      </c>
      <c r="J205" s="311"/>
      <c r="K205" s="311"/>
      <c r="L205" s="311"/>
      <c r="M205" s="311"/>
      <c r="N205" s="416"/>
      <c r="O205" s="409"/>
    </row>
    <row r="206" spans="1:15" ht="12.75" customHeight="1" x14ac:dyDescent="0.15">
      <c r="B206" s="239" t="s">
        <v>314</v>
      </c>
      <c r="C206" s="299">
        <f t="shared" ref="C206:N206" si="49">C205/C204</f>
        <v>0.89505376344086018</v>
      </c>
      <c r="D206" s="300">
        <f t="shared" si="49"/>
        <v>0.97225806451612906</v>
      </c>
      <c r="E206" s="300">
        <f t="shared" si="49"/>
        <v>1.0109677419354839</v>
      </c>
      <c r="F206" s="300">
        <f t="shared" si="49"/>
        <v>0.80836129032258064</v>
      </c>
      <c r="G206" s="300">
        <f t="shared" si="49"/>
        <v>0.98559139784946226</v>
      </c>
      <c r="H206" s="300">
        <f t="shared" si="49"/>
        <v>0.93440860215053767</v>
      </c>
      <c r="I206" s="300">
        <f t="shared" si="49"/>
        <v>0.97741935483870968</v>
      </c>
      <c r="J206" s="300" t="e">
        <f t="shared" si="49"/>
        <v>#DIV/0!</v>
      </c>
      <c r="K206" s="300" t="e">
        <f t="shared" si="49"/>
        <v>#DIV/0!</v>
      </c>
      <c r="L206" s="300" t="e">
        <f t="shared" si="49"/>
        <v>#DIV/0!</v>
      </c>
      <c r="M206" s="300" t="e">
        <f t="shared" si="49"/>
        <v>#DIV/0!</v>
      </c>
      <c r="N206" s="413" t="e">
        <f t="shared" si="49"/>
        <v>#DIV/0!</v>
      </c>
      <c r="O206" s="315"/>
    </row>
    <row r="207" spans="1:15" ht="12.75" customHeight="1" x14ac:dyDescent="0.15">
      <c r="B207" s="291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298"/>
    </row>
    <row r="208" spans="1:15" s="254" customFormat="1" ht="12.75" customHeight="1" x14ac:dyDescent="0.15">
      <c r="A208" s="254">
        <v>1999</v>
      </c>
      <c r="B208" s="292" t="s">
        <v>313</v>
      </c>
      <c r="C208" s="295">
        <v>465</v>
      </c>
      <c r="D208" s="296">
        <v>465</v>
      </c>
      <c r="E208" s="296">
        <v>465</v>
      </c>
      <c r="F208" s="296">
        <v>485</v>
      </c>
      <c r="G208" s="296">
        <v>485</v>
      </c>
      <c r="H208" s="296">
        <v>465</v>
      </c>
      <c r="I208" s="296">
        <v>465</v>
      </c>
      <c r="J208" s="296">
        <v>465</v>
      </c>
      <c r="K208" s="296">
        <v>465</v>
      </c>
      <c r="L208" s="296">
        <f>465+30</f>
        <v>495</v>
      </c>
      <c r="M208" s="296">
        <f>465+30</f>
        <v>495</v>
      </c>
      <c r="N208" s="410">
        <v>465</v>
      </c>
      <c r="O208" s="409"/>
    </row>
    <row r="209" spans="1:15" s="254" customFormat="1" ht="12.75" customHeight="1" x14ac:dyDescent="0.15">
      <c r="B209" s="239" t="s">
        <v>312</v>
      </c>
      <c r="C209" s="310">
        <f>393.946+68.9+1</f>
        <v>463.846</v>
      </c>
      <c r="D209" s="311">
        <f>423.4+71.6+4.7</f>
        <v>499.7</v>
      </c>
      <c r="E209" s="311">
        <f>380.76+96+3.1</f>
        <v>479.86</v>
      </c>
      <c r="F209" s="311">
        <f>321.5+145.2</f>
        <v>466.7</v>
      </c>
      <c r="G209" s="311">
        <f>295.566+167.2</f>
        <v>462.76599999999996</v>
      </c>
      <c r="H209" s="311">
        <f>220.053+223.5</f>
        <v>443.553</v>
      </c>
      <c r="I209" s="311">
        <f>219.7+241.1</f>
        <v>460.79999999999995</v>
      </c>
      <c r="J209" s="311">
        <f>220.7+252.4</f>
        <v>473.1</v>
      </c>
      <c r="K209" s="311">
        <f>221.4+238.8</f>
        <v>460.20000000000005</v>
      </c>
      <c r="L209" s="311">
        <f>320</f>
        <v>320</v>
      </c>
      <c r="M209" s="311">
        <v>308</v>
      </c>
      <c r="N209" s="416">
        <v>448.279</v>
      </c>
      <c r="O209" s="409"/>
    </row>
    <row r="210" spans="1:15" ht="12.75" customHeight="1" x14ac:dyDescent="0.15">
      <c r="B210" s="239" t="s">
        <v>314</v>
      </c>
      <c r="C210" s="299">
        <f t="shared" ref="C210:N210" si="50">C209/C208</f>
        <v>0.99751827956989247</v>
      </c>
      <c r="D210" s="300">
        <f t="shared" si="50"/>
        <v>1.0746236559139786</v>
      </c>
      <c r="E210" s="300">
        <f t="shared" si="50"/>
        <v>1.0319569892473119</v>
      </c>
      <c r="F210" s="300">
        <f t="shared" si="50"/>
        <v>0.9622680412371134</v>
      </c>
      <c r="G210" s="300">
        <f t="shared" si="50"/>
        <v>0.95415670103092776</v>
      </c>
      <c r="H210" s="300">
        <f t="shared" si="50"/>
        <v>0.95387741935483872</v>
      </c>
      <c r="I210" s="300">
        <f t="shared" si="50"/>
        <v>0.99096774193548376</v>
      </c>
      <c r="J210" s="300">
        <f t="shared" si="50"/>
        <v>1.0174193548387098</v>
      </c>
      <c r="K210" s="300">
        <f t="shared" si="50"/>
        <v>0.98967741935483877</v>
      </c>
      <c r="L210" s="300">
        <f t="shared" si="50"/>
        <v>0.64646464646464652</v>
      </c>
      <c r="M210" s="300">
        <f t="shared" si="50"/>
        <v>0.62222222222222223</v>
      </c>
      <c r="N210" s="413">
        <f t="shared" si="50"/>
        <v>0.96404086021505375</v>
      </c>
      <c r="O210" s="315"/>
    </row>
    <row r="211" spans="1:15" ht="12.75" customHeight="1" x14ac:dyDescent="0.15">
      <c r="O211" s="298"/>
    </row>
    <row r="212" spans="1:15" ht="12.75" customHeight="1" x14ac:dyDescent="0.15">
      <c r="A212" s="239">
        <v>1998</v>
      </c>
      <c r="B212" s="292" t="s">
        <v>313</v>
      </c>
      <c r="C212" s="301">
        <v>465</v>
      </c>
      <c r="D212" s="302">
        <v>465</v>
      </c>
      <c r="E212" s="302">
        <v>465</v>
      </c>
      <c r="F212" s="302">
        <v>465</v>
      </c>
      <c r="G212" s="302">
        <v>465</v>
      </c>
      <c r="H212" s="302">
        <v>465</v>
      </c>
      <c r="I212" s="302">
        <v>465</v>
      </c>
      <c r="J212" s="302">
        <v>465</v>
      </c>
      <c r="K212" s="302">
        <v>465</v>
      </c>
      <c r="L212" s="302">
        <v>465</v>
      </c>
      <c r="M212" s="302">
        <v>465</v>
      </c>
      <c r="N212" s="399">
        <v>465</v>
      </c>
      <c r="O212" s="408"/>
    </row>
    <row r="213" spans="1:15" ht="12.75" customHeight="1" x14ac:dyDescent="0.15">
      <c r="B213" s="239" t="s">
        <v>312</v>
      </c>
      <c r="C213" s="297">
        <v>474.6</v>
      </c>
      <c r="D213" s="298">
        <v>440.1</v>
      </c>
      <c r="E213" s="298">
        <v>376.6</v>
      </c>
      <c r="F213" s="298">
        <v>374.1</v>
      </c>
      <c r="G213" s="298">
        <v>294</v>
      </c>
      <c r="H213" s="298">
        <v>209.7</v>
      </c>
      <c r="I213" s="298">
        <v>221.2</v>
      </c>
      <c r="J213" s="298">
        <v>213</v>
      </c>
      <c r="K213" s="298">
        <v>214.9</v>
      </c>
      <c r="L213" s="298">
        <v>194.7</v>
      </c>
      <c r="M213" s="298">
        <v>340.7</v>
      </c>
      <c r="N213" s="400">
        <v>401.4</v>
      </c>
      <c r="O213" s="409"/>
    </row>
    <row r="214" spans="1:15" ht="12.75" customHeight="1" x14ac:dyDescent="0.15">
      <c r="B214" s="239" t="s">
        <v>314</v>
      </c>
      <c r="C214" s="299">
        <f t="shared" ref="C214:N214" si="51">C213/C212</f>
        <v>1.0206451612903227</v>
      </c>
      <c r="D214" s="300">
        <f t="shared" si="51"/>
        <v>0.94645161290322588</v>
      </c>
      <c r="E214" s="300">
        <f t="shared" si="51"/>
        <v>0.80989247311827961</v>
      </c>
      <c r="F214" s="300">
        <f t="shared" si="51"/>
        <v>0.80451612903225811</v>
      </c>
      <c r="G214" s="300">
        <f t="shared" si="51"/>
        <v>0.63225806451612898</v>
      </c>
      <c r="H214" s="300">
        <f t="shared" si="51"/>
        <v>0.45096774193548383</v>
      </c>
      <c r="I214" s="300">
        <f t="shared" si="51"/>
        <v>0.47569892473118275</v>
      </c>
      <c r="J214" s="300">
        <f t="shared" si="51"/>
        <v>0.45806451612903226</v>
      </c>
      <c r="K214" s="300">
        <f t="shared" si="51"/>
        <v>0.46215053763440861</v>
      </c>
      <c r="L214" s="300">
        <f t="shared" si="51"/>
        <v>0.41870967741935483</v>
      </c>
      <c r="M214" s="300">
        <f t="shared" si="51"/>
        <v>0.73268817204301073</v>
      </c>
      <c r="N214" s="413">
        <f t="shared" si="51"/>
        <v>0.86322580645161284</v>
      </c>
      <c r="O214" s="315"/>
    </row>
    <row r="215" spans="1:15" ht="12.75" customHeight="1" x14ac:dyDescent="0.15">
      <c r="O215" s="298"/>
    </row>
    <row r="216" spans="1:15" ht="12.75" customHeight="1" x14ac:dyDescent="0.15">
      <c r="A216" s="239">
        <v>1997</v>
      </c>
      <c r="B216" s="292" t="s">
        <v>313</v>
      </c>
      <c r="C216" s="301">
        <v>459.6</v>
      </c>
      <c r="D216" s="302">
        <v>465</v>
      </c>
      <c r="E216" s="302">
        <v>465</v>
      </c>
      <c r="F216" s="302">
        <v>465</v>
      </c>
      <c r="G216" s="302">
        <v>536.9</v>
      </c>
      <c r="H216" s="302">
        <v>465</v>
      </c>
      <c r="I216" s="302">
        <v>465</v>
      </c>
      <c r="J216" s="302">
        <v>391.6</v>
      </c>
      <c r="K216" s="302">
        <v>465</v>
      </c>
      <c r="L216" s="302">
        <v>465</v>
      </c>
      <c r="M216" s="302">
        <v>465</v>
      </c>
      <c r="N216" s="399">
        <v>465</v>
      </c>
      <c r="O216" s="408"/>
    </row>
    <row r="217" spans="1:15" ht="12.75" customHeight="1" x14ac:dyDescent="0.15">
      <c r="B217" s="239" t="s">
        <v>312</v>
      </c>
      <c r="C217" s="297">
        <v>217.6</v>
      </c>
      <c r="D217" s="298">
        <v>209.8</v>
      </c>
      <c r="E217" s="298">
        <v>262.3</v>
      </c>
      <c r="F217" s="298">
        <v>249</v>
      </c>
      <c r="G217" s="298">
        <v>273.2</v>
      </c>
      <c r="H217" s="298">
        <v>209.1</v>
      </c>
      <c r="I217" s="298">
        <v>216.4</v>
      </c>
      <c r="J217" s="298">
        <v>219.4</v>
      </c>
      <c r="K217" s="298">
        <v>212.5</v>
      </c>
      <c r="L217" s="298">
        <v>194.7</v>
      </c>
      <c r="M217" s="298">
        <v>225.6</v>
      </c>
      <c r="N217" s="400">
        <v>160.4</v>
      </c>
      <c r="O217" s="409"/>
    </row>
    <row r="218" spans="1:15" ht="12.75" customHeight="1" x14ac:dyDescent="0.15">
      <c r="B218" s="239" t="s">
        <v>314</v>
      </c>
      <c r="C218" s="299">
        <f>C217/C216</f>
        <v>0.47345517841601387</v>
      </c>
      <c r="D218" s="300">
        <f t="shared" ref="D218:N218" si="52">D217/D216</f>
        <v>0.45118279569892478</v>
      </c>
      <c r="E218" s="300">
        <f t="shared" si="52"/>
        <v>0.56408602150537634</v>
      </c>
      <c r="F218" s="300">
        <f t="shared" si="52"/>
        <v>0.53548387096774197</v>
      </c>
      <c r="G218" s="300">
        <f t="shared" si="52"/>
        <v>0.50884708511827159</v>
      </c>
      <c r="H218" s="300">
        <f t="shared" si="52"/>
        <v>0.44967741935483868</v>
      </c>
      <c r="I218" s="300">
        <f t="shared" si="52"/>
        <v>0.46537634408602152</v>
      </c>
      <c r="J218" s="300">
        <f t="shared" si="52"/>
        <v>0.56026557711950964</v>
      </c>
      <c r="K218" s="300">
        <f t="shared" si="52"/>
        <v>0.45698924731182794</v>
      </c>
      <c r="L218" s="300">
        <f t="shared" si="52"/>
        <v>0.41870967741935483</v>
      </c>
      <c r="M218" s="300">
        <f t="shared" si="52"/>
        <v>0.48516129032258065</v>
      </c>
      <c r="N218" s="413">
        <f t="shared" si="52"/>
        <v>0.34494623655913981</v>
      </c>
      <c r="O218" s="315"/>
    </row>
    <row r="219" spans="1:15" ht="12.75" customHeight="1" x14ac:dyDescent="0.15">
      <c r="O219" s="298"/>
    </row>
    <row r="220" spans="1:15" ht="12.75" customHeight="1" x14ac:dyDescent="0.15">
      <c r="O220" s="298"/>
    </row>
    <row r="221" spans="1:15" ht="12.75" customHeight="1" x14ac:dyDescent="0.15">
      <c r="O221" s="298"/>
    </row>
  </sheetData>
  <phoneticPr fontId="6" type="noConversion"/>
  <pageMargins left="0.75" right="0.75" top="1" bottom="1" header="0.5" footer="0.5"/>
  <pageSetup scale="76" fitToHeight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2:X122"/>
  <sheetViews>
    <sheetView topLeftCell="R1" workbookViewId="0">
      <pane ySplit="5" topLeftCell="A14" activePane="bottomLeft" state="frozen"/>
      <selection activeCell="F1" sqref="F1"/>
      <selection pane="bottomLeft" activeCell="U24" sqref="U24:V24"/>
    </sheetView>
  </sheetViews>
  <sheetFormatPr defaultColWidth="21" defaultRowHeight="12.75" customHeight="1" x14ac:dyDescent="0.15"/>
  <cols>
    <col min="1" max="5" width="21" style="239" customWidth="1"/>
    <col min="6" max="6" width="40.3984375" style="239" customWidth="1"/>
    <col min="7" max="16384" width="21" style="239"/>
  </cols>
  <sheetData>
    <row r="2" spans="1:23" ht="12.75" customHeight="1" x14ac:dyDescent="0.15">
      <c r="K2" s="242">
        <v>31</v>
      </c>
      <c r="L2" s="242">
        <v>28</v>
      </c>
      <c r="M2" s="242">
        <v>31</v>
      </c>
      <c r="N2" s="242">
        <v>30</v>
      </c>
      <c r="O2" s="242">
        <v>31</v>
      </c>
      <c r="P2" s="242">
        <v>30</v>
      </c>
      <c r="Q2" s="242">
        <v>31</v>
      </c>
      <c r="R2" s="242">
        <v>31</v>
      </c>
      <c r="S2" s="242">
        <v>30</v>
      </c>
      <c r="T2" s="242">
        <v>31</v>
      </c>
      <c r="U2" s="242">
        <v>30</v>
      </c>
      <c r="V2" s="242">
        <v>31</v>
      </c>
    </row>
    <row r="3" spans="1:23" ht="12.75" customHeight="1" x14ac:dyDescent="0.15"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</row>
    <row r="4" spans="1:23" ht="12.75" customHeight="1" x14ac:dyDescent="0.15"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</row>
    <row r="5" spans="1:23" ht="12.75" customHeight="1" x14ac:dyDescent="0.15">
      <c r="K5" s="242" t="s">
        <v>164</v>
      </c>
      <c r="L5" s="242" t="s">
        <v>165</v>
      </c>
      <c r="M5" s="242" t="s">
        <v>210</v>
      </c>
      <c r="N5" s="242" t="s">
        <v>211</v>
      </c>
      <c r="O5" s="242" t="s">
        <v>168</v>
      </c>
      <c r="P5" s="242" t="s">
        <v>212</v>
      </c>
      <c r="Q5" s="242" t="s">
        <v>213</v>
      </c>
      <c r="R5" s="242" t="s">
        <v>171</v>
      </c>
      <c r="S5" s="242" t="s">
        <v>214</v>
      </c>
      <c r="T5" s="242" t="s">
        <v>173</v>
      </c>
      <c r="U5" s="242" t="s">
        <v>174</v>
      </c>
      <c r="V5" s="242" t="s">
        <v>175</v>
      </c>
      <c r="W5" s="239" t="s">
        <v>176</v>
      </c>
    </row>
    <row r="6" spans="1:23" ht="12.75" customHeight="1" x14ac:dyDescent="0.15">
      <c r="A6" s="239" t="s">
        <v>400</v>
      </c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</row>
    <row r="7" spans="1:23" ht="12.75" customHeight="1" x14ac:dyDescent="0.15">
      <c r="A7" s="239" t="s">
        <v>349</v>
      </c>
    </row>
    <row r="10" spans="1:23" ht="12.75" customHeight="1" x14ac:dyDescent="0.15">
      <c r="A10" s="239" t="s">
        <v>215</v>
      </c>
      <c r="B10" s="239" t="s">
        <v>216</v>
      </c>
      <c r="C10" s="239" t="s">
        <v>227</v>
      </c>
      <c r="D10" s="239" t="s">
        <v>217</v>
      </c>
      <c r="E10" s="243" t="s">
        <v>206</v>
      </c>
      <c r="F10" s="239" t="s">
        <v>207</v>
      </c>
      <c r="G10" s="239" t="s">
        <v>208</v>
      </c>
      <c r="H10" s="243" t="s">
        <v>209</v>
      </c>
      <c r="I10" s="242" t="s">
        <v>222</v>
      </c>
      <c r="J10" s="239" t="s">
        <v>157</v>
      </c>
    </row>
    <row r="11" spans="1:23" ht="12.75" customHeight="1" x14ac:dyDescent="0.15">
      <c r="E11" s="243"/>
      <c r="H11" s="243"/>
      <c r="I11" s="242"/>
    </row>
    <row r="12" spans="1:23" ht="12.75" customHeight="1" x14ac:dyDescent="0.15">
      <c r="A12" s="239" t="s">
        <v>218</v>
      </c>
      <c r="B12" s="239" t="s">
        <v>219</v>
      </c>
      <c r="C12" s="239" t="s">
        <v>228</v>
      </c>
      <c r="D12" s="239" t="s">
        <v>220</v>
      </c>
      <c r="E12" s="244">
        <v>26751</v>
      </c>
      <c r="F12" s="239" t="s">
        <v>221</v>
      </c>
      <c r="H12" s="253">
        <v>36922</v>
      </c>
      <c r="I12" s="242">
        <v>20000</v>
      </c>
      <c r="J12" s="239">
        <f>0.1064+0.0246</f>
        <v>0.13100000000000001</v>
      </c>
      <c r="L12" s="242">
        <f t="shared" ref="L12:V12" si="0">$I12*$J12*L$2</f>
        <v>73360</v>
      </c>
      <c r="M12" s="242">
        <f t="shared" si="0"/>
        <v>81220</v>
      </c>
      <c r="N12" s="242">
        <f t="shared" si="0"/>
        <v>78600</v>
      </c>
      <c r="O12" s="242">
        <f t="shared" si="0"/>
        <v>81220</v>
      </c>
      <c r="P12" s="242">
        <f t="shared" si="0"/>
        <v>78600</v>
      </c>
      <c r="Q12" s="242">
        <f t="shared" si="0"/>
        <v>81220</v>
      </c>
      <c r="R12" s="242">
        <f t="shared" si="0"/>
        <v>81220</v>
      </c>
      <c r="S12" s="242">
        <f t="shared" si="0"/>
        <v>78600</v>
      </c>
      <c r="T12" s="242">
        <f t="shared" si="0"/>
        <v>81220</v>
      </c>
      <c r="U12" s="242">
        <f t="shared" si="0"/>
        <v>78600</v>
      </c>
      <c r="V12" s="242">
        <f t="shared" si="0"/>
        <v>81220</v>
      </c>
      <c r="W12" s="242">
        <f>SUM(L12:V12)</f>
        <v>875080</v>
      </c>
    </row>
    <row r="13" spans="1:23" ht="12.75" customHeight="1" x14ac:dyDescent="0.15">
      <c r="A13" s="239" t="s">
        <v>218</v>
      </c>
      <c r="B13" s="239" t="s">
        <v>219</v>
      </c>
      <c r="C13" s="239" t="s">
        <v>228</v>
      </c>
      <c r="D13" s="239" t="s">
        <v>220</v>
      </c>
      <c r="E13" s="244">
        <v>26490</v>
      </c>
      <c r="F13" s="239" t="s">
        <v>230</v>
      </c>
      <c r="G13" s="240">
        <v>36100</v>
      </c>
      <c r="H13" s="253">
        <v>37195</v>
      </c>
      <c r="I13" s="242">
        <v>70000</v>
      </c>
      <c r="J13" s="239">
        <f>0.1154+0.0246</f>
        <v>0.14000000000000001</v>
      </c>
      <c r="L13" s="242"/>
      <c r="M13" s="242"/>
      <c r="N13" s="242"/>
      <c r="O13" s="242"/>
      <c r="P13" s="242"/>
      <c r="Q13" s="242"/>
      <c r="R13" s="242"/>
      <c r="S13" s="242"/>
      <c r="T13" s="242"/>
      <c r="U13" s="242">
        <f>$I13*$J13*U$2</f>
        <v>294000.00000000006</v>
      </c>
      <c r="V13" s="242">
        <f>$I13*$J13*V$2</f>
        <v>303800.00000000006</v>
      </c>
      <c r="W13" s="242">
        <f>SUM(L13:V13)</f>
        <v>597800.00000000012</v>
      </c>
    </row>
    <row r="14" spans="1:23" ht="12.75" customHeight="1" x14ac:dyDescent="0.15">
      <c r="A14" s="239" t="s">
        <v>218</v>
      </c>
      <c r="B14" s="239" t="s">
        <v>219</v>
      </c>
      <c r="C14" s="239" t="s">
        <v>228</v>
      </c>
      <c r="D14" s="239" t="s">
        <v>220</v>
      </c>
      <c r="E14" s="243">
        <v>26683</v>
      </c>
      <c r="F14" s="239" t="s">
        <v>235</v>
      </c>
      <c r="G14" s="240">
        <v>36220</v>
      </c>
      <c r="H14" s="253">
        <v>36981</v>
      </c>
      <c r="I14" s="246">
        <v>8000</v>
      </c>
      <c r="J14" s="239">
        <f>0.1274+0.0246</f>
        <v>0.15200000000000002</v>
      </c>
      <c r="L14" s="242"/>
      <c r="M14" s="242"/>
      <c r="N14" s="242">
        <f t="shared" ref="N14:T14" si="1">$I14*$J14*N$2</f>
        <v>36480.000000000007</v>
      </c>
      <c r="O14" s="242">
        <f t="shared" si="1"/>
        <v>37696.000000000007</v>
      </c>
      <c r="P14" s="242">
        <f t="shared" si="1"/>
        <v>36480.000000000007</v>
      </c>
      <c r="Q14" s="242">
        <f t="shared" si="1"/>
        <v>37696.000000000007</v>
      </c>
      <c r="R14" s="242">
        <f t="shared" si="1"/>
        <v>37696.000000000007</v>
      </c>
      <c r="S14" s="242">
        <f t="shared" si="1"/>
        <v>36480.000000000007</v>
      </c>
      <c r="T14" s="242">
        <f t="shared" si="1"/>
        <v>37696.000000000007</v>
      </c>
      <c r="U14" s="242">
        <f>$I14*$J14*U$2</f>
        <v>36480.000000000007</v>
      </c>
      <c r="V14" s="242">
        <f>$I14*$J14*V$2</f>
        <v>37696.000000000007</v>
      </c>
      <c r="W14" s="242">
        <f>SUM(L14:V14)</f>
        <v>334400.00000000006</v>
      </c>
    </row>
    <row r="15" spans="1:23" ht="12.75" customHeight="1" x14ac:dyDescent="0.15">
      <c r="E15" s="243"/>
      <c r="H15" s="253"/>
      <c r="I15" s="242"/>
      <c r="L15" s="242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2"/>
    </row>
    <row r="16" spans="1:23" ht="12.75" customHeight="1" x14ac:dyDescent="0.15">
      <c r="E16" s="243"/>
      <c r="H16" s="253"/>
      <c r="I16" s="246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</row>
    <row r="17" spans="1:23" ht="12.75" customHeight="1" x14ac:dyDescent="0.15">
      <c r="E17" s="243"/>
      <c r="H17" s="253"/>
      <c r="I17" s="242"/>
      <c r="L17" s="242">
        <f>SUM(L12:L16)</f>
        <v>73360</v>
      </c>
      <c r="M17" s="242">
        <f t="shared" ref="M17:V17" si="2">SUM(M12:M16)</f>
        <v>81220</v>
      </c>
      <c r="N17" s="242">
        <f t="shared" si="2"/>
        <v>115080</v>
      </c>
      <c r="O17" s="242">
        <f t="shared" si="2"/>
        <v>118916</v>
      </c>
      <c r="P17" s="242">
        <f t="shared" si="2"/>
        <v>115080</v>
      </c>
      <c r="Q17" s="242">
        <f t="shared" si="2"/>
        <v>118916</v>
      </c>
      <c r="R17" s="242">
        <f t="shared" si="2"/>
        <v>118916</v>
      </c>
      <c r="S17" s="242">
        <f t="shared" si="2"/>
        <v>115080</v>
      </c>
      <c r="T17" s="242">
        <f t="shared" si="2"/>
        <v>118916</v>
      </c>
      <c r="U17" s="242">
        <f t="shared" si="2"/>
        <v>409080.00000000006</v>
      </c>
      <c r="V17" s="242">
        <f t="shared" si="2"/>
        <v>422716.00000000006</v>
      </c>
      <c r="W17" s="242">
        <f>SUM(W12:W16)</f>
        <v>1807280</v>
      </c>
    </row>
    <row r="18" spans="1:23" ht="12.75" customHeight="1" x14ac:dyDescent="0.15">
      <c r="E18" s="243"/>
      <c r="H18" s="253"/>
      <c r="I18" s="242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</row>
    <row r="19" spans="1:23" ht="12.75" customHeight="1" x14ac:dyDescent="0.2">
      <c r="A19" s="239" t="s">
        <v>163</v>
      </c>
      <c r="B19" s="239" t="s">
        <v>282</v>
      </c>
      <c r="C19" s="239" t="s">
        <v>228</v>
      </c>
      <c r="D19" s="239" t="s">
        <v>220</v>
      </c>
      <c r="E19" s="322">
        <v>24194</v>
      </c>
      <c r="F19" s="266" t="s">
        <v>273</v>
      </c>
      <c r="H19" s="269">
        <v>37164</v>
      </c>
      <c r="I19" s="273">
        <v>25000</v>
      </c>
      <c r="J19" s="239">
        <f>0.1007+0.0093</f>
        <v>0.11</v>
      </c>
      <c r="L19" s="242"/>
      <c r="M19" s="242"/>
      <c r="N19" s="242"/>
      <c r="O19" s="242"/>
      <c r="P19" s="242"/>
      <c r="Q19" s="242"/>
      <c r="R19" s="242"/>
      <c r="S19" s="242"/>
      <c r="T19" s="242">
        <f>10000*$J19*T$2</f>
        <v>34100</v>
      </c>
      <c r="U19" s="242">
        <f>40000*$J19*U$2</f>
        <v>132000</v>
      </c>
      <c r="V19" s="242">
        <f>40000*$J19*V$2</f>
        <v>136400</v>
      </c>
      <c r="W19" s="242">
        <f>SUM(L19:V19)</f>
        <v>302500</v>
      </c>
    </row>
    <row r="20" spans="1:23" ht="12.75" customHeight="1" x14ac:dyDescent="0.2">
      <c r="E20" s="322"/>
      <c r="F20" s="266"/>
      <c r="H20" s="269"/>
      <c r="I20" s="273"/>
      <c r="L20" s="242"/>
      <c r="M20" s="242"/>
      <c r="N20" s="242"/>
      <c r="O20" s="242"/>
      <c r="P20" s="242"/>
      <c r="Q20" s="242"/>
      <c r="R20" s="242"/>
      <c r="S20" s="242"/>
      <c r="T20" s="242"/>
      <c r="U20" s="242"/>
      <c r="V20" s="242"/>
      <c r="W20" s="242"/>
    </row>
    <row r="21" spans="1:23" ht="12.75" customHeight="1" x14ac:dyDescent="0.2">
      <c r="A21" s="239" t="s">
        <v>163</v>
      </c>
      <c r="B21" s="239" t="s">
        <v>282</v>
      </c>
      <c r="C21" s="239" t="s">
        <v>228</v>
      </c>
      <c r="D21" s="239" t="s">
        <v>220</v>
      </c>
      <c r="E21" s="323">
        <v>24690</v>
      </c>
      <c r="F21" s="267" t="s">
        <v>277</v>
      </c>
      <c r="H21" s="268">
        <v>36981</v>
      </c>
      <c r="I21" s="275">
        <v>15000</v>
      </c>
      <c r="J21" s="239">
        <f>0.0607+0.0093</f>
        <v>6.9999999999999993E-2</v>
      </c>
      <c r="L21" s="242"/>
      <c r="M21" s="242"/>
      <c r="N21" s="242">
        <f t="shared" ref="K21:V36" si="3">$I21*$J21*N$2</f>
        <v>31500</v>
      </c>
      <c r="O21" s="242">
        <f t="shared" si="3"/>
        <v>32550</v>
      </c>
      <c r="P21" s="242">
        <f t="shared" si="3"/>
        <v>31500</v>
      </c>
      <c r="Q21" s="242">
        <f t="shared" si="3"/>
        <v>32550</v>
      </c>
      <c r="R21" s="242">
        <f t="shared" si="3"/>
        <v>32550</v>
      </c>
      <c r="S21" s="242">
        <f t="shared" si="3"/>
        <v>31500</v>
      </c>
      <c r="T21" s="242">
        <f t="shared" si="3"/>
        <v>32550</v>
      </c>
      <c r="U21" s="242">
        <f t="shared" si="3"/>
        <v>31500</v>
      </c>
      <c r="V21" s="242">
        <f>$I21*$J21*V$2</f>
        <v>32550</v>
      </c>
      <c r="W21" s="242">
        <f>SUM(L21:V21)</f>
        <v>288750</v>
      </c>
    </row>
    <row r="22" spans="1:23" ht="12.75" customHeight="1" x14ac:dyDescent="0.2">
      <c r="A22" s="239" t="s">
        <v>163</v>
      </c>
      <c r="B22" s="239" t="s">
        <v>282</v>
      </c>
      <c r="C22" s="239" t="s">
        <v>228</v>
      </c>
      <c r="D22" s="239" t="s">
        <v>220</v>
      </c>
      <c r="E22" s="323">
        <v>24754</v>
      </c>
      <c r="F22" s="267" t="s">
        <v>278</v>
      </c>
      <c r="H22" s="271">
        <v>37011</v>
      </c>
      <c r="I22" s="275">
        <v>1000</v>
      </c>
      <c r="J22" s="239">
        <f>0.0907+0.0093</f>
        <v>0.1</v>
      </c>
      <c r="L22" s="242"/>
      <c r="M22" s="242"/>
      <c r="N22" s="242"/>
      <c r="O22" s="242">
        <f t="shared" si="3"/>
        <v>3100</v>
      </c>
      <c r="P22" s="242">
        <f t="shared" si="3"/>
        <v>3000</v>
      </c>
      <c r="Q22" s="242">
        <f t="shared" si="3"/>
        <v>3100</v>
      </c>
      <c r="R22" s="242">
        <f t="shared" si="3"/>
        <v>3100</v>
      </c>
      <c r="S22" s="242">
        <f t="shared" si="3"/>
        <v>3000</v>
      </c>
      <c r="T22" s="242">
        <f t="shared" si="3"/>
        <v>3100</v>
      </c>
      <c r="U22" s="242">
        <f t="shared" si="3"/>
        <v>3000</v>
      </c>
      <c r="V22" s="242">
        <f t="shared" si="3"/>
        <v>3100</v>
      </c>
      <c r="W22" s="242">
        <f>SUM(L22:V22)</f>
        <v>24500</v>
      </c>
    </row>
    <row r="23" spans="1:23" ht="12.75" customHeight="1" x14ac:dyDescent="0.2">
      <c r="A23" s="239" t="s">
        <v>163</v>
      </c>
      <c r="B23" s="239" t="s">
        <v>282</v>
      </c>
      <c r="C23" s="239" t="s">
        <v>228</v>
      </c>
      <c r="D23" s="239" t="s">
        <v>220</v>
      </c>
      <c r="E23" s="323" t="s">
        <v>280</v>
      </c>
      <c r="F23" s="267" t="s">
        <v>236</v>
      </c>
      <c r="H23" s="268">
        <v>36950</v>
      </c>
      <c r="I23" s="275">
        <v>10000</v>
      </c>
      <c r="J23" s="239">
        <f>0.0107+0.0093</f>
        <v>1.9999999999999997E-2</v>
      </c>
      <c r="L23" s="242"/>
      <c r="M23" s="242">
        <f t="shared" si="3"/>
        <v>6199.9999999999991</v>
      </c>
      <c r="N23" s="242">
        <f t="shared" si="3"/>
        <v>5999.9999999999991</v>
      </c>
      <c r="O23" s="242">
        <f t="shared" si="3"/>
        <v>6199.9999999999991</v>
      </c>
      <c r="P23" s="242">
        <f t="shared" si="3"/>
        <v>5999.9999999999991</v>
      </c>
      <c r="Q23" s="242">
        <f t="shared" si="3"/>
        <v>6199.9999999999991</v>
      </c>
      <c r="R23" s="242">
        <f t="shared" si="3"/>
        <v>6199.9999999999991</v>
      </c>
      <c r="S23" s="242">
        <f t="shared" si="3"/>
        <v>5999.9999999999991</v>
      </c>
      <c r="T23" s="242">
        <f t="shared" si="3"/>
        <v>6199.9999999999991</v>
      </c>
      <c r="U23" s="242">
        <f t="shared" si="3"/>
        <v>5999.9999999999991</v>
      </c>
      <c r="V23" s="242">
        <f t="shared" si="3"/>
        <v>6199.9999999999991</v>
      </c>
      <c r="W23" s="242">
        <f>SUM(L23:V23)</f>
        <v>61199.999999999993</v>
      </c>
    </row>
    <row r="24" spans="1:23" ht="12.75" customHeight="1" x14ac:dyDescent="0.2">
      <c r="A24" s="239" t="s">
        <v>163</v>
      </c>
      <c r="B24" s="239" t="s">
        <v>282</v>
      </c>
      <c r="C24" s="239" t="s">
        <v>228</v>
      </c>
      <c r="D24" s="239" t="s">
        <v>220</v>
      </c>
      <c r="E24" s="323">
        <v>27161</v>
      </c>
      <c r="F24" s="267" t="s">
        <v>276</v>
      </c>
      <c r="H24" s="268">
        <v>37195</v>
      </c>
      <c r="I24" s="274">
        <v>400000</v>
      </c>
      <c r="J24" s="239">
        <v>7.4999999999999997E-3</v>
      </c>
      <c r="L24" s="242"/>
      <c r="M24" s="242"/>
      <c r="N24" s="242"/>
      <c r="O24" s="242"/>
      <c r="P24" s="242"/>
      <c r="Q24" s="242"/>
      <c r="R24" s="242"/>
      <c r="S24" s="242"/>
      <c r="T24" s="242"/>
      <c r="U24" s="242">
        <f t="shared" si="3"/>
        <v>90000</v>
      </c>
      <c r="V24" s="242">
        <f t="shared" si="3"/>
        <v>93000</v>
      </c>
      <c r="W24" s="242">
        <f>SUM(L24:V24)</f>
        <v>183000</v>
      </c>
    </row>
    <row r="25" spans="1:23" ht="12.75" customHeight="1" x14ac:dyDescent="0.2">
      <c r="A25" s="239" t="s">
        <v>163</v>
      </c>
      <c r="B25" s="239" t="s">
        <v>282</v>
      </c>
      <c r="C25" s="239" t="s">
        <v>228</v>
      </c>
      <c r="D25" s="239" t="s">
        <v>220</v>
      </c>
      <c r="E25" s="323" t="s">
        <v>281</v>
      </c>
      <c r="F25" s="267" t="s">
        <v>230</v>
      </c>
      <c r="H25" s="268">
        <v>37195</v>
      </c>
      <c r="I25" s="376">
        <v>40000</v>
      </c>
      <c r="J25" s="239">
        <v>0.06</v>
      </c>
      <c r="L25" s="245"/>
      <c r="M25" s="245"/>
      <c r="N25" s="245"/>
      <c r="O25" s="245"/>
      <c r="P25" s="245"/>
      <c r="Q25" s="245"/>
      <c r="R25" s="245"/>
      <c r="S25" s="245"/>
      <c r="T25" s="245"/>
      <c r="U25" s="245">
        <f t="shared" si="3"/>
        <v>72000</v>
      </c>
      <c r="V25" s="245">
        <f t="shared" si="3"/>
        <v>74400</v>
      </c>
      <c r="W25" s="245">
        <f>SUM(L25:V25)</f>
        <v>146400</v>
      </c>
    </row>
    <row r="26" spans="1:23" ht="12.75" customHeight="1" x14ac:dyDescent="0.2">
      <c r="E26" s="323"/>
      <c r="F26" s="267"/>
      <c r="H26" s="268"/>
      <c r="I26" s="274">
        <f>SUM(I19:I25)</f>
        <v>491000</v>
      </c>
      <c r="L26" s="242">
        <f>SUM(L19:L25)</f>
        <v>0</v>
      </c>
      <c r="M26" s="242">
        <f t="shared" ref="M26:V26" si="4">SUM(M19:M25)</f>
        <v>6199.9999999999991</v>
      </c>
      <c r="N26" s="242">
        <f t="shared" si="4"/>
        <v>37500</v>
      </c>
      <c r="O26" s="242">
        <f t="shared" si="4"/>
        <v>41850</v>
      </c>
      <c r="P26" s="242">
        <f t="shared" si="4"/>
        <v>40500</v>
      </c>
      <c r="Q26" s="242">
        <f t="shared" si="4"/>
        <v>41850</v>
      </c>
      <c r="R26" s="242">
        <f t="shared" si="4"/>
        <v>41850</v>
      </c>
      <c r="S26" s="242">
        <f t="shared" si="4"/>
        <v>40500</v>
      </c>
      <c r="T26" s="242">
        <f t="shared" si="4"/>
        <v>75950</v>
      </c>
      <c r="U26" s="242">
        <f t="shared" si="4"/>
        <v>334500</v>
      </c>
      <c r="V26" s="242">
        <f t="shared" si="4"/>
        <v>345650</v>
      </c>
      <c r="W26" s="242">
        <f>SUM(W19:W25)</f>
        <v>1006350</v>
      </c>
    </row>
    <row r="27" spans="1:23" ht="12.75" customHeight="1" x14ac:dyDescent="0.2">
      <c r="E27" s="323"/>
      <c r="F27" s="267"/>
      <c r="H27" s="268"/>
      <c r="I27" s="274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</row>
    <row r="28" spans="1:23" ht="12.75" customHeight="1" x14ac:dyDescent="0.15">
      <c r="A28" s="239" t="s">
        <v>261</v>
      </c>
      <c r="B28" s="239" t="s">
        <v>268</v>
      </c>
      <c r="C28" s="239" t="s">
        <v>228</v>
      </c>
      <c r="D28" s="239" t="s">
        <v>220</v>
      </c>
      <c r="E28" s="244">
        <v>25067</v>
      </c>
      <c r="F28" s="261" t="s">
        <v>262</v>
      </c>
      <c r="H28" s="253">
        <v>37225</v>
      </c>
      <c r="I28" s="242">
        <v>15000</v>
      </c>
      <c r="J28" s="239">
        <v>4.4999999999999998E-2</v>
      </c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>
        <f t="shared" si="3"/>
        <v>20925</v>
      </c>
      <c r="W28" s="242">
        <f>SUM(L28:V28)</f>
        <v>20925</v>
      </c>
    </row>
    <row r="29" spans="1:23" ht="12.75" customHeight="1" x14ac:dyDescent="0.15">
      <c r="E29" s="255"/>
      <c r="F29" s="262"/>
      <c r="H29" s="253"/>
      <c r="I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</row>
    <row r="30" spans="1:23" ht="12.75" customHeight="1" x14ac:dyDescent="0.15">
      <c r="A30" s="239" t="s">
        <v>261</v>
      </c>
      <c r="B30" s="239" t="s">
        <v>269</v>
      </c>
      <c r="C30" s="239" t="s">
        <v>228</v>
      </c>
      <c r="D30" s="239" t="s">
        <v>220</v>
      </c>
      <c r="E30" s="255">
        <v>24926</v>
      </c>
      <c r="F30" s="262" t="s">
        <v>271</v>
      </c>
      <c r="H30" s="253">
        <v>36922</v>
      </c>
      <c r="I30" s="242">
        <v>30000</v>
      </c>
      <c r="J30" s="239">
        <f>0.0567+0.0033</f>
        <v>0.06</v>
      </c>
      <c r="L30" s="242">
        <f t="shared" si="3"/>
        <v>50400</v>
      </c>
      <c r="M30" s="242">
        <f t="shared" si="3"/>
        <v>55800</v>
      </c>
      <c r="N30" s="242">
        <f t="shared" si="3"/>
        <v>54000</v>
      </c>
      <c r="O30" s="242">
        <f t="shared" si="3"/>
        <v>55800</v>
      </c>
      <c r="P30" s="242">
        <f t="shared" si="3"/>
        <v>54000</v>
      </c>
      <c r="Q30" s="242">
        <f t="shared" si="3"/>
        <v>55800</v>
      </c>
      <c r="R30" s="242">
        <f t="shared" si="3"/>
        <v>55800</v>
      </c>
      <c r="S30" s="242">
        <f t="shared" si="3"/>
        <v>54000</v>
      </c>
      <c r="T30" s="242">
        <f t="shared" si="3"/>
        <v>55800</v>
      </c>
      <c r="U30" s="242">
        <f t="shared" si="3"/>
        <v>54000</v>
      </c>
      <c r="V30" s="242">
        <f t="shared" si="3"/>
        <v>55800</v>
      </c>
      <c r="W30" s="242">
        <f>SUM(K30:V30)</f>
        <v>601200</v>
      </c>
    </row>
    <row r="31" spans="1:23" ht="12.75" customHeight="1" x14ac:dyDescent="0.2">
      <c r="A31" s="239" t="s">
        <v>261</v>
      </c>
      <c r="B31" s="239" t="s">
        <v>268</v>
      </c>
      <c r="C31" s="239" t="s">
        <v>228</v>
      </c>
      <c r="D31" s="239" t="s">
        <v>220</v>
      </c>
      <c r="E31" s="323">
        <v>25597</v>
      </c>
      <c r="F31" s="267" t="s">
        <v>279</v>
      </c>
      <c r="G31" s="268">
        <v>35704</v>
      </c>
      <c r="H31" s="268">
        <v>36891</v>
      </c>
      <c r="I31" s="274">
        <v>30000</v>
      </c>
      <c r="J31" s="239">
        <v>0.03</v>
      </c>
      <c r="K31" s="242">
        <f t="shared" si="3"/>
        <v>27900</v>
      </c>
      <c r="L31" s="242">
        <f t="shared" si="3"/>
        <v>25200</v>
      </c>
      <c r="M31" s="242">
        <f t="shared" si="3"/>
        <v>27900</v>
      </c>
      <c r="N31" s="242">
        <f t="shared" si="3"/>
        <v>27000</v>
      </c>
      <c r="O31" s="242">
        <f t="shared" si="3"/>
        <v>27900</v>
      </c>
      <c r="P31" s="242">
        <f t="shared" si="3"/>
        <v>27000</v>
      </c>
      <c r="Q31" s="242">
        <f t="shared" si="3"/>
        <v>27900</v>
      </c>
      <c r="R31" s="242">
        <f t="shared" si="3"/>
        <v>27900</v>
      </c>
      <c r="S31" s="242">
        <f t="shared" si="3"/>
        <v>27000</v>
      </c>
      <c r="T31" s="242">
        <f t="shared" si="3"/>
        <v>27900</v>
      </c>
      <c r="U31" s="242">
        <f t="shared" si="3"/>
        <v>27000</v>
      </c>
      <c r="V31" s="242">
        <f t="shared" si="3"/>
        <v>27900</v>
      </c>
      <c r="W31" s="242">
        <f t="shared" ref="W31:W36" si="5">SUM(K31:V31)</f>
        <v>328500</v>
      </c>
    </row>
    <row r="32" spans="1:23" ht="12.75" customHeight="1" x14ac:dyDescent="0.2">
      <c r="A32" s="239" t="s">
        <v>261</v>
      </c>
      <c r="B32" s="239" t="s">
        <v>268</v>
      </c>
      <c r="C32" s="239" t="s">
        <v>228</v>
      </c>
      <c r="D32" s="239" t="s">
        <v>220</v>
      </c>
      <c r="E32" s="323">
        <v>26661</v>
      </c>
      <c r="F32" s="267" t="s">
        <v>316</v>
      </c>
      <c r="G32" s="268">
        <v>36526</v>
      </c>
      <c r="H32" s="268">
        <v>36891</v>
      </c>
      <c r="I32" s="274">
        <v>18000</v>
      </c>
      <c r="J32" s="239">
        <v>0.03</v>
      </c>
      <c r="K32" s="246">
        <f t="shared" si="3"/>
        <v>16740</v>
      </c>
      <c r="L32" s="242">
        <f t="shared" si="3"/>
        <v>15120</v>
      </c>
      <c r="M32" s="242">
        <f t="shared" si="3"/>
        <v>16740</v>
      </c>
      <c r="N32" s="242">
        <f t="shared" si="3"/>
        <v>16200</v>
      </c>
      <c r="O32" s="242">
        <f t="shared" si="3"/>
        <v>16740</v>
      </c>
      <c r="P32" s="242">
        <f t="shared" si="3"/>
        <v>16200</v>
      </c>
      <c r="Q32" s="242">
        <f t="shared" si="3"/>
        <v>16740</v>
      </c>
      <c r="R32" s="242">
        <f t="shared" si="3"/>
        <v>16740</v>
      </c>
      <c r="S32" s="242">
        <f t="shared" si="3"/>
        <v>16200</v>
      </c>
      <c r="T32" s="242">
        <f t="shared" si="3"/>
        <v>16740</v>
      </c>
      <c r="U32" s="242">
        <f t="shared" si="3"/>
        <v>16200</v>
      </c>
      <c r="V32" s="242">
        <f t="shared" si="3"/>
        <v>16740</v>
      </c>
      <c r="W32" s="242">
        <f t="shared" si="5"/>
        <v>197100</v>
      </c>
    </row>
    <row r="33" spans="1:24" ht="12.75" customHeight="1" x14ac:dyDescent="0.2">
      <c r="A33" s="239" t="s">
        <v>261</v>
      </c>
      <c r="B33" s="239" t="s">
        <v>269</v>
      </c>
      <c r="C33" s="239" t="s">
        <v>228</v>
      </c>
      <c r="D33" s="239" t="s">
        <v>220</v>
      </c>
      <c r="E33" s="323" t="s">
        <v>317</v>
      </c>
      <c r="F33" s="267" t="s">
        <v>318</v>
      </c>
      <c r="G33" s="268">
        <v>36526</v>
      </c>
      <c r="H33" s="268">
        <v>36891</v>
      </c>
      <c r="I33" s="274">
        <v>13500</v>
      </c>
      <c r="J33" s="239">
        <v>4.4999999999999998E-2</v>
      </c>
      <c r="K33" s="246">
        <f t="shared" si="3"/>
        <v>18832.5</v>
      </c>
      <c r="L33" s="242">
        <f t="shared" si="3"/>
        <v>17010</v>
      </c>
      <c r="M33" s="242">
        <f t="shared" si="3"/>
        <v>18832.5</v>
      </c>
      <c r="N33" s="242">
        <f t="shared" si="3"/>
        <v>18225</v>
      </c>
      <c r="O33" s="242">
        <f t="shared" si="3"/>
        <v>18832.5</v>
      </c>
      <c r="P33" s="242">
        <f t="shared" si="3"/>
        <v>18225</v>
      </c>
      <c r="Q33" s="242">
        <f t="shared" si="3"/>
        <v>18832.5</v>
      </c>
      <c r="R33" s="242">
        <f t="shared" si="3"/>
        <v>18832.5</v>
      </c>
      <c r="S33" s="242">
        <f t="shared" si="3"/>
        <v>18225</v>
      </c>
      <c r="T33" s="242">
        <f t="shared" si="3"/>
        <v>18832.5</v>
      </c>
      <c r="U33" s="242">
        <f t="shared" si="3"/>
        <v>18225</v>
      </c>
      <c r="V33" s="242">
        <f t="shared" si="3"/>
        <v>18832.5</v>
      </c>
      <c r="W33" s="242">
        <f t="shared" si="5"/>
        <v>221737.5</v>
      </c>
    </row>
    <row r="34" spans="1:24" ht="12.75" customHeight="1" x14ac:dyDescent="0.2">
      <c r="A34" s="239" t="s">
        <v>261</v>
      </c>
      <c r="B34" s="239" t="s">
        <v>269</v>
      </c>
      <c r="C34" s="239" t="s">
        <v>228</v>
      </c>
      <c r="D34" s="239" t="s">
        <v>220</v>
      </c>
      <c r="E34" s="323">
        <v>27047</v>
      </c>
      <c r="F34" s="267" t="s">
        <v>319</v>
      </c>
      <c r="G34" s="268">
        <v>36557</v>
      </c>
      <c r="H34" s="268">
        <v>36891</v>
      </c>
      <c r="I34" s="274">
        <v>70000</v>
      </c>
      <c r="J34" s="239">
        <v>0.02</v>
      </c>
      <c r="K34" s="246">
        <f t="shared" si="3"/>
        <v>43400</v>
      </c>
      <c r="L34" s="242">
        <f t="shared" si="3"/>
        <v>39200</v>
      </c>
      <c r="M34" s="242">
        <f t="shared" si="3"/>
        <v>43400</v>
      </c>
      <c r="N34" s="242">
        <f t="shared" si="3"/>
        <v>42000</v>
      </c>
      <c r="O34" s="242">
        <f t="shared" si="3"/>
        <v>43400</v>
      </c>
      <c r="P34" s="242">
        <f t="shared" si="3"/>
        <v>42000</v>
      </c>
      <c r="Q34" s="242">
        <f t="shared" si="3"/>
        <v>43400</v>
      </c>
      <c r="R34" s="242">
        <f t="shared" si="3"/>
        <v>43400</v>
      </c>
      <c r="S34" s="242">
        <f t="shared" si="3"/>
        <v>42000</v>
      </c>
      <c r="T34" s="242">
        <f t="shared" si="3"/>
        <v>43400</v>
      </c>
      <c r="U34" s="242">
        <f t="shared" si="3"/>
        <v>42000</v>
      </c>
      <c r="V34" s="242">
        <f t="shared" si="3"/>
        <v>43400</v>
      </c>
      <c r="W34" s="242">
        <f t="shared" si="5"/>
        <v>511000</v>
      </c>
    </row>
    <row r="35" spans="1:24" ht="12.75" customHeight="1" x14ac:dyDescent="0.2">
      <c r="A35" s="239" t="s">
        <v>261</v>
      </c>
      <c r="B35" s="239" t="s">
        <v>269</v>
      </c>
      <c r="C35" s="239" t="s">
        <v>228</v>
      </c>
      <c r="D35" s="239" t="s">
        <v>220</v>
      </c>
      <c r="E35" s="323">
        <v>27021</v>
      </c>
      <c r="F35" s="267" t="s">
        <v>320</v>
      </c>
      <c r="G35" s="268"/>
      <c r="H35" s="268"/>
      <c r="I35" s="274">
        <v>15000</v>
      </c>
      <c r="J35" s="239">
        <v>0.02</v>
      </c>
      <c r="K35" s="246">
        <f t="shared" si="3"/>
        <v>9300</v>
      </c>
      <c r="L35" s="242">
        <f t="shared" si="3"/>
        <v>8400</v>
      </c>
      <c r="M35" s="242">
        <f t="shared" si="3"/>
        <v>9300</v>
      </c>
      <c r="N35" s="242">
        <f t="shared" si="3"/>
        <v>9000</v>
      </c>
      <c r="O35" s="242">
        <f t="shared" si="3"/>
        <v>9300</v>
      </c>
      <c r="P35" s="242">
        <f t="shared" si="3"/>
        <v>9000</v>
      </c>
      <c r="Q35" s="242">
        <f t="shared" si="3"/>
        <v>9300</v>
      </c>
      <c r="R35" s="242">
        <f t="shared" si="3"/>
        <v>9300</v>
      </c>
      <c r="S35" s="242">
        <f t="shared" si="3"/>
        <v>9000</v>
      </c>
      <c r="T35" s="242">
        <f t="shared" si="3"/>
        <v>9300</v>
      </c>
      <c r="U35" s="242">
        <f t="shared" si="3"/>
        <v>9000</v>
      </c>
      <c r="V35" s="242">
        <f t="shared" si="3"/>
        <v>9300</v>
      </c>
      <c r="W35" s="242">
        <f t="shared" si="5"/>
        <v>109500</v>
      </c>
    </row>
    <row r="36" spans="1:24" ht="12.75" customHeight="1" x14ac:dyDescent="0.2">
      <c r="A36" s="239" t="s">
        <v>261</v>
      </c>
      <c r="B36" s="239" t="s">
        <v>269</v>
      </c>
      <c r="C36" s="239" t="s">
        <v>228</v>
      </c>
      <c r="D36" s="239" t="s">
        <v>220</v>
      </c>
      <c r="E36" s="323">
        <v>27017</v>
      </c>
      <c r="F36" s="267" t="s">
        <v>320</v>
      </c>
      <c r="G36" s="268">
        <v>36526</v>
      </c>
      <c r="H36" s="268">
        <v>36891</v>
      </c>
      <c r="I36" s="274">
        <v>30000</v>
      </c>
      <c r="J36" s="239">
        <v>0.03</v>
      </c>
      <c r="K36" s="245">
        <f t="shared" si="3"/>
        <v>27900</v>
      </c>
      <c r="L36" s="245">
        <f t="shared" si="3"/>
        <v>25200</v>
      </c>
      <c r="M36" s="245">
        <f t="shared" si="3"/>
        <v>27900</v>
      </c>
      <c r="N36" s="245">
        <f t="shared" si="3"/>
        <v>27000</v>
      </c>
      <c r="O36" s="245">
        <f t="shared" si="3"/>
        <v>27900</v>
      </c>
      <c r="P36" s="245">
        <f t="shared" si="3"/>
        <v>27000</v>
      </c>
      <c r="Q36" s="245">
        <f t="shared" si="3"/>
        <v>27900</v>
      </c>
      <c r="R36" s="245">
        <f t="shared" si="3"/>
        <v>27900</v>
      </c>
      <c r="S36" s="245">
        <f t="shared" si="3"/>
        <v>27000</v>
      </c>
      <c r="T36" s="245">
        <f t="shared" si="3"/>
        <v>27900</v>
      </c>
      <c r="U36" s="245">
        <f t="shared" si="3"/>
        <v>27000</v>
      </c>
      <c r="V36" s="245">
        <f t="shared" si="3"/>
        <v>27900</v>
      </c>
      <c r="W36" s="245">
        <f t="shared" si="5"/>
        <v>328500</v>
      </c>
    </row>
    <row r="37" spans="1:24" ht="12.75" customHeight="1" x14ac:dyDescent="0.15">
      <c r="K37" s="242">
        <f>SUM(K30:K36)</f>
        <v>144072.5</v>
      </c>
      <c r="L37" s="375">
        <f>SUM(L28:L36)</f>
        <v>180530</v>
      </c>
      <c r="M37" s="375">
        <f t="shared" ref="M37:V37" si="6">SUM(M28:M36)</f>
        <v>199872.5</v>
      </c>
      <c r="N37" s="375">
        <f t="shared" si="6"/>
        <v>193425</v>
      </c>
      <c r="O37" s="375">
        <f t="shared" si="6"/>
        <v>199872.5</v>
      </c>
      <c r="P37" s="375">
        <f t="shared" si="6"/>
        <v>193425</v>
      </c>
      <c r="Q37" s="375">
        <f t="shared" si="6"/>
        <v>199872.5</v>
      </c>
      <c r="R37" s="375">
        <f t="shared" si="6"/>
        <v>199872.5</v>
      </c>
      <c r="S37" s="375">
        <f t="shared" si="6"/>
        <v>193425</v>
      </c>
      <c r="T37" s="375">
        <f t="shared" si="6"/>
        <v>199872.5</v>
      </c>
      <c r="U37" s="375">
        <f t="shared" si="6"/>
        <v>193425</v>
      </c>
      <c r="V37" s="375">
        <f t="shared" si="6"/>
        <v>220797.5</v>
      </c>
      <c r="W37" s="375">
        <f>SUM(W28:W36)</f>
        <v>2318462.5</v>
      </c>
    </row>
    <row r="38" spans="1:24" ht="12.75" customHeight="1" x14ac:dyDescent="0.15">
      <c r="W38" s="242"/>
      <c r="X38" s="375">
        <f>W37+W26+W17</f>
        <v>5132092.5</v>
      </c>
    </row>
    <row r="40" spans="1:24" ht="12.75" customHeight="1" x14ac:dyDescent="0.15">
      <c r="E40" s="244"/>
      <c r="H40" s="253"/>
      <c r="I40" s="242"/>
    </row>
    <row r="41" spans="1:24" ht="12.75" customHeight="1" x14ac:dyDescent="0.15">
      <c r="E41" s="244"/>
      <c r="G41" s="240"/>
      <c r="H41" s="253"/>
      <c r="I41" s="242"/>
    </row>
    <row r="42" spans="1:24" ht="12.75" customHeight="1" x14ac:dyDescent="0.15">
      <c r="A42" s="239" t="s">
        <v>348</v>
      </c>
      <c r="E42" s="243"/>
      <c r="G42" s="240"/>
      <c r="H42" s="253"/>
      <c r="I42" s="242"/>
    </row>
    <row r="43" spans="1:24" ht="12.75" customHeight="1" x14ac:dyDescent="0.15">
      <c r="E43" s="243"/>
      <c r="H43" s="253"/>
      <c r="I43" s="242"/>
    </row>
    <row r="44" spans="1:24" ht="12.75" customHeight="1" x14ac:dyDescent="0.15">
      <c r="E44" s="243"/>
      <c r="H44" s="253"/>
      <c r="I44" s="242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</row>
    <row r="45" spans="1:24" ht="12.75" customHeight="1" x14ac:dyDescent="0.2">
      <c r="A45" s="239" t="s">
        <v>215</v>
      </c>
      <c r="B45" s="239" t="s">
        <v>216</v>
      </c>
      <c r="C45" s="239" t="s">
        <v>227</v>
      </c>
      <c r="D45" s="239" t="s">
        <v>217</v>
      </c>
      <c r="E45" s="243" t="s">
        <v>206</v>
      </c>
      <c r="F45" s="239" t="s">
        <v>207</v>
      </c>
      <c r="G45" s="239" t="s">
        <v>208</v>
      </c>
      <c r="H45" s="243" t="s">
        <v>209</v>
      </c>
      <c r="I45" s="242" t="s">
        <v>222</v>
      </c>
      <c r="J45" s="239" t="s">
        <v>314</v>
      </c>
      <c r="K45" s="378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</row>
    <row r="46" spans="1:24" ht="12.75" customHeight="1" x14ac:dyDescent="0.15">
      <c r="E46" s="243"/>
      <c r="H46" s="243"/>
      <c r="I46" s="242"/>
      <c r="K46" s="377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spans="1:24" ht="12.75" customHeight="1" x14ac:dyDescent="0.15">
      <c r="A47" s="239" t="s">
        <v>218</v>
      </c>
      <c r="B47" s="239" t="s">
        <v>219</v>
      </c>
      <c r="C47" s="239" t="s">
        <v>228</v>
      </c>
      <c r="D47" s="239" t="s">
        <v>220</v>
      </c>
      <c r="E47" s="244">
        <v>26751</v>
      </c>
      <c r="F47" s="239" t="s">
        <v>221</v>
      </c>
      <c r="H47" s="253">
        <v>36922</v>
      </c>
      <c r="I47" s="242">
        <v>20000</v>
      </c>
      <c r="J47" s="239">
        <v>0.91</v>
      </c>
      <c r="K47" s="377"/>
      <c r="L47" s="383">
        <f>$I47*$J47*L$2</f>
        <v>509600</v>
      </c>
      <c r="M47" s="383">
        <f t="shared" ref="M47:V49" si="7">$I47*$J47*M$2</f>
        <v>564200</v>
      </c>
      <c r="N47" s="383">
        <f t="shared" si="7"/>
        <v>546000</v>
      </c>
      <c r="O47" s="383">
        <f t="shared" si="7"/>
        <v>564200</v>
      </c>
      <c r="P47" s="383">
        <f t="shared" si="7"/>
        <v>546000</v>
      </c>
      <c r="Q47" s="383">
        <f t="shared" si="7"/>
        <v>564200</v>
      </c>
      <c r="R47" s="383">
        <f t="shared" si="7"/>
        <v>564200</v>
      </c>
      <c r="S47" s="383">
        <f t="shared" si="7"/>
        <v>546000</v>
      </c>
      <c r="T47" s="383">
        <f t="shared" si="7"/>
        <v>564200</v>
      </c>
      <c r="U47" s="383">
        <f t="shared" si="7"/>
        <v>546000</v>
      </c>
      <c r="V47" s="383">
        <f t="shared" si="7"/>
        <v>564200</v>
      </c>
      <c r="W47" s="383"/>
      <c r="X47" s="383"/>
    </row>
    <row r="48" spans="1:24" ht="12.75" customHeight="1" x14ac:dyDescent="0.15">
      <c r="A48" s="239" t="s">
        <v>218</v>
      </c>
      <c r="B48" s="239" t="s">
        <v>219</v>
      </c>
      <c r="C48" s="239" t="s">
        <v>228</v>
      </c>
      <c r="D48" s="239" t="s">
        <v>220</v>
      </c>
      <c r="E48" s="244">
        <v>26490</v>
      </c>
      <c r="F48" s="239" t="s">
        <v>230</v>
      </c>
      <c r="G48" s="240">
        <v>36100</v>
      </c>
      <c r="H48" s="253">
        <v>37195</v>
      </c>
      <c r="I48" s="242">
        <v>70000</v>
      </c>
      <c r="J48" s="239">
        <v>0.91</v>
      </c>
      <c r="K48" s="377"/>
      <c r="L48" s="383"/>
      <c r="M48" s="383"/>
      <c r="N48" s="383"/>
      <c r="O48" s="383"/>
      <c r="P48" s="383"/>
      <c r="Q48" s="383"/>
      <c r="R48" s="383"/>
      <c r="S48" s="383"/>
      <c r="T48" s="383"/>
      <c r="U48" s="383">
        <f t="shared" si="7"/>
        <v>1911000</v>
      </c>
      <c r="V48" s="383">
        <f t="shared" si="7"/>
        <v>1974700</v>
      </c>
      <c r="W48" s="383"/>
      <c r="X48" s="383"/>
    </row>
    <row r="49" spans="1:24" ht="12.75" customHeight="1" x14ac:dyDescent="0.15">
      <c r="A49" s="239" t="s">
        <v>218</v>
      </c>
      <c r="B49" s="239" t="s">
        <v>219</v>
      </c>
      <c r="C49" s="239" t="s">
        <v>228</v>
      </c>
      <c r="D49" s="239" t="s">
        <v>220</v>
      </c>
      <c r="E49" s="243">
        <v>26683</v>
      </c>
      <c r="F49" s="239" t="s">
        <v>235</v>
      </c>
      <c r="G49" s="240">
        <v>36220</v>
      </c>
      <c r="H49" s="253">
        <v>36981</v>
      </c>
      <c r="I49" s="246">
        <v>8000</v>
      </c>
      <c r="J49" s="239">
        <v>0.91</v>
      </c>
      <c r="K49" s="386"/>
      <c r="L49" s="386"/>
      <c r="M49" s="386"/>
      <c r="N49" s="386"/>
      <c r="O49" s="386">
        <f t="shared" si="7"/>
        <v>225680</v>
      </c>
      <c r="P49" s="386">
        <f t="shared" si="7"/>
        <v>218400</v>
      </c>
      <c r="Q49" s="386">
        <f t="shared" si="7"/>
        <v>225680</v>
      </c>
      <c r="R49" s="386">
        <f t="shared" si="7"/>
        <v>225680</v>
      </c>
      <c r="S49" s="386">
        <f t="shared" si="7"/>
        <v>218400</v>
      </c>
      <c r="T49" s="386">
        <f t="shared" si="7"/>
        <v>225680</v>
      </c>
      <c r="U49" s="386">
        <f t="shared" si="7"/>
        <v>218400</v>
      </c>
      <c r="V49" s="386">
        <f t="shared" si="7"/>
        <v>225680</v>
      </c>
      <c r="W49" s="383"/>
      <c r="X49" s="383"/>
    </row>
    <row r="50" spans="1:24" ht="12.75" customHeight="1" x14ac:dyDescent="0.15">
      <c r="E50" s="243"/>
      <c r="G50" s="240"/>
      <c r="H50" s="253"/>
      <c r="I50" s="246"/>
      <c r="K50" s="383">
        <f>SUM(K47:K49)</f>
        <v>0</v>
      </c>
      <c r="L50" s="383">
        <f>SUM(L47:L49)</f>
        <v>509600</v>
      </c>
      <c r="M50" s="383">
        <f t="shared" ref="M50:V50" si="8">SUM(M47:M49)</f>
        <v>564200</v>
      </c>
      <c r="N50" s="383">
        <f t="shared" si="8"/>
        <v>546000</v>
      </c>
      <c r="O50" s="383">
        <f t="shared" si="8"/>
        <v>789880</v>
      </c>
      <c r="P50" s="383">
        <f t="shared" si="8"/>
        <v>764400</v>
      </c>
      <c r="Q50" s="383">
        <f t="shared" si="8"/>
        <v>789880</v>
      </c>
      <c r="R50" s="383">
        <f t="shared" si="8"/>
        <v>789880</v>
      </c>
      <c r="S50" s="383">
        <f t="shared" si="8"/>
        <v>764400</v>
      </c>
      <c r="T50" s="383">
        <f t="shared" si="8"/>
        <v>789880</v>
      </c>
      <c r="U50" s="383">
        <f t="shared" si="8"/>
        <v>2675400</v>
      </c>
      <c r="V50" s="383">
        <f t="shared" si="8"/>
        <v>2764580</v>
      </c>
      <c r="W50" s="383"/>
      <c r="X50" s="383"/>
    </row>
    <row r="51" spans="1:24" ht="12.75" customHeight="1" x14ac:dyDescent="0.15">
      <c r="E51" s="243"/>
      <c r="G51" s="240"/>
      <c r="H51" s="253"/>
      <c r="I51" s="246"/>
      <c r="K51" s="377"/>
      <c r="L51" s="383"/>
      <c r="M51" s="383"/>
      <c r="N51" s="383"/>
      <c r="O51" s="383"/>
      <c r="P51" s="383"/>
      <c r="Q51" s="383"/>
      <c r="R51" s="383"/>
      <c r="S51" s="383"/>
      <c r="T51" s="383"/>
      <c r="U51" s="383"/>
      <c r="V51" s="383"/>
      <c r="W51" s="383"/>
      <c r="X51" s="383"/>
    </row>
    <row r="52" spans="1:24" ht="12.75" customHeight="1" x14ac:dyDescent="0.15">
      <c r="A52" s="239" t="s">
        <v>218</v>
      </c>
      <c r="B52" s="239" t="s">
        <v>242</v>
      </c>
      <c r="C52" s="239" t="s">
        <v>228</v>
      </c>
      <c r="D52" s="239" t="s">
        <v>220</v>
      </c>
      <c r="E52" s="243">
        <v>20747</v>
      </c>
      <c r="F52" s="239" t="s">
        <v>244</v>
      </c>
      <c r="H52" s="253">
        <v>37009</v>
      </c>
      <c r="I52" s="242">
        <v>10000</v>
      </c>
      <c r="J52" s="239">
        <v>0.85</v>
      </c>
      <c r="K52" s="377"/>
      <c r="L52" s="383"/>
      <c r="M52" s="383"/>
      <c r="N52" s="383"/>
      <c r="O52" s="383"/>
      <c r="P52" s="383"/>
      <c r="Q52" s="383"/>
      <c r="R52" s="383"/>
      <c r="S52" s="383"/>
      <c r="T52" s="383"/>
      <c r="U52" s="383"/>
      <c r="V52" s="383"/>
      <c r="W52" s="383"/>
      <c r="X52" s="383"/>
    </row>
    <row r="53" spans="1:24" ht="12.75" customHeight="1" x14ac:dyDescent="0.15">
      <c r="A53" s="239" t="s">
        <v>218</v>
      </c>
      <c r="B53" s="239" t="s">
        <v>242</v>
      </c>
      <c r="C53" s="239" t="s">
        <v>228</v>
      </c>
      <c r="D53" s="239" t="s">
        <v>220</v>
      </c>
      <c r="E53" s="243">
        <v>20748</v>
      </c>
      <c r="F53" s="239" t="s">
        <v>244</v>
      </c>
      <c r="H53" s="253">
        <v>37009</v>
      </c>
      <c r="I53" s="246">
        <v>10000</v>
      </c>
      <c r="J53" s="239">
        <v>0.85</v>
      </c>
      <c r="K53" s="386"/>
      <c r="L53" s="386"/>
      <c r="M53" s="386"/>
      <c r="N53" s="386"/>
      <c r="O53" s="386"/>
      <c r="P53" s="386"/>
      <c r="Q53" s="386"/>
      <c r="R53" s="386"/>
      <c r="S53" s="386"/>
      <c r="T53" s="386"/>
      <c r="U53" s="386"/>
      <c r="V53" s="386"/>
      <c r="W53" s="383"/>
      <c r="X53" s="383"/>
    </row>
    <row r="54" spans="1:24" ht="12.75" customHeight="1" x14ac:dyDescent="0.15">
      <c r="E54" s="243"/>
      <c r="H54" s="253"/>
      <c r="I54" s="242"/>
      <c r="K54" s="383">
        <f t="shared" ref="K54:V54" si="9">SUM(K51:K53)</f>
        <v>0</v>
      </c>
      <c r="L54" s="383">
        <f t="shared" si="9"/>
        <v>0</v>
      </c>
      <c r="M54" s="383">
        <f t="shared" si="9"/>
        <v>0</v>
      </c>
      <c r="N54" s="383">
        <f t="shared" si="9"/>
        <v>0</v>
      </c>
      <c r="O54" s="383">
        <f t="shared" si="9"/>
        <v>0</v>
      </c>
      <c r="P54" s="383">
        <f t="shared" si="9"/>
        <v>0</v>
      </c>
      <c r="Q54" s="383">
        <f t="shared" si="9"/>
        <v>0</v>
      </c>
      <c r="R54" s="383">
        <f t="shared" si="9"/>
        <v>0</v>
      </c>
      <c r="S54" s="383">
        <f t="shared" si="9"/>
        <v>0</v>
      </c>
      <c r="T54" s="383">
        <f t="shared" si="9"/>
        <v>0</v>
      </c>
      <c r="U54" s="383">
        <f t="shared" si="9"/>
        <v>0</v>
      </c>
      <c r="V54" s="383">
        <f t="shared" si="9"/>
        <v>0</v>
      </c>
      <c r="W54" s="383"/>
      <c r="X54" s="383"/>
    </row>
    <row r="55" spans="1:24" ht="12.75" customHeight="1" x14ac:dyDescent="0.15">
      <c r="E55" s="243"/>
      <c r="H55" s="253"/>
      <c r="I55" s="242"/>
      <c r="K55" s="377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</row>
    <row r="56" spans="1:24" ht="12.75" customHeight="1" x14ac:dyDescent="0.2">
      <c r="A56" s="239" t="s">
        <v>163</v>
      </c>
      <c r="B56" s="239" t="s">
        <v>282</v>
      </c>
      <c r="C56" s="239" t="s">
        <v>228</v>
      </c>
      <c r="D56" s="239" t="s">
        <v>220</v>
      </c>
      <c r="E56" s="322">
        <v>24194</v>
      </c>
      <c r="F56" s="266" t="s">
        <v>273</v>
      </c>
      <c r="H56" s="269">
        <v>37164</v>
      </c>
      <c r="I56" s="273">
        <v>25000</v>
      </c>
      <c r="J56" s="239">
        <v>0.78</v>
      </c>
      <c r="K56" s="377"/>
      <c r="L56" s="383"/>
      <c r="M56" s="383"/>
      <c r="N56" s="383"/>
      <c r="O56" s="383"/>
      <c r="P56" s="383"/>
      <c r="Q56" s="383"/>
      <c r="R56" s="383"/>
      <c r="S56" s="383"/>
      <c r="T56" s="383">
        <f>$I56*$J56*T$2</f>
        <v>604500</v>
      </c>
      <c r="U56" s="383">
        <f>$I56*$J56*U$2</f>
        <v>585000</v>
      </c>
      <c r="V56" s="383">
        <f>$I56*$J56*U$2</f>
        <v>585000</v>
      </c>
      <c r="W56" s="383"/>
      <c r="X56" s="383"/>
    </row>
    <row r="57" spans="1:24" ht="12.75" customHeight="1" x14ac:dyDescent="0.2">
      <c r="A57" s="239" t="s">
        <v>163</v>
      </c>
      <c r="B57" s="239" t="s">
        <v>282</v>
      </c>
      <c r="C57" s="239" t="s">
        <v>228</v>
      </c>
      <c r="D57" s="239" t="s">
        <v>220</v>
      </c>
      <c r="E57" s="322" t="s">
        <v>274</v>
      </c>
      <c r="F57" s="266" t="s">
        <v>275</v>
      </c>
      <c r="H57" s="269">
        <v>37134</v>
      </c>
      <c r="I57" s="273">
        <v>35700</v>
      </c>
      <c r="J57" s="239">
        <v>0.78</v>
      </c>
      <c r="K57" s="377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</row>
    <row r="58" spans="1:24" ht="12.75" customHeight="1" x14ac:dyDescent="0.2">
      <c r="A58" s="239" t="s">
        <v>163</v>
      </c>
      <c r="B58" s="239" t="s">
        <v>282</v>
      </c>
      <c r="C58" s="239" t="s">
        <v>228</v>
      </c>
      <c r="D58" s="239" t="s">
        <v>220</v>
      </c>
      <c r="E58" s="323">
        <v>24690</v>
      </c>
      <c r="F58" s="267" t="s">
        <v>277</v>
      </c>
      <c r="H58" s="268">
        <v>36981</v>
      </c>
      <c r="I58" s="275">
        <v>15000</v>
      </c>
      <c r="J58" s="239">
        <v>0.78</v>
      </c>
      <c r="K58" s="377"/>
      <c r="L58" s="383"/>
      <c r="M58" s="383"/>
      <c r="N58" s="383">
        <f t="shared" ref="N58:V59" si="10">$I58*$J58*N$2</f>
        <v>351000</v>
      </c>
      <c r="O58" s="383">
        <f t="shared" si="10"/>
        <v>362700</v>
      </c>
      <c r="P58" s="383">
        <f t="shared" si="10"/>
        <v>351000</v>
      </c>
      <c r="Q58" s="383">
        <f t="shared" si="10"/>
        <v>362700</v>
      </c>
      <c r="R58" s="383">
        <f t="shared" si="10"/>
        <v>362700</v>
      </c>
      <c r="S58" s="383">
        <f t="shared" si="10"/>
        <v>351000</v>
      </c>
      <c r="T58" s="383">
        <f t="shared" si="10"/>
        <v>362700</v>
      </c>
      <c r="U58" s="383">
        <f t="shared" si="10"/>
        <v>351000</v>
      </c>
      <c r="V58" s="383">
        <f t="shared" si="10"/>
        <v>362700</v>
      </c>
      <c r="W58" s="383"/>
      <c r="X58" s="383"/>
    </row>
    <row r="59" spans="1:24" ht="12.75" customHeight="1" x14ac:dyDescent="0.2">
      <c r="A59" s="239" t="s">
        <v>163</v>
      </c>
      <c r="B59" s="239" t="s">
        <v>282</v>
      </c>
      <c r="C59" s="239" t="s">
        <v>228</v>
      </c>
      <c r="D59" s="239" t="s">
        <v>220</v>
      </c>
      <c r="E59" s="323">
        <v>24754</v>
      </c>
      <c r="F59" s="267" t="s">
        <v>278</v>
      </c>
      <c r="H59" s="271">
        <v>37011</v>
      </c>
      <c r="I59" s="275">
        <v>1000</v>
      </c>
      <c r="J59" s="239">
        <v>0.78</v>
      </c>
      <c r="K59" s="377"/>
      <c r="L59" s="384"/>
      <c r="M59" s="384"/>
      <c r="N59" s="384"/>
      <c r="O59" s="383">
        <f t="shared" si="10"/>
        <v>24180</v>
      </c>
      <c r="P59" s="383">
        <f t="shared" si="10"/>
        <v>23400</v>
      </c>
      <c r="Q59" s="383">
        <f t="shared" si="10"/>
        <v>24180</v>
      </c>
      <c r="R59" s="383">
        <f t="shared" si="10"/>
        <v>24180</v>
      </c>
      <c r="S59" s="383">
        <f t="shared" si="10"/>
        <v>23400</v>
      </c>
      <c r="T59" s="383">
        <f t="shared" si="10"/>
        <v>24180</v>
      </c>
      <c r="U59" s="383">
        <f t="shared" si="10"/>
        <v>23400</v>
      </c>
      <c r="V59" s="383">
        <f t="shared" si="10"/>
        <v>24180</v>
      </c>
      <c r="W59" s="384"/>
      <c r="X59" s="383"/>
    </row>
    <row r="60" spans="1:24" ht="12.75" customHeight="1" x14ac:dyDescent="0.2">
      <c r="A60" s="239" t="s">
        <v>163</v>
      </c>
      <c r="B60" s="239" t="s">
        <v>282</v>
      </c>
      <c r="C60" s="239" t="s">
        <v>228</v>
      </c>
      <c r="D60" s="239" t="s">
        <v>220</v>
      </c>
      <c r="E60" s="323" t="s">
        <v>280</v>
      </c>
      <c r="F60" s="267" t="s">
        <v>236</v>
      </c>
      <c r="H60" s="268">
        <v>36950</v>
      </c>
      <c r="I60" s="275">
        <v>10000</v>
      </c>
      <c r="J60" s="239">
        <v>0.78</v>
      </c>
      <c r="K60" s="377"/>
      <c r="L60" s="383"/>
      <c r="M60" s="383">
        <f t="shared" ref="M60:V60" si="11">$I60*$J60*M$2</f>
        <v>241800</v>
      </c>
      <c r="N60" s="383">
        <f t="shared" si="11"/>
        <v>234000</v>
      </c>
      <c r="O60" s="383">
        <f t="shared" si="11"/>
        <v>241800</v>
      </c>
      <c r="P60" s="383">
        <f t="shared" si="11"/>
        <v>234000</v>
      </c>
      <c r="Q60" s="383">
        <f t="shared" si="11"/>
        <v>241800</v>
      </c>
      <c r="R60" s="383">
        <f t="shared" si="11"/>
        <v>241800</v>
      </c>
      <c r="S60" s="383">
        <f t="shared" si="11"/>
        <v>234000</v>
      </c>
      <c r="T60" s="383">
        <f t="shared" si="11"/>
        <v>241800</v>
      </c>
      <c r="U60" s="383">
        <f t="shared" si="11"/>
        <v>234000</v>
      </c>
      <c r="V60" s="383">
        <f t="shared" si="11"/>
        <v>241800</v>
      </c>
      <c r="W60" s="384"/>
      <c r="X60" s="383"/>
    </row>
    <row r="61" spans="1:24" ht="12.75" customHeight="1" x14ac:dyDescent="0.2">
      <c r="A61" s="239" t="s">
        <v>163</v>
      </c>
      <c r="B61" s="239" t="s">
        <v>282</v>
      </c>
      <c r="C61" s="239" t="s">
        <v>228</v>
      </c>
      <c r="D61" s="239" t="s">
        <v>220</v>
      </c>
      <c r="E61" s="323">
        <v>27161</v>
      </c>
      <c r="F61" s="267" t="s">
        <v>276</v>
      </c>
      <c r="H61" s="268">
        <v>37195</v>
      </c>
      <c r="I61" s="274">
        <v>400000</v>
      </c>
      <c r="J61" s="239">
        <v>0.25</v>
      </c>
      <c r="K61" s="377"/>
      <c r="L61" s="384"/>
      <c r="M61" s="384"/>
      <c r="N61" s="384"/>
      <c r="O61" s="384"/>
      <c r="P61" s="384"/>
      <c r="Q61" s="384"/>
      <c r="R61" s="384"/>
      <c r="S61" s="384"/>
      <c r="T61" s="384"/>
      <c r="U61" s="383">
        <f>$I61*$J61*U$2</f>
        <v>3000000</v>
      </c>
      <c r="V61" s="383">
        <f>$I61*$J61*V$2</f>
        <v>3100000</v>
      </c>
      <c r="W61" s="384"/>
      <c r="X61" s="383"/>
    </row>
    <row r="62" spans="1:24" ht="12.75" customHeight="1" x14ac:dyDescent="0.2">
      <c r="A62" s="239" t="s">
        <v>163</v>
      </c>
      <c r="B62" s="239" t="s">
        <v>282</v>
      </c>
      <c r="C62" s="239" t="s">
        <v>228</v>
      </c>
      <c r="D62" s="239" t="s">
        <v>220</v>
      </c>
      <c r="E62" s="323" t="s">
        <v>281</v>
      </c>
      <c r="F62" s="267" t="s">
        <v>230</v>
      </c>
      <c r="H62" s="268">
        <v>37195</v>
      </c>
      <c r="I62" s="376">
        <v>40000</v>
      </c>
      <c r="J62" s="239">
        <v>0.78</v>
      </c>
      <c r="K62" s="386"/>
      <c r="L62" s="386"/>
      <c r="M62" s="386"/>
      <c r="N62" s="386"/>
      <c r="O62" s="386"/>
      <c r="P62" s="386"/>
      <c r="Q62" s="386"/>
      <c r="R62" s="386"/>
      <c r="S62" s="386"/>
      <c r="T62" s="386"/>
      <c r="U62" s="386">
        <f>$I62*$J62*U$2</f>
        <v>936000</v>
      </c>
      <c r="V62" s="386">
        <f>$I62*$J62*V$2</f>
        <v>967200</v>
      </c>
      <c r="W62" s="384"/>
      <c r="X62" s="383"/>
    </row>
    <row r="63" spans="1:24" ht="12.75" customHeight="1" x14ac:dyDescent="0.2">
      <c r="E63" s="323"/>
      <c r="F63" s="267"/>
      <c r="H63" s="268"/>
      <c r="I63" s="274">
        <f>SUM(I56:I62)</f>
        <v>526700</v>
      </c>
      <c r="K63" s="383">
        <f>SUM(K60:K62)</f>
        <v>0</v>
      </c>
      <c r="L63" s="383">
        <f t="shared" ref="L63:V63" si="12">SUM(L60:L62)</f>
        <v>0</v>
      </c>
      <c r="M63" s="383">
        <f t="shared" si="12"/>
        <v>241800</v>
      </c>
      <c r="N63" s="383">
        <f t="shared" si="12"/>
        <v>234000</v>
      </c>
      <c r="O63" s="383">
        <f t="shared" si="12"/>
        <v>241800</v>
      </c>
      <c r="P63" s="383">
        <f t="shared" si="12"/>
        <v>234000</v>
      </c>
      <c r="Q63" s="383">
        <f t="shared" si="12"/>
        <v>241800</v>
      </c>
      <c r="R63" s="383">
        <f t="shared" si="12"/>
        <v>241800</v>
      </c>
      <c r="S63" s="383">
        <f t="shared" si="12"/>
        <v>234000</v>
      </c>
      <c r="T63" s="383">
        <f t="shared" si="12"/>
        <v>241800</v>
      </c>
      <c r="U63" s="383">
        <f t="shared" si="12"/>
        <v>4170000</v>
      </c>
      <c r="V63" s="383">
        <f t="shared" si="12"/>
        <v>4309000</v>
      </c>
      <c r="W63" s="384"/>
      <c r="X63" s="383"/>
    </row>
    <row r="64" spans="1:24" ht="12.75" customHeight="1" x14ac:dyDescent="0.2">
      <c r="E64" s="323"/>
      <c r="F64" s="267"/>
      <c r="H64" s="268"/>
      <c r="I64" s="274"/>
      <c r="K64" s="377"/>
      <c r="L64" s="384"/>
      <c r="M64" s="384"/>
      <c r="N64" s="384"/>
      <c r="O64" s="384"/>
      <c r="P64" s="384"/>
      <c r="Q64" s="384"/>
      <c r="R64" s="384"/>
      <c r="S64" s="384"/>
      <c r="T64" s="384"/>
      <c r="U64" s="384"/>
      <c r="V64" s="384"/>
      <c r="W64" s="384"/>
      <c r="X64" s="383"/>
    </row>
    <row r="65" spans="1:24" ht="12.75" customHeight="1" x14ac:dyDescent="0.15">
      <c r="A65" s="239" t="s">
        <v>261</v>
      </c>
      <c r="B65" s="239" t="s">
        <v>268</v>
      </c>
      <c r="C65" s="239" t="s">
        <v>228</v>
      </c>
      <c r="D65" s="239" t="s">
        <v>220</v>
      </c>
      <c r="E65" s="244">
        <v>25067</v>
      </c>
      <c r="F65" s="261" t="s">
        <v>262</v>
      </c>
      <c r="H65" s="253">
        <v>37225</v>
      </c>
      <c r="I65" s="242">
        <v>15000</v>
      </c>
      <c r="J65" s="239">
        <v>0.73</v>
      </c>
      <c r="K65" s="377"/>
      <c r="L65" s="384"/>
      <c r="M65" s="384"/>
      <c r="N65" s="384"/>
      <c r="O65" s="384"/>
      <c r="P65" s="384"/>
      <c r="Q65" s="384"/>
      <c r="R65" s="384"/>
      <c r="S65" s="384"/>
      <c r="T65" s="384"/>
      <c r="U65" s="384"/>
      <c r="V65" s="383">
        <f t="shared" ref="K65:V72" si="13">$I65*$J65*V$2</f>
        <v>339450</v>
      </c>
      <c r="W65" s="384"/>
      <c r="X65" s="383"/>
    </row>
    <row r="66" spans="1:24" ht="12.75" customHeight="1" x14ac:dyDescent="0.15">
      <c r="A66" s="239" t="s">
        <v>261</v>
      </c>
      <c r="B66" s="239" t="s">
        <v>269</v>
      </c>
      <c r="C66" s="239" t="s">
        <v>228</v>
      </c>
      <c r="D66" s="239" t="s">
        <v>220</v>
      </c>
      <c r="E66" s="255">
        <v>24927</v>
      </c>
      <c r="F66" s="262" t="s">
        <v>270</v>
      </c>
      <c r="H66" s="253">
        <v>36922</v>
      </c>
      <c r="I66" s="242">
        <v>30000</v>
      </c>
      <c r="J66" s="239">
        <v>0.73</v>
      </c>
      <c r="K66" s="377"/>
      <c r="L66" s="383"/>
      <c r="M66" s="383"/>
      <c r="N66" s="383"/>
      <c r="O66" s="383"/>
      <c r="P66" s="383"/>
      <c r="Q66" s="383"/>
      <c r="R66" s="383"/>
      <c r="S66" s="383"/>
      <c r="T66" s="383"/>
      <c r="U66" s="383"/>
      <c r="V66" s="383"/>
      <c r="W66" s="384"/>
      <c r="X66" s="383"/>
    </row>
    <row r="67" spans="1:24" ht="12.75" customHeight="1" x14ac:dyDescent="0.15">
      <c r="A67" s="239" t="s">
        <v>261</v>
      </c>
      <c r="B67" s="239" t="s">
        <v>269</v>
      </c>
      <c r="C67" s="239" t="s">
        <v>228</v>
      </c>
      <c r="D67" s="239" t="s">
        <v>220</v>
      </c>
      <c r="E67" s="255">
        <v>24926</v>
      </c>
      <c r="F67" s="262" t="s">
        <v>271</v>
      </c>
      <c r="H67" s="253">
        <v>36922</v>
      </c>
      <c r="I67" s="242">
        <v>30000</v>
      </c>
      <c r="J67" s="239">
        <v>0.73</v>
      </c>
      <c r="K67" s="377"/>
      <c r="L67" s="383">
        <f t="shared" si="13"/>
        <v>613200</v>
      </c>
      <c r="M67" s="383">
        <f t="shared" si="13"/>
        <v>678900</v>
      </c>
      <c r="N67" s="383">
        <f t="shared" si="13"/>
        <v>657000</v>
      </c>
      <c r="O67" s="383">
        <f t="shared" si="13"/>
        <v>678900</v>
      </c>
      <c r="P67" s="383">
        <f t="shared" si="13"/>
        <v>657000</v>
      </c>
      <c r="Q67" s="383">
        <f t="shared" si="13"/>
        <v>678900</v>
      </c>
      <c r="R67" s="383">
        <f t="shared" si="13"/>
        <v>678900</v>
      </c>
      <c r="S67" s="383">
        <f t="shared" si="13"/>
        <v>657000</v>
      </c>
      <c r="T67" s="383">
        <f t="shared" si="13"/>
        <v>678900</v>
      </c>
      <c r="U67" s="383">
        <f t="shared" si="13"/>
        <v>657000</v>
      </c>
      <c r="V67" s="383">
        <f t="shared" si="13"/>
        <v>678900</v>
      </c>
      <c r="W67" s="383"/>
      <c r="X67" s="383"/>
    </row>
    <row r="68" spans="1:24" ht="12.75" customHeight="1" x14ac:dyDescent="0.2">
      <c r="A68" s="239" t="s">
        <v>261</v>
      </c>
      <c r="B68" s="239" t="s">
        <v>268</v>
      </c>
      <c r="C68" s="239" t="s">
        <v>228</v>
      </c>
      <c r="D68" s="239" t="s">
        <v>220</v>
      </c>
      <c r="E68" s="323">
        <v>25597</v>
      </c>
      <c r="F68" s="267" t="s">
        <v>279</v>
      </c>
      <c r="G68" s="268">
        <v>35704</v>
      </c>
      <c r="H68" s="268">
        <v>36891</v>
      </c>
      <c r="I68" s="274">
        <v>30000</v>
      </c>
      <c r="J68" s="239">
        <v>0.73</v>
      </c>
      <c r="K68" s="383">
        <f t="shared" si="13"/>
        <v>678900</v>
      </c>
      <c r="L68" s="383">
        <f t="shared" si="13"/>
        <v>613200</v>
      </c>
      <c r="M68" s="383">
        <f t="shared" si="13"/>
        <v>678900</v>
      </c>
      <c r="N68" s="383">
        <f t="shared" si="13"/>
        <v>657000</v>
      </c>
      <c r="O68" s="383">
        <f t="shared" si="13"/>
        <v>678900</v>
      </c>
      <c r="P68" s="383">
        <f t="shared" si="13"/>
        <v>657000</v>
      </c>
      <c r="Q68" s="383">
        <f t="shared" si="13"/>
        <v>678900</v>
      </c>
      <c r="R68" s="383">
        <f t="shared" si="13"/>
        <v>678900</v>
      </c>
      <c r="S68" s="383">
        <f t="shared" si="13"/>
        <v>657000</v>
      </c>
      <c r="T68" s="383">
        <f t="shared" si="13"/>
        <v>678900</v>
      </c>
      <c r="U68" s="383">
        <f t="shared" si="13"/>
        <v>657000</v>
      </c>
      <c r="V68" s="383">
        <f t="shared" si="13"/>
        <v>678900</v>
      </c>
      <c r="W68" s="383"/>
      <c r="X68" s="383"/>
    </row>
    <row r="69" spans="1:24" ht="12.75" customHeight="1" x14ac:dyDescent="0.2">
      <c r="A69" s="239" t="s">
        <v>261</v>
      </c>
      <c r="B69" s="239" t="s">
        <v>268</v>
      </c>
      <c r="C69" s="239" t="s">
        <v>228</v>
      </c>
      <c r="D69" s="239" t="s">
        <v>220</v>
      </c>
      <c r="E69" s="323">
        <v>26661</v>
      </c>
      <c r="F69" s="267" t="s">
        <v>316</v>
      </c>
      <c r="G69" s="268">
        <v>36526</v>
      </c>
      <c r="H69" s="268">
        <v>36891</v>
      </c>
      <c r="I69" s="274">
        <v>18000</v>
      </c>
      <c r="J69" s="239">
        <v>0.73</v>
      </c>
      <c r="K69" s="383">
        <f t="shared" si="13"/>
        <v>407340</v>
      </c>
      <c r="L69" s="383">
        <f t="shared" si="13"/>
        <v>367920</v>
      </c>
      <c r="M69" s="383">
        <f t="shared" si="13"/>
        <v>407340</v>
      </c>
      <c r="N69" s="383">
        <f t="shared" si="13"/>
        <v>394200</v>
      </c>
      <c r="O69" s="383">
        <f t="shared" si="13"/>
        <v>407340</v>
      </c>
      <c r="P69" s="383">
        <f t="shared" si="13"/>
        <v>394200</v>
      </c>
      <c r="Q69" s="383">
        <f t="shared" si="13"/>
        <v>407340</v>
      </c>
      <c r="R69" s="383">
        <f t="shared" si="13"/>
        <v>407340</v>
      </c>
      <c r="S69" s="383">
        <f t="shared" si="13"/>
        <v>394200</v>
      </c>
      <c r="T69" s="383">
        <f t="shared" si="13"/>
        <v>407340</v>
      </c>
      <c r="U69" s="383">
        <f t="shared" si="13"/>
        <v>394200</v>
      </c>
      <c r="V69" s="383">
        <f t="shared" si="13"/>
        <v>407340</v>
      </c>
      <c r="W69" s="383"/>
      <c r="X69" s="383"/>
    </row>
    <row r="70" spans="1:24" ht="12.75" customHeight="1" x14ac:dyDescent="0.2">
      <c r="A70" s="239" t="s">
        <v>261</v>
      </c>
      <c r="B70" s="239" t="s">
        <v>269</v>
      </c>
      <c r="C70" s="239" t="s">
        <v>228</v>
      </c>
      <c r="D70" s="239" t="s">
        <v>220</v>
      </c>
      <c r="E70" s="323" t="s">
        <v>317</v>
      </c>
      <c r="F70" s="267" t="s">
        <v>318</v>
      </c>
      <c r="G70" s="268">
        <v>36526</v>
      </c>
      <c r="H70" s="268">
        <v>36891</v>
      </c>
      <c r="I70" s="274">
        <v>13500</v>
      </c>
      <c r="J70" s="239">
        <v>0.73</v>
      </c>
      <c r="K70" s="383">
        <f t="shared" si="13"/>
        <v>305505</v>
      </c>
      <c r="L70" s="383">
        <f t="shared" si="13"/>
        <v>275940</v>
      </c>
      <c r="M70" s="383">
        <f t="shared" si="13"/>
        <v>305505</v>
      </c>
      <c r="N70" s="383">
        <f t="shared" si="13"/>
        <v>295650</v>
      </c>
      <c r="O70" s="383">
        <f t="shared" si="13"/>
        <v>305505</v>
      </c>
      <c r="P70" s="383">
        <f t="shared" si="13"/>
        <v>295650</v>
      </c>
      <c r="Q70" s="383">
        <f t="shared" si="13"/>
        <v>305505</v>
      </c>
      <c r="R70" s="383">
        <f t="shared" si="13"/>
        <v>305505</v>
      </c>
      <c r="S70" s="383">
        <f t="shared" si="13"/>
        <v>295650</v>
      </c>
      <c r="T70" s="383">
        <f t="shared" si="13"/>
        <v>305505</v>
      </c>
      <c r="U70" s="383">
        <f t="shared" si="13"/>
        <v>295650</v>
      </c>
      <c r="V70" s="383">
        <f t="shared" si="13"/>
        <v>305505</v>
      </c>
      <c r="W70" s="383"/>
      <c r="X70" s="383"/>
    </row>
    <row r="71" spans="1:24" ht="12.75" customHeight="1" x14ac:dyDescent="0.2">
      <c r="A71" s="239" t="s">
        <v>261</v>
      </c>
      <c r="B71" s="239" t="s">
        <v>269</v>
      </c>
      <c r="C71" s="239" t="s">
        <v>228</v>
      </c>
      <c r="D71" s="239" t="s">
        <v>220</v>
      </c>
      <c r="E71" s="323">
        <v>27047</v>
      </c>
      <c r="F71" s="267" t="s">
        <v>319</v>
      </c>
      <c r="G71" s="268">
        <v>36557</v>
      </c>
      <c r="H71" s="268">
        <v>36891</v>
      </c>
      <c r="I71" s="274">
        <v>70000</v>
      </c>
      <c r="J71" s="239">
        <v>0.73</v>
      </c>
      <c r="K71" s="383">
        <f t="shared" si="13"/>
        <v>1584100</v>
      </c>
      <c r="L71" s="383">
        <f t="shared" si="13"/>
        <v>1430800</v>
      </c>
      <c r="M71" s="383">
        <f t="shared" si="13"/>
        <v>1584100</v>
      </c>
      <c r="N71" s="383">
        <f t="shared" si="13"/>
        <v>1533000</v>
      </c>
      <c r="O71" s="383">
        <f t="shared" si="13"/>
        <v>1584100</v>
      </c>
      <c r="P71" s="383">
        <f t="shared" si="13"/>
        <v>1533000</v>
      </c>
      <c r="Q71" s="383">
        <f t="shared" si="13"/>
        <v>1584100</v>
      </c>
      <c r="R71" s="383">
        <f t="shared" si="13"/>
        <v>1584100</v>
      </c>
      <c r="S71" s="383">
        <f t="shared" si="13"/>
        <v>1533000</v>
      </c>
      <c r="T71" s="383">
        <f t="shared" si="13"/>
        <v>1584100</v>
      </c>
      <c r="U71" s="383">
        <f t="shared" si="13"/>
        <v>1533000</v>
      </c>
      <c r="V71" s="383">
        <f t="shared" si="13"/>
        <v>1584100</v>
      </c>
      <c r="W71" s="383"/>
      <c r="X71" s="383"/>
    </row>
    <row r="72" spans="1:24" ht="12.75" customHeight="1" x14ac:dyDescent="0.2">
      <c r="A72" s="239" t="s">
        <v>261</v>
      </c>
      <c r="B72" s="239" t="s">
        <v>269</v>
      </c>
      <c r="C72" s="239" t="s">
        <v>228</v>
      </c>
      <c r="D72" s="239" t="s">
        <v>220</v>
      </c>
      <c r="E72" s="323">
        <v>27017</v>
      </c>
      <c r="F72" s="267" t="s">
        <v>320</v>
      </c>
      <c r="G72" s="268">
        <v>36526</v>
      </c>
      <c r="H72" s="268">
        <v>36891</v>
      </c>
      <c r="I72" s="274">
        <v>30000</v>
      </c>
      <c r="J72" s="239">
        <v>0.73</v>
      </c>
      <c r="K72" s="386">
        <f t="shared" si="13"/>
        <v>678900</v>
      </c>
      <c r="L72" s="386">
        <f t="shared" si="13"/>
        <v>613200</v>
      </c>
      <c r="M72" s="386">
        <f t="shared" si="13"/>
        <v>678900</v>
      </c>
      <c r="N72" s="386">
        <f t="shared" si="13"/>
        <v>657000</v>
      </c>
      <c r="O72" s="386">
        <f t="shared" si="13"/>
        <v>678900</v>
      </c>
      <c r="P72" s="386">
        <f t="shared" si="13"/>
        <v>657000</v>
      </c>
      <c r="Q72" s="386">
        <f t="shared" si="13"/>
        <v>678900</v>
      </c>
      <c r="R72" s="386">
        <f t="shared" si="13"/>
        <v>678900</v>
      </c>
      <c r="S72" s="386">
        <f t="shared" si="13"/>
        <v>657000</v>
      </c>
      <c r="T72" s="386">
        <f t="shared" si="13"/>
        <v>678900</v>
      </c>
      <c r="U72" s="386">
        <f t="shared" si="13"/>
        <v>657000</v>
      </c>
      <c r="V72" s="386">
        <f t="shared" si="13"/>
        <v>678900</v>
      </c>
      <c r="W72" s="383"/>
      <c r="X72" s="383"/>
    </row>
    <row r="73" spans="1:24" ht="12.75" customHeight="1" x14ac:dyDescent="0.15">
      <c r="K73" s="246">
        <f>SUM(K65:K72)</f>
        <v>3654745</v>
      </c>
      <c r="L73" s="246">
        <f t="shared" ref="L73:V73" si="14">SUM(L65:L72)</f>
        <v>3914260</v>
      </c>
      <c r="M73" s="246">
        <f t="shared" si="14"/>
        <v>4333645</v>
      </c>
      <c r="N73" s="246">
        <f t="shared" si="14"/>
        <v>4193850</v>
      </c>
      <c r="O73" s="246">
        <f t="shared" si="14"/>
        <v>4333645</v>
      </c>
      <c r="P73" s="246">
        <f t="shared" si="14"/>
        <v>4193850</v>
      </c>
      <c r="Q73" s="246">
        <f t="shared" si="14"/>
        <v>4333645</v>
      </c>
      <c r="R73" s="246">
        <f t="shared" si="14"/>
        <v>4333645</v>
      </c>
      <c r="S73" s="246">
        <f t="shared" si="14"/>
        <v>4193850</v>
      </c>
      <c r="T73" s="246">
        <f t="shared" si="14"/>
        <v>4333645</v>
      </c>
      <c r="U73" s="246">
        <f t="shared" si="14"/>
        <v>4193850</v>
      </c>
      <c r="V73" s="246">
        <f t="shared" si="14"/>
        <v>4673095</v>
      </c>
      <c r="W73" s="383"/>
      <c r="X73" s="383"/>
    </row>
    <row r="74" spans="1:24" ht="12.75" customHeight="1" x14ac:dyDescent="0.15">
      <c r="K74" s="377"/>
      <c r="L74" s="383"/>
      <c r="M74" s="383"/>
      <c r="N74" s="383"/>
      <c r="O74" s="383"/>
      <c r="P74" s="383"/>
      <c r="Q74" s="383"/>
      <c r="R74" s="383"/>
      <c r="S74" s="383"/>
      <c r="T74" s="383"/>
      <c r="U74" s="383"/>
      <c r="V74" s="383"/>
      <c r="W74" s="383"/>
      <c r="X74" s="383"/>
    </row>
    <row r="75" spans="1:24" ht="12.75" customHeight="1" x14ac:dyDescent="0.15">
      <c r="K75" s="377"/>
      <c r="L75" s="383"/>
      <c r="M75" s="383"/>
      <c r="N75" s="383"/>
      <c r="O75" s="383"/>
      <c r="P75" s="383"/>
      <c r="Q75" s="383"/>
      <c r="R75" s="383"/>
      <c r="S75" s="383"/>
      <c r="T75" s="383"/>
      <c r="U75" s="383"/>
      <c r="V75" s="383"/>
      <c r="W75" s="383"/>
      <c r="X75" s="383"/>
    </row>
    <row r="76" spans="1:24" ht="12.75" customHeight="1" x14ac:dyDescent="0.15">
      <c r="K76" s="239">
        <v>31</v>
      </c>
      <c r="L76" s="239">
        <v>28</v>
      </c>
      <c r="M76" s="239">
        <v>31</v>
      </c>
      <c r="N76" s="239">
        <v>30</v>
      </c>
      <c r="O76" s="239">
        <v>31</v>
      </c>
      <c r="P76" s="239">
        <v>30</v>
      </c>
      <c r="Q76" s="239">
        <v>31</v>
      </c>
      <c r="R76" s="239">
        <v>31</v>
      </c>
      <c r="S76" s="239">
        <v>30</v>
      </c>
      <c r="T76" s="239">
        <v>31</v>
      </c>
      <c r="U76" s="239">
        <v>30</v>
      </c>
      <c r="V76" s="239">
        <v>31</v>
      </c>
      <c r="X76" s="383"/>
    </row>
    <row r="77" spans="1:24" ht="12.75" customHeight="1" x14ac:dyDescent="0.2">
      <c r="J77" s="387"/>
      <c r="K77" s="144" t="s">
        <v>164</v>
      </c>
      <c r="L77" s="144" t="s">
        <v>165</v>
      </c>
      <c r="M77" s="144" t="s">
        <v>166</v>
      </c>
      <c r="N77" s="144" t="s">
        <v>167</v>
      </c>
      <c r="O77" s="144" t="s">
        <v>168</v>
      </c>
      <c r="P77" s="144" t="s">
        <v>169</v>
      </c>
      <c r="Q77" s="144" t="s">
        <v>170</v>
      </c>
      <c r="R77" s="144" t="s">
        <v>171</v>
      </c>
      <c r="S77" s="144" t="s">
        <v>172</v>
      </c>
      <c r="T77" s="144" t="s">
        <v>173</v>
      </c>
      <c r="U77" s="144" t="s">
        <v>174</v>
      </c>
      <c r="V77" s="144" t="s">
        <v>175</v>
      </c>
      <c r="W77" s="144" t="s">
        <v>176</v>
      </c>
      <c r="X77" s="385"/>
    </row>
    <row r="78" spans="1:24" ht="12.75" customHeight="1" x14ac:dyDescent="0.15">
      <c r="J78" s="239" t="s">
        <v>177</v>
      </c>
      <c r="K78" s="388">
        <f>K54/1000/K76</f>
        <v>0</v>
      </c>
      <c r="L78" s="388">
        <f t="shared" ref="L78:V78" si="15">L54/1000/L76</f>
        <v>0</v>
      </c>
      <c r="M78" s="388">
        <f t="shared" si="15"/>
        <v>0</v>
      </c>
      <c r="N78" s="388">
        <f t="shared" si="15"/>
        <v>0</v>
      </c>
      <c r="O78" s="388">
        <f t="shared" si="15"/>
        <v>0</v>
      </c>
      <c r="P78" s="388">
        <f t="shared" si="15"/>
        <v>0</v>
      </c>
      <c r="Q78" s="388">
        <f t="shared" si="15"/>
        <v>0</v>
      </c>
      <c r="R78" s="388">
        <f t="shared" si="15"/>
        <v>0</v>
      </c>
      <c r="S78" s="388">
        <f t="shared" si="15"/>
        <v>0</v>
      </c>
      <c r="T78" s="388">
        <f t="shared" si="15"/>
        <v>0</v>
      </c>
      <c r="U78" s="388">
        <f t="shared" si="15"/>
        <v>0</v>
      </c>
      <c r="V78" s="388">
        <f t="shared" si="15"/>
        <v>0</v>
      </c>
      <c r="W78" s="388">
        <f>SUM(K78:V78)</f>
        <v>0</v>
      </c>
      <c r="X78" s="385"/>
    </row>
    <row r="79" spans="1:24" ht="12.75" customHeight="1" x14ac:dyDescent="0.15">
      <c r="J79" s="239" t="s">
        <v>178</v>
      </c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  <c r="X79" s="385"/>
    </row>
    <row r="80" spans="1:24" ht="12.75" customHeight="1" x14ac:dyDescent="0.15">
      <c r="J80" s="239" t="s">
        <v>179</v>
      </c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388"/>
      <c r="V80" s="388"/>
      <c r="W80" s="388"/>
      <c r="X80" s="385"/>
    </row>
    <row r="81" spans="10:24" ht="12.75" customHeight="1" x14ac:dyDescent="0.15">
      <c r="J81" s="239" t="s">
        <v>180</v>
      </c>
      <c r="K81" s="388">
        <f>K50/1000/K76</f>
        <v>0</v>
      </c>
      <c r="L81" s="388">
        <f t="shared" ref="L81:V81" si="16">L50/1000/L76</f>
        <v>18.2</v>
      </c>
      <c r="M81" s="388">
        <f t="shared" si="16"/>
        <v>18.200000000000003</v>
      </c>
      <c r="N81" s="388">
        <f t="shared" si="16"/>
        <v>18.2</v>
      </c>
      <c r="O81" s="388">
        <f t="shared" si="16"/>
        <v>25.48</v>
      </c>
      <c r="P81" s="388">
        <f t="shared" si="16"/>
        <v>25.48</v>
      </c>
      <c r="Q81" s="388">
        <f t="shared" si="16"/>
        <v>25.48</v>
      </c>
      <c r="R81" s="388">
        <f t="shared" si="16"/>
        <v>25.48</v>
      </c>
      <c r="S81" s="388">
        <f t="shared" si="16"/>
        <v>25.48</v>
      </c>
      <c r="T81" s="388">
        <f t="shared" si="16"/>
        <v>25.48</v>
      </c>
      <c r="U81" s="388">
        <f t="shared" si="16"/>
        <v>89.18</v>
      </c>
      <c r="V81" s="388">
        <f t="shared" si="16"/>
        <v>89.179999999999993</v>
      </c>
      <c r="W81" s="388">
        <f>SUM(K81:V81)</f>
        <v>385.84</v>
      </c>
      <c r="X81" s="385"/>
    </row>
    <row r="82" spans="10:24" ht="12.75" customHeight="1" x14ac:dyDescent="0.15">
      <c r="J82" s="239" t="s">
        <v>181</v>
      </c>
      <c r="K82" s="388">
        <f>K73/1000/K76</f>
        <v>117.895</v>
      </c>
      <c r="L82" s="388">
        <f t="shared" ref="L82:V82" si="17">L73/1000/L76</f>
        <v>139.79500000000002</v>
      </c>
      <c r="M82" s="388">
        <f t="shared" si="17"/>
        <v>139.79500000000002</v>
      </c>
      <c r="N82" s="388">
        <f t="shared" si="17"/>
        <v>139.79500000000002</v>
      </c>
      <c r="O82" s="388">
        <f t="shared" si="17"/>
        <v>139.79500000000002</v>
      </c>
      <c r="P82" s="388">
        <f t="shared" si="17"/>
        <v>139.79500000000002</v>
      </c>
      <c r="Q82" s="388">
        <f t="shared" si="17"/>
        <v>139.79500000000002</v>
      </c>
      <c r="R82" s="388">
        <f t="shared" si="17"/>
        <v>139.79500000000002</v>
      </c>
      <c r="S82" s="388">
        <f t="shared" si="17"/>
        <v>139.79500000000002</v>
      </c>
      <c r="T82" s="388">
        <f t="shared" si="17"/>
        <v>139.79500000000002</v>
      </c>
      <c r="U82" s="388">
        <f t="shared" si="17"/>
        <v>139.79500000000002</v>
      </c>
      <c r="V82" s="388">
        <f t="shared" si="17"/>
        <v>150.745</v>
      </c>
      <c r="W82" s="388">
        <f>SUM(K82:V82)</f>
        <v>1666.5900000000006</v>
      </c>
      <c r="X82" s="377"/>
    </row>
    <row r="83" spans="10:24" ht="12.75" customHeight="1" x14ac:dyDescent="0.15">
      <c r="J83" s="239" t="s">
        <v>182</v>
      </c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388"/>
      <c r="V83" s="388"/>
      <c r="W83" s="388">
        <f>SUM(K83:V83)</f>
        <v>0</v>
      </c>
      <c r="X83" s="380"/>
    </row>
    <row r="84" spans="10:24" ht="12.75" customHeight="1" x14ac:dyDescent="0.15">
      <c r="J84" s="239" t="s">
        <v>183</v>
      </c>
      <c r="K84" s="383"/>
      <c r="L84" s="383"/>
      <c r="M84" s="383"/>
      <c r="N84" s="383"/>
      <c r="O84" s="383"/>
      <c r="P84" s="383"/>
      <c r="Q84" s="383"/>
      <c r="R84" s="383"/>
      <c r="S84" s="383"/>
      <c r="T84" s="383"/>
      <c r="U84" s="383"/>
      <c r="V84" s="383"/>
      <c r="W84" s="388">
        <f>SUM(K84:V84)</f>
        <v>0</v>
      </c>
      <c r="X84" s="380"/>
    </row>
    <row r="85" spans="10:24" ht="12.75" customHeight="1" x14ac:dyDescent="0.15">
      <c r="J85" s="239" t="s">
        <v>184</v>
      </c>
      <c r="K85" s="389">
        <f>SUM(K78:K84)</f>
        <v>117.895</v>
      </c>
      <c r="L85" s="389">
        <f t="shared" ref="L85:V85" si="18">SUM(L78:L84)</f>
        <v>157.995</v>
      </c>
      <c r="M85" s="389">
        <f t="shared" si="18"/>
        <v>157.995</v>
      </c>
      <c r="N85" s="389">
        <f t="shared" si="18"/>
        <v>157.995</v>
      </c>
      <c r="O85" s="389">
        <f t="shared" si="18"/>
        <v>165.27500000000001</v>
      </c>
      <c r="P85" s="389">
        <f t="shared" si="18"/>
        <v>165.27500000000001</v>
      </c>
      <c r="Q85" s="389">
        <f t="shared" si="18"/>
        <v>165.27500000000001</v>
      </c>
      <c r="R85" s="389">
        <f t="shared" si="18"/>
        <v>165.27500000000001</v>
      </c>
      <c r="S85" s="389">
        <f t="shared" si="18"/>
        <v>165.27500000000001</v>
      </c>
      <c r="T85" s="389">
        <f t="shared" si="18"/>
        <v>165.27500000000001</v>
      </c>
      <c r="U85" s="389">
        <f t="shared" si="18"/>
        <v>228.97500000000002</v>
      </c>
      <c r="V85" s="389">
        <f t="shared" si="18"/>
        <v>239.92500000000001</v>
      </c>
      <c r="W85" s="389">
        <f>SUM(W78:W84)</f>
        <v>2052.4300000000007</v>
      </c>
      <c r="X85" s="380"/>
    </row>
    <row r="86" spans="10:24" ht="12.75" customHeight="1" x14ac:dyDescent="0.15"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388"/>
      <c r="V86" s="388"/>
      <c r="W86" s="388"/>
      <c r="X86" s="380"/>
    </row>
    <row r="87" spans="10:24" ht="12.75" customHeight="1" x14ac:dyDescent="0.15">
      <c r="J87" s="239" t="s">
        <v>185</v>
      </c>
      <c r="K87" s="388">
        <f>K63/1000/K76</f>
        <v>0</v>
      </c>
      <c r="L87" s="388">
        <f t="shared" ref="L87:V87" si="19">L63/1000/L76</f>
        <v>0</v>
      </c>
      <c r="M87" s="388">
        <f t="shared" si="19"/>
        <v>7.8000000000000007</v>
      </c>
      <c r="N87" s="388">
        <f t="shared" si="19"/>
        <v>7.8</v>
      </c>
      <c r="O87" s="388">
        <f t="shared" si="19"/>
        <v>7.8000000000000007</v>
      </c>
      <c r="P87" s="388">
        <f t="shared" si="19"/>
        <v>7.8</v>
      </c>
      <c r="Q87" s="388">
        <f t="shared" si="19"/>
        <v>7.8000000000000007</v>
      </c>
      <c r="R87" s="388">
        <f t="shared" si="19"/>
        <v>7.8000000000000007</v>
      </c>
      <c r="S87" s="388">
        <f t="shared" si="19"/>
        <v>7.8</v>
      </c>
      <c r="T87" s="388">
        <f t="shared" si="19"/>
        <v>7.8000000000000007</v>
      </c>
      <c r="U87" s="388">
        <f t="shared" si="19"/>
        <v>139</v>
      </c>
      <c r="V87" s="388">
        <f t="shared" si="19"/>
        <v>139</v>
      </c>
      <c r="W87" s="388">
        <f>SUM(K87:V87)</f>
        <v>340.4</v>
      </c>
      <c r="X87" s="380"/>
    </row>
    <row r="88" spans="10:24" ht="12.75" customHeight="1" x14ac:dyDescent="0.15"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0"/>
    </row>
    <row r="89" spans="10:24" ht="12.75" customHeight="1" x14ac:dyDescent="0.15">
      <c r="J89" s="239" t="s">
        <v>177</v>
      </c>
      <c r="K89" s="390">
        <v>4.4999999999999998E-2</v>
      </c>
      <c r="L89" s="390">
        <v>4.4999999999999998E-2</v>
      </c>
      <c r="M89" s="390">
        <v>4.4999999999999998E-2</v>
      </c>
      <c r="N89" s="390">
        <v>4.4999999999999998E-2</v>
      </c>
      <c r="O89" s="390">
        <v>4.4999999999999998E-2</v>
      </c>
      <c r="P89" s="390">
        <v>4.4999999999999998E-2</v>
      </c>
      <c r="Q89" s="390">
        <v>4.4999999999999998E-2</v>
      </c>
      <c r="R89" s="390">
        <v>4.4999999999999998E-2</v>
      </c>
      <c r="S89" s="390">
        <v>4.4999999999999998E-2</v>
      </c>
      <c r="T89" s="390">
        <v>4.4999999999999998E-2</v>
      </c>
      <c r="U89" s="390">
        <v>4.4999999999999998E-2</v>
      </c>
      <c r="V89" s="390">
        <v>4.4999999999999998E-2</v>
      </c>
      <c r="W89" s="388"/>
      <c r="X89" s="377"/>
    </row>
    <row r="90" spans="10:24" ht="12.75" customHeight="1" x14ac:dyDescent="0.15">
      <c r="J90" s="239" t="s">
        <v>178</v>
      </c>
      <c r="K90" s="390">
        <v>4.4999999999999998E-2</v>
      </c>
      <c r="L90" s="390">
        <v>4.4999999999999998E-2</v>
      </c>
      <c r="M90" s="390">
        <v>4.4999999999999998E-2</v>
      </c>
      <c r="N90" s="390">
        <v>4.7500000000000001E-2</v>
      </c>
      <c r="O90" s="390">
        <v>4.7500000000000001E-2</v>
      </c>
      <c r="P90" s="390">
        <v>4.7500000000000001E-2</v>
      </c>
      <c r="Q90" s="390">
        <v>4.7500000000000001E-2</v>
      </c>
      <c r="R90" s="390">
        <v>4.7500000000000001E-2</v>
      </c>
      <c r="S90" s="390">
        <v>4.7500000000000001E-2</v>
      </c>
      <c r="T90" s="390">
        <v>4.7500000000000001E-2</v>
      </c>
      <c r="U90" s="390">
        <v>4.7500000000000001E-2</v>
      </c>
      <c r="V90" s="390">
        <v>4.7500000000000001E-2</v>
      </c>
      <c r="W90" s="388"/>
      <c r="X90" s="381"/>
    </row>
    <row r="91" spans="10:24" ht="12.75" customHeight="1" x14ac:dyDescent="0.15">
      <c r="J91" s="239" t="s">
        <v>179</v>
      </c>
      <c r="K91" s="390">
        <f>0.045+0.0025</f>
        <v>4.7500000000000001E-2</v>
      </c>
      <c r="L91" s="390">
        <f t="shared" ref="L91:V91" si="20">0.045+0.0025</f>
        <v>4.7500000000000001E-2</v>
      </c>
      <c r="M91" s="390">
        <f t="shared" si="20"/>
        <v>4.7500000000000001E-2</v>
      </c>
      <c r="N91" s="390">
        <f t="shared" si="20"/>
        <v>4.7500000000000001E-2</v>
      </c>
      <c r="O91" s="390">
        <f t="shared" si="20"/>
        <v>4.7500000000000001E-2</v>
      </c>
      <c r="P91" s="390">
        <f t="shared" si="20"/>
        <v>4.7500000000000001E-2</v>
      </c>
      <c r="Q91" s="390">
        <f t="shared" si="20"/>
        <v>4.7500000000000001E-2</v>
      </c>
      <c r="R91" s="390">
        <f t="shared" si="20"/>
        <v>4.7500000000000001E-2</v>
      </c>
      <c r="S91" s="390">
        <f t="shared" si="20"/>
        <v>4.7500000000000001E-2</v>
      </c>
      <c r="T91" s="390">
        <f t="shared" si="20"/>
        <v>4.7500000000000001E-2</v>
      </c>
      <c r="U91" s="390">
        <f t="shared" si="20"/>
        <v>4.7500000000000001E-2</v>
      </c>
      <c r="V91" s="390">
        <f t="shared" si="20"/>
        <v>4.7500000000000001E-2</v>
      </c>
      <c r="W91" s="388"/>
      <c r="X91" s="382"/>
    </row>
    <row r="92" spans="10:24" ht="12.75" customHeight="1" x14ac:dyDescent="0.15">
      <c r="J92" s="239" t="s">
        <v>180</v>
      </c>
      <c r="K92" s="390">
        <v>0.05</v>
      </c>
      <c r="L92" s="390">
        <v>0.05</v>
      </c>
      <c r="M92" s="390">
        <v>0.05</v>
      </c>
      <c r="N92" s="390">
        <v>0.05</v>
      </c>
      <c r="O92" s="390">
        <v>0.05</v>
      </c>
      <c r="P92" s="390">
        <v>0.05</v>
      </c>
      <c r="Q92" s="390">
        <v>0.05</v>
      </c>
      <c r="R92" s="390">
        <v>0.05</v>
      </c>
      <c r="S92" s="390">
        <v>0.05</v>
      </c>
      <c r="T92" s="390">
        <v>0.05</v>
      </c>
      <c r="U92" s="390">
        <v>0.05</v>
      </c>
      <c r="V92" s="390">
        <v>0.05</v>
      </c>
      <c r="W92" s="388"/>
      <c r="X92" s="382"/>
    </row>
    <row r="93" spans="10:24" ht="12.75" customHeight="1" x14ac:dyDescent="0.15">
      <c r="J93" s="239" t="s">
        <v>181</v>
      </c>
      <c r="K93" s="390">
        <v>2.5000000000000001E-3</v>
      </c>
      <c r="L93" s="390">
        <v>2.5000000000000001E-3</v>
      </c>
      <c r="M93" s="390">
        <v>2.5000000000000001E-3</v>
      </c>
      <c r="N93" s="390">
        <v>2.5000000000000001E-3</v>
      </c>
      <c r="O93" s="390">
        <v>2.5000000000000001E-3</v>
      </c>
      <c r="P93" s="390">
        <v>2.5000000000000001E-3</v>
      </c>
      <c r="Q93" s="390">
        <v>2.5000000000000001E-3</v>
      </c>
      <c r="R93" s="390">
        <v>2.5000000000000001E-3</v>
      </c>
      <c r="S93" s="390">
        <v>2.5000000000000001E-3</v>
      </c>
      <c r="T93" s="390">
        <v>2.5000000000000001E-3</v>
      </c>
      <c r="U93" s="390">
        <v>2.5000000000000001E-3</v>
      </c>
      <c r="V93" s="390">
        <v>2.5000000000000001E-3</v>
      </c>
      <c r="W93" s="388"/>
      <c r="X93" s="298"/>
    </row>
    <row r="94" spans="10:24" ht="12.75" customHeight="1" x14ac:dyDescent="0.15">
      <c r="J94" s="239" t="s">
        <v>182</v>
      </c>
      <c r="K94" s="390">
        <v>2.5000000000000001E-3</v>
      </c>
      <c r="L94" s="390">
        <v>2.5000000000000001E-3</v>
      </c>
      <c r="M94" s="390">
        <v>2.5000000000000001E-3</v>
      </c>
      <c r="N94" s="390">
        <v>2.5000000000000001E-3</v>
      </c>
      <c r="O94" s="390">
        <v>2.5000000000000001E-3</v>
      </c>
      <c r="P94" s="390">
        <v>2.5000000000000001E-3</v>
      </c>
      <c r="Q94" s="390">
        <v>2.5000000000000001E-3</v>
      </c>
      <c r="R94" s="390">
        <v>2.5000000000000001E-3</v>
      </c>
      <c r="S94" s="390">
        <v>2.5000000000000001E-3</v>
      </c>
      <c r="T94" s="390">
        <v>2.5000000000000001E-3</v>
      </c>
      <c r="U94" s="390">
        <v>2.5000000000000001E-3</v>
      </c>
      <c r="V94" s="390">
        <v>2.5000000000000001E-3</v>
      </c>
      <c r="W94" s="388"/>
      <c r="X94" s="298"/>
    </row>
    <row r="95" spans="10:24" ht="12.75" customHeight="1" x14ac:dyDescent="0.15">
      <c r="J95" s="239" t="s">
        <v>183</v>
      </c>
      <c r="K95" s="390">
        <v>2.5000000000000001E-3</v>
      </c>
      <c r="L95" s="390">
        <v>2.5000000000000001E-3</v>
      </c>
      <c r="M95" s="390">
        <v>2.5000000000000001E-3</v>
      </c>
      <c r="N95" s="390">
        <v>2.5000000000000001E-3</v>
      </c>
      <c r="O95" s="390">
        <v>2.5000000000000001E-3</v>
      </c>
      <c r="P95" s="390">
        <v>2.5000000000000001E-3</v>
      </c>
      <c r="Q95" s="390">
        <v>2.5000000000000001E-3</v>
      </c>
      <c r="R95" s="390">
        <v>2.5000000000000001E-3</v>
      </c>
      <c r="S95" s="390">
        <v>2.5000000000000001E-3</v>
      </c>
      <c r="T95" s="390">
        <v>2.5000000000000001E-3</v>
      </c>
      <c r="U95" s="390">
        <v>2.5000000000000001E-3</v>
      </c>
      <c r="V95" s="390">
        <v>2.5000000000000001E-3</v>
      </c>
      <c r="W95" s="388"/>
      <c r="X95" s="298"/>
    </row>
    <row r="96" spans="10:24" ht="12.75" customHeight="1" x14ac:dyDescent="0.15">
      <c r="J96" s="239" t="s">
        <v>163</v>
      </c>
      <c r="K96" s="390">
        <v>1.3100000000000001E-2</v>
      </c>
      <c r="L96" s="390">
        <v>1.3100000000000001E-2</v>
      </c>
      <c r="M96" s="390">
        <v>1.3100000000000001E-2</v>
      </c>
      <c r="N96" s="390">
        <v>1.3100000000000001E-2</v>
      </c>
      <c r="O96" s="390">
        <v>1.3100000000000001E-2</v>
      </c>
      <c r="P96" s="390">
        <v>1.3100000000000001E-2</v>
      </c>
      <c r="Q96" s="390">
        <v>1.3100000000000001E-2</v>
      </c>
      <c r="R96" s="390">
        <v>1.3100000000000001E-2</v>
      </c>
      <c r="S96" s="390">
        <v>1.3100000000000001E-2</v>
      </c>
      <c r="T96" s="390">
        <v>1.3100000000000001E-2</v>
      </c>
      <c r="U96" s="390">
        <v>1.3100000000000001E-2</v>
      </c>
      <c r="V96" s="390">
        <v>1.3100000000000001E-2</v>
      </c>
      <c r="W96" s="388"/>
      <c r="X96" s="298"/>
    </row>
    <row r="97" spans="10:24" ht="12.75" customHeight="1" x14ac:dyDescent="0.15"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  <c r="X97" s="298"/>
    </row>
    <row r="98" spans="10:24" ht="12.75" customHeight="1" x14ac:dyDescent="0.15">
      <c r="J98" s="239" t="s">
        <v>177</v>
      </c>
      <c r="K98" s="388">
        <f>ROUND((((K78/(1-K89))-K78)*K$2),0)</f>
        <v>0</v>
      </c>
      <c r="L98" s="388">
        <f t="shared" ref="L98:V98" si="21">ROUND((((L78/(1-L89))-L78)*L$2),0)</f>
        <v>0</v>
      </c>
      <c r="M98" s="388">
        <f t="shared" si="21"/>
        <v>0</v>
      </c>
      <c r="N98" s="388">
        <f t="shared" si="21"/>
        <v>0</v>
      </c>
      <c r="O98" s="388">
        <f t="shared" si="21"/>
        <v>0</v>
      </c>
      <c r="P98" s="388">
        <f t="shared" si="21"/>
        <v>0</v>
      </c>
      <c r="Q98" s="388">
        <f t="shared" si="21"/>
        <v>0</v>
      </c>
      <c r="R98" s="388">
        <f t="shared" si="21"/>
        <v>0</v>
      </c>
      <c r="S98" s="388">
        <f t="shared" si="21"/>
        <v>0</v>
      </c>
      <c r="T98" s="388">
        <f t="shared" si="21"/>
        <v>0</v>
      </c>
      <c r="U98" s="388">
        <f t="shared" si="21"/>
        <v>0</v>
      </c>
      <c r="V98" s="388">
        <f t="shared" si="21"/>
        <v>0</v>
      </c>
      <c r="W98" s="388">
        <f>SUM(K98:V98)</f>
        <v>0</v>
      </c>
    </row>
    <row r="99" spans="10:24" ht="12.75" customHeight="1" x14ac:dyDescent="0.15">
      <c r="J99" s="239" t="s">
        <v>178</v>
      </c>
      <c r="K99" s="388">
        <f t="shared" ref="K99:V104" si="22">ROUND((((K79/(1-K90))-K79)*K$2),0)</f>
        <v>0</v>
      </c>
      <c r="L99" s="388">
        <f t="shared" si="22"/>
        <v>0</v>
      </c>
      <c r="M99" s="388">
        <f t="shared" si="22"/>
        <v>0</v>
      </c>
      <c r="N99" s="388">
        <f t="shared" si="22"/>
        <v>0</v>
      </c>
      <c r="O99" s="388">
        <f t="shared" si="22"/>
        <v>0</v>
      </c>
      <c r="P99" s="388">
        <f t="shared" si="22"/>
        <v>0</v>
      </c>
      <c r="Q99" s="388">
        <f t="shared" si="22"/>
        <v>0</v>
      </c>
      <c r="R99" s="388">
        <f t="shared" si="22"/>
        <v>0</v>
      </c>
      <c r="S99" s="388">
        <f t="shared" si="22"/>
        <v>0</v>
      </c>
      <c r="T99" s="388">
        <f t="shared" si="22"/>
        <v>0</v>
      </c>
      <c r="U99" s="388">
        <f t="shared" si="22"/>
        <v>0</v>
      </c>
      <c r="V99" s="388">
        <f t="shared" si="22"/>
        <v>0</v>
      </c>
      <c r="W99" s="388">
        <f t="shared" ref="W99:W104" si="23">SUM(K99:V99)</f>
        <v>0</v>
      </c>
    </row>
    <row r="100" spans="10:24" ht="12.75" customHeight="1" x14ac:dyDescent="0.15">
      <c r="J100" s="239" t="s">
        <v>179</v>
      </c>
      <c r="K100" s="388">
        <f t="shared" si="22"/>
        <v>0</v>
      </c>
      <c r="L100" s="388">
        <f t="shared" si="22"/>
        <v>0</v>
      </c>
      <c r="M100" s="388">
        <f t="shared" si="22"/>
        <v>0</v>
      </c>
      <c r="N100" s="388">
        <f t="shared" si="22"/>
        <v>0</v>
      </c>
      <c r="O100" s="388">
        <f t="shared" si="22"/>
        <v>0</v>
      </c>
      <c r="P100" s="388">
        <f t="shared" si="22"/>
        <v>0</v>
      </c>
      <c r="Q100" s="388">
        <f t="shared" si="22"/>
        <v>0</v>
      </c>
      <c r="R100" s="388">
        <f t="shared" si="22"/>
        <v>0</v>
      </c>
      <c r="S100" s="388">
        <f t="shared" si="22"/>
        <v>0</v>
      </c>
      <c r="T100" s="388">
        <f t="shared" si="22"/>
        <v>0</v>
      </c>
      <c r="U100" s="388">
        <f t="shared" si="22"/>
        <v>0</v>
      </c>
      <c r="V100" s="388">
        <f t="shared" si="22"/>
        <v>0</v>
      </c>
      <c r="W100" s="388">
        <f t="shared" si="23"/>
        <v>0</v>
      </c>
    </row>
    <row r="101" spans="10:24" ht="12.75" customHeight="1" x14ac:dyDescent="0.15">
      <c r="J101" s="239" t="s">
        <v>180</v>
      </c>
      <c r="K101" s="388">
        <f t="shared" si="22"/>
        <v>0</v>
      </c>
      <c r="L101" s="388">
        <f t="shared" si="22"/>
        <v>27</v>
      </c>
      <c r="M101" s="388">
        <f t="shared" si="22"/>
        <v>30</v>
      </c>
      <c r="N101" s="388">
        <f t="shared" si="22"/>
        <v>29</v>
      </c>
      <c r="O101" s="388">
        <f t="shared" si="22"/>
        <v>42</v>
      </c>
      <c r="P101" s="388">
        <f t="shared" si="22"/>
        <v>40</v>
      </c>
      <c r="Q101" s="388">
        <f t="shared" si="22"/>
        <v>42</v>
      </c>
      <c r="R101" s="388">
        <f t="shared" si="22"/>
        <v>42</v>
      </c>
      <c r="S101" s="388">
        <f t="shared" si="22"/>
        <v>40</v>
      </c>
      <c r="T101" s="388">
        <f t="shared" si="22"/>
        <v>42</v>
      </c>
      <c r="U101" s="388">
        <f t="shared" si="22"/>
        <v>141</v>
      </c>
      <c r="V101" s="388">
        <f t="shared" si="22"/>
        <v>146</v>
      </c>
      <c r="W101" s="388">
        <f t="shared" si="23"/>
        <v>621</v>
      </c>
    </row>
    <row r="102" spans="10:24" ht="12.75" customHeight="1" x14ac:dyDescent="0.15">
      <c r="J102" s="239" t="s">
        <v>181</v>
      </c>
      <c r="K102" s="388">
        <f t="shared" si="22"/>
        <v>9</v>
      </c>
      <c r="L102" s="388">
        <f t="shared" si="22"/>
        <v>10</v>
      </c>
      <c r="M102" s="388">
        <f t="shared" si="22"/>
        <v>11</v>
      </c>
      <c r="N102" s="388">
        <f t="shared" si="22"/>
        <v>11</v>
      </c>
      <c r="O102" s="388">
        <f t="shared" si="22"/>
        <v>11</v>
      </c>
      <c r="P102" s="388">
        <f t="shared" si="22"/>
        <v>11</v>
      </c>
      <c r="Q102" s="388">
        <f t="shared" si="22"/>
        <v>11</v>
      </c>
      <c r="R102" s="388">
        <f t="shared" si="22"/>
        <v>11</v>
      </c>
      <c r="S102" s="388">
        <f t="shared" si="22"/>
        <v>11</v>
      </c>
      <c r="T102" s="388">
        <f t="shared" si="22"/>
        <v>11</v>
      </c>
      <c r="U102" s="388">
        <f t="shared" si="22"/>
        <v>11</v>
      </c>
      <c r="V102" s="388">
        <f t="shared" si="22"/>
        <v>12</v>
      </c>
      <c r="W102" s="388">
        <f t="shared" si="23"/>
        <v>130</v>
      </c>
    </row>
    <row r="103" spans="10:24" ht="12.75" customHeight="1" x14ac:dyDescent="0.15">
      <c r="J103" s="239" t="s">
        <v>182</v>
      </c>
      <c r="K103" s="388">
        <f t="shared" si="22"/>
        <v>0</v>
      </c>
      <c r="L103" s="388">
        <f t="shared" si="22"/>
        <v>0</v>
      </c>
      <c r="M103" s="388">
        <f t="shared" si="22"/>
        <v>0</v>
      </c>
      <c r="N103" s="388">
        <f t="shared" si="22"/>
        <v>0</v>
      </c>
      <c r="O103" s="388">
        <f t="shared" si="22"/>
        <v>0</v>
      </c>
      <c r="P103" s="388">
        <f t="shared" si="22"/>
        <v>0</v>
      </c>
      <c r="Q103" s="388">
        <f t="shared" si="22"/>
        <v>0</v>
      </c>
      <c r="R103" s="388">
        <f t="shared" si="22"/>
        <v>0</v>
      </c>
      <c r="S103" s="388">
        <f t="shared" si="22"/>
        <v>0</v>
      </c>
      <c r="T103" s="388">
        <f t="shared" si="22"/>
        <v>0</v>
      </c>
      <c r="U103" s="388">
        <f t="shared" si="22"/>
        <v>0</v>
      </c>
      <c r="V103" s="388">
        <f t="shared" si="22"/>
        <v>0</v>
      </c>
      <c r="W103" s="388">
        <f t="shared" si="23"/>
        <v>0</v>
      </c>
    </row>
    <row r="104" spans="10:24" ht="12.75" customHeight="1" x14ac:dyDescent="0.15">
      <c r="J104" s="239" t="s">
        <v>183</v>
      </c>
      <c r="K104" s="388">
        <f t="shared" si="22"/>
        <v>0</v>
      </c>
      <c r="L104" s="388">
        <f t="shared" si="22"/>
        <v>0</v>
      </c>
      <c r="M104" s="388">
        <f t="shared" si="22"/>
        <v>0</v>
      </c>
      <c r="N104" s="388">
        <f t="shared" si="22"/>
        <v>0</v>
      </c>
      <c r="O104" s="388">
        <f t="shared" si="22"/>
        <v>0</v>
      </c>
      <c r="P104" s="388">
        <f t="shared" si="22"/>
        <v>0</v>
      </c>
      <c r="Q104" s="388">
        <f t="shared" si="22"/>
        <v>0</v>
      </c>
      <c r="R104" s="388">
        <f t="shared" si="22"/>
        <v>0</v>
      </c>
      <c r="S104" s="388">
        <f t="shared" si="22"/>
        <v>0</v>
      </c>
      <c r="T104" s="388">
        <f t="shared" si="22"/>
        <v>0</v>
      </c>
      <c r="U104" s="388">
        <f t="shared" si="22"/>
        <v>0</v>
      </c>
      <c r="V104" s="388">
        <f t="shared" si="22"/>
        <v>0</v>
      </c>
      <c r="W104" s="388">
        <f t="shared" si="23"/>
        <v>0</v>
      </c>
    </row>
    <row r="105" spans="10:24" ht="12.75" customHeight="1" x14ac:dyDescent="0.15">
      <c r="J105" s="239" t="s">
        <v>184</v>
      </c>
      <c r="K105" s="389">
        <f>SUM(K98:K104)</f>
        <v>9</v>
      </c>
      <c r="L105" s="389">
        <f t="shared" ref="L105:W105" si="24">SUM(L98:L104)</f>
        <v>37</v>
      </c>
      <c r="M105" s="389">
        <f t="shared" si="24"/>
        <v>41</v>
      </c>
      <c r="N105" s="389">
        <f t="shared" si="24"/>
        <v>40</v>
      </c>
      <c r="O105" s="389">
        <f t="shared" si="24"/>
        <v>53</v>
      </c>
      <c r="P105" s="389">
        <f t="shared" si="24"/>
        <v>51</v>
      </c>
      <c r="Q105" s="389">
        <f t="shared" si="24"/>
        <v>53</v>
      </c>
      <c r="R105" s="389">
        <f t="shared" si="24"/>
        <v>53</v>
      </c>
      <c r="S105" s="389">
        <f t="shared" si="24"/>
        <v>51</v>
      </c>
      <c r="T105" s="389">
        <f t="shared" si="24"/>
        <v>53</v>
      </c>
      <c r="U105" s="389">
        <f t="shared" si="24"/>
        <v>152</v>
      </c>
      <c r="V105" s="389">
        <f t="shared" si="24"/>
        <v>158</v>
      </c>
      <c r="W105" s="389">
        <f t="shared" si="24"/>
        <v>751</v>
      </c>
    </row>
    <row r="106" spans="10:24" ht="12.75" customHeight="1" x14ac:dyDescent="0.15"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</row>
    <row r="107" spans="10:24" ht="12.75" customHeight="1" x14ac:dyDescent="0.15">
      <c r="J107" s="239" t="s">
        <v>186</v>
      </c>
      <c r="K107" s="391">
        <f>ROUND((((K87/(1-K96))-K87)*K$2),0)</f>
        <v>0</v>
      </c>
      <c r="L107" s="391">
        <f t="shared" ref="L107:V107" si="25">ROUND((((L87/(1-L96))-L87)*L$2),0)</f>
        <v>0</v>
      </c>
      <c r="M107" s="391">
        <f t="shared" si="25"/>
        <v>3</v>
      </c>
      <c r="N107" s="391">
        <f t="shared" si="25"/>
        <v>3</v>
      </c>
      <c r="O107" s="391">
        <f t="shared" si="25"/>
        <v>3</v>
      </c>
      <c r="P107" s="391">
        <f t="shared" si="25"/>
        <v>3</v>
      </c>
      <c r="Q107" s="391">
        <f t="shared" si="25"/>
        <v>3</v>
      </c>
      <c r="R107" s="391">
        <f t="shared" si="25"/>
        <v>3</v>
      </c>
      <c r="S107" s="391">
        <f t="shared" si="25"/>
        <v>3</v>
      </c>
      <c r="T107" s="391">
        <f t="shared" si="25"/>
        <v>3</v>
      </c>
      <c r="U107" s="391">
        <f t="shared" si="25"/>
        <v>55</v>
      </c>
      <c r="V107" s="391">
        <f t="shared" si="25"/>
        <v>57</v>
      </c>
      <c r="W107" s="391">
        <f>SUM(K107:V107)</f>
        <v>136</v>
      </c>
    </row>
    <row r="108" spans="10:24" ht="12.75" customHeight="1" x14ac:dyDescent="0.15">
      <c r="J108" s="239" t="s">
        <v>196</v>
      </c>
      <c r="K108" s="392">
        <f t="shared" ref="K108:V108" si="26">+K107+K105</f>
        <v>9</v>
      </c>
      <c r="L108" s="392">
        <f t="shared" si="26"/>
        <v>37</v>
      </c>
      <c r="M108" s="392">
        <f t="shared" si="26"/>
        <v>44</v>
      </c>
      <c r="N108" s="392">
        <f t="shared" si="26"/>
        <v>43</v>
      </c>
      <c r="O108" s="392">
        <f t="shared" si="26"/>
        <v>56</v>
      </c>
      <c r="P108" s="392">
        <f t="shared" si="26"/>
        <v>54</v>
      </c>
      <c r="Q108" s="392">
        <f t="shared" si="26"/>
        <v>56</v>
      </c>
      <c r="R108" s="392">
        <f t="shared" si="26"/>
        <v>56</v>
      </c>
      <c r="S108" s="392">
        <f t="shared" si="26"/>
        <v>54</v>
      </c>
      <c r="T108" s="392">
        <f t="shared" si="26"/>
        <v>56</v>
      </c>
      <c r="U108" s="392">
        <f t="shared" si="26"/>
        <v>207</v>
      </c>
      <c r="V108" s="392">
        <f t="shared" si="26"/>
        <v>215</v>
      </c>
      <c r="W108" s="392">
        <f>SUM(K108:V108)</f>
        <v>887</v>
      </c>
    </row>
    <row r="109" spans="10:24" ht="12.75" customHeight="1" x14ac:dyDescent="0.15">
      <c r="K109" s="391"/>
      <c r="L109" s="391"/>
      <c r="M109" s="391"/>
      <c r="N109" s="391"/>
      <c r="O109" s="391"/>
      <c r="P109" s="391"/>
      <c r="Q109" s="391"/>
      <c r="R109" s="391"/>
      <c r="S109" s="391"/>
      <c r="T109" s="391"/>
      <c r="U109" s="391"/>
      <c r="V109" s="391"/>
      <c r="W109" s="391"/>
    </row>
    <row r="110" spans="10:24" ht="12.75" customHeight="1" x14ac:dyDescent="0.15">
      <c r="J110" s="239" t="s">
        <v>187</v>
      </c>
      <c r="K110" s="391" t="e">
        <f>+ROUND(((K78+K79+K80+K81+K82+K87)*-K122*K$2),0)</f>
        <v>#REF!</v>
      </c>
      <c r="L110" s="391" t="e">
        <f t="shared" ref="L110:V110" si="27">+ROUND(((L78+L79+L80+L81+L82+L87)*-L122*L$2),0)</f>
        <v>#REF!</v>
      </c>
      <c r="M110" s="391" t="e">
        <f t="shared" si="27"/>
        <v>#REF!</v>
      </c>
      <c r="N110" s="391" t="e">
        <f t="shared" si="27"/>
        <v>#REF!</v>
      </c>
      <c r="O110" s="391" t="e">
        <f t="shared" si="27"/>
        <v>#REF!</v>
      </c>
      <c r="P110" s="391" t="e">
        <f t="shared" si="27"/>
        <v>#REF!</v>
      </c>
      <c r="Q110" s="391" t="e">
        <f t="shared" si="27"/>
        <v>#REF!</v>
      </c>
      <c r="R110" s="391" t="e">
        <f t="shared" si="27"/>
        <v>#REF!</v>
      </c>
      <c r="S110" s="391" t="e">
        <f t="shared" si="27"/>
        <v>#REF!</v>
      </c>
      <c r="T110" s="391" t="e">
        <f t="shared" si="27"/>
        <v>#REF!</v>
      </c>
      <c r="U110" s="391" t="e">
        <f t="shared" si="27"/>
        <v>#REF!</v>
      </c>
      <c r="V110" s="391" t="e">
        <f t="shared" si="27"/>
        <v>#REF!</v>
      </c>
      <c r="W110" s="391" t="e">
        <f>SUM(K110:V110)</f>
        <v>#REF!</v>
      </c>
    </row>
    <row r="111" spans="10:24" ht="12.75" customHeight="1" x14ac:dyDescent="0.15">
      <c r="J111" s="239" t="s">
        <v>85</v>
      </c>
      <c r="K111" s="391" t="e">
        <f t="shared" ref="K111:V111" si="28">+ROUND(((K85+K87)*-K121*K76),0)</f>
        <v>#REF!</v>
      </c>
      <c r="L111" s="391" t="e">
        <f t="shared" si="28"/>
        <v>#REF!</v>
      </c>
      <c r="M111" s="391" t="e">
        <f t="shared" si="28"/>
        <v>#REF!</v>
      </c>
      <c r="N111" s="391" t="e">
        <f t="shared" si="28"/>
        <v>#REF!</v>
      </c>
      <c r="O111" s="391" t="e">
        <f t="shared" si="28"/>
        <v>#REF!</v>
      </c>
      <c r="P111" s="391" t="e">
        <f t="shared" si="28"/>
        <v>#REF!</v>
      </c>
      <c r="Q111" s="391" t="e">
        <f t="shared" si="28"/>
        <v>#REF!</v>
      </c>
      <c r="R111" s="391" t="e">
        <f t="shared" si="28"/>
        <v>#REF!</v>
      </c>
      <c r="S111" s="391" t="e">
        <f t="shared" si="28"/>
        <v>#REF!</v>
      </c>
      <c r="T111" s="391" t="e">
        <f t="shared" si="28"/>
        <v>#REF!</v>
      </c>
      <c r="U111" s="391" t="e">
        <f t="shared" si="28"/>
        <v>#REF!</v>
      </c>
      <c r="V111" s="391" t="e">
        <f t="shared" si="28"/>
        <v>#REF!</v>
      </c>
      <c r="W111" s="391" t="e">
        <f>SUM(K111:V111)</f>
        <v>#REF!</v>
      </c>
    </row>
    <row r="113" spans="10:23" ht="12.75" customHeight="1" x14ac:dyDescent="0.15">
      <c r="J113" s="239" t="s">
        <v>188</v>
      </c>
      <c r="K113" s="393" t="e">
        <f t="shared" ref="K113:V113" si="29">ROUND((K108*K120),0)</f>
        <v>#REF!</v>
      </c>
      <c r="L113" s="393" t="e">
        <f t="shared" si="29"/>
        <v>#REF!</v>
      </c>
      <c r="M113" s="393" t="e">
        <f t="shared" si="29"/>
        <v>#REF!</v>
      </c>
      <c r="N113" s="393" t="e">
        <f t="shared" si="29"/>
        <v>#REF!</v>
      </c>
      <c r="O113" s="393" t="e">
        <f t="shared" si="29"/>
        <v>#REF!</v>
      </c>
      <c r="P113" s="393" t="e">
        <f t="shared" si="29"/>
        <v>#REF!</v>
      </c>
      <c r="Q113" s="393" t="e">
        <f t="shared" si="29"/>
        <v>#REF!</v>
      </c>
      <c r="R113" s="393" t="e">
        <f t="shared" si="29"/>
        <v>#REF!</v>
      </c>
      <c r="S113" s="393" t="e">
        <f t="shared" si="29"/>
        <v>#REF!</v>
      </c>
      <c r="T113" s="393" t="e">
        <f t="shared" si="29"/>
        <v>#REF!</v>
      </c>
      <c r="U113" s="393" t="e">
        <f t="shared" si="29"/>
        <v>#REF!</v>
      </c>
      <c r="V113" s="393" t="e">
        <f t="shared" si="29"/>
        <v>#REF!</v>
      </c>
      <c r="W113" s="393" t="e">
        <f t="shared" ref="W113:W118" si="30">SUM(K113:V113)</f>
        <v>#REF!</v>
      </c>
    </row>
    <row r="114" spans="10:23" ht="12.75" customHeight="1" x14ac:dyDescent="0.15">
      <c r="K114" s="393"/>
      <c r="L114" s="393"/>
      <c r="M114" s="393"/>
      <c r="N114" s="393"/>
      <c r="O114" s="393"/>
      <c r="P114" s="393"/>
      <c r="Q114" s="393"/>
      <c r="R114" s="393"/>
      <c r="S114" s="393"/>
      <c r="T114" s="393"/>
      <c r="U114" s="393"/>
      <c r="V114" s="393"/>
      <c r="W114" s="393">
        <f t="shared" si="30"/>
        <v>0</v>
      </c>
    </row>
    <row r="115" spans="10:23" ht="12.75" customHeight="1" x14ac:dyDescent="0.15">
      <c r="J115" s="239" t="s">
        <v>189</v>
      </c>
      <c r="K115" s="393" t="e">
        <f t="shared" ref="K115:V115" si="31">ROUND((K110*K120),0)</f>
        <v>#REF!</v>
      </c>
      <c r="L115" s="393" t="e">
        <f t="shared" si="31"/>
        <v>#REF!</v>
      </c>
      <c r="M115" s="393" t="e">
        <f t="shared" si="31"/>
        <v>#REF!</v>
      </c>
      <c r="N115" s="393" t="e">
        <f t="shared" si="31"/>
        <v>#REF!</v>
      </c>
      <c r="O115" s="393" t="e">
        <f t="shared" si="31"/>
        <v>#REF!</v>
      </c>
      <c r="P115" s="393" t="e">
        <f t="shared" si="31"/>
        <v>#REF!</v>
      </c>
      <c r="Q115" s="393" t="e">
        <f t="shared" si="31"/>
        <v>#REF!</v>
      </c>
      <c r="R115" s="393" t="e">
        <f t="shared" si="31"/>
        <v>#REF!</v>
      </c>
      <c r="S115" s="393" t="e">
        <f t="shared" si="31"/>
        <v>#REF!</v>
      </c>
      <c r="T115" s="393" t="e">
        <f t="shared" si="31"/>
        <v>#REF!</v>
      </c>
      <c r="U115" s="393" t="e">
        <f t="shared" si="31"/>
        <v>#REF!</v>
      </c>
      <c r="V115" s="393" t="e">
        <f t="shared" si="31"/>
        <v>#REF!</v>
      </c>
      <c r="W115" s="393" t="e">
        <f t="shared" si="30"/>
        <v>#REF!</v>
      </c>
    </row>
    <row r="116" spans="10:23" ht="12.75" customHeight="1" x14ac:dyDescent="0.15">
      <c r="J116" s="239" t="s">
        <v>197</v>
      </c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>
        <f t="shared" si="30"/>
        <v>0</v>
      </c>
    </row>
    <row r="117" spans="10:23" ht="12.75" customHeight="1" x14ac:dyDescent="0.15">
      <c r="J117" s="239" t="s">
        <v>190</v>
      </c>
      <c r="K117" s="393" t="e">
        <f t="shared" ref="K117:V117" si="32">ROUND((K111*K120),0)</f>
        <v>#REF!</v>
      </c>
      <c r="L117" s="393" t="e">
        <f t="shared" si="32"/>
        <v>#REF!</v>
      </c>
      <c r="M117" s="393" t="e">
        <f t="shared" si="32"/>
        <v>#REF!</v>
      </c>
      <c r="N117" s="393" t="e">
        <f t="shared" si="32"/>
        <v>#REF!</v>
      </c>
      <c r="O117" s="393" t="e">
        <f t="shared" si="32"/>
        <v>#REF!</v>
      </c>
      <c r="P117" s="393" t="e">
        <f t="shared" si="32"/>
        <v>#REF!</v>
      </c>
      <c r="Q117" s="393" t="e">
        <f t="shared" si="32"/>
        <v>#REF!</v>
      </c>
      <c r="R117" s="393" t="e">
        <f t="shared" si="32"/>
        <v>#REF!</v>
      </c>
      <c r="S117" s="393" t="e">
        <f t="shared" si="32"/>
        <v>#REF!</v>
      </c>
      <c r="T117" s="393" t="e">
        <f t="shared" si="32"/>
        <v>#REF!</v>
      </c>
      <c r="U117" s="393" t="e">
        <f t="shared" si="32"/>
        <v>#REF!</v>
      </c>
      <c r="V117" s="393" t="e">
        <f t="shared" si="32"/>
        <v>#REF!</v>
      </c>
      <c r="W117" s="393" t="e">
        <f t="shared" si="30"/>
        <v>#REF!</v>
      </c>
    </row>
    <row r="118" spans="10:23" ht="12.75" customHeight="1" x14ac:dyDescent="0.15">
      <c r="J118" s="239" t="s">
        <v>191</v>
      </c>
      <c r="K118" s="394" t="e">
        <f t="shared" ref="K118:V118" si="33">SUM(K113:K117)</f>
        <v>#REF!</v>
      </c>
      <c r="L118" s="394" t="e">
        <f t="shared" si="33"/>
        <v>#REF!</v>
      </c>
      <c r="M118" s="394" t="e">
        <f t="shared" si="33"/>
        <v>#REF!</v>
      </c>
      <c r="N118" s="394" t="e">
        <f t="shared" si="33"/>
        <v>#REF!</v>
      </c>
      <c r="O118" s="394" t="e">
        <f t="shared" si="33"/>
        <v>#REF!</v>
      </c>
      <c r="P118" s="394" t="e">
        <f t="shared" si="33"/>
        <v>#REF!</v>
      </c>
      <c r="Q118" s="394" t="e">
        <f t="shared" si="33"/>
        <v>#REF!</v>
      </c>
      <c r="R118" s="394" t="e">
        <f t="shared" si="33"/>
        <v>#REF!</v>
      </c>
      <c r="S118" s="394" t="e">
        <f t="shared" si="33"/>
        <v>#REF!</v>
      </c>
      <c r="T118" s="394" t="e">
        <f t="shared" si="33"/>
        <v>#REF!</v>
      </c>
      <c r="U118" s="394" t="e">
        <f t="shared" si="33"/>
        <v>#REF!</v>
      </c>
      <c r="V118" s="394" t="e">
        <f t="shared" si="33"/>
        <v>#REF!</v>
      </c>
      <c r="W118" s="394" t="e">
        <f t="shared" si="30"/>
        <v>#REF!</v>
      </c>
    </row>
    <row r="120" spans="10:23" ht="12.75" customHeight="1" x14ac:dyDescent="0.15">
      <c r="J120" s="395" t="s">
        <v>192</v>
      </c>
      <c r="K120" s="395" t="e">
        <f>#REF!</f>
        <v>#REF!</v>
      </c>
      <c r="L120" s="395" t="e">
        <f>#REF!</f>
        <v>#REF!</v>
      </c>
      <c r="M120" s="395" t="e">
        <f>#REF!</f>
        <v>#REF!</v>
      </c>
      <c r="N120" s="395" t="e">
        <f>#REF!</f>
        <v>#REF!</v>
      </c>
      <c r="O120" s="395" t="e">
        <f>#REF!</f>
        <v>#REF!</v>
      </c>
      <c r="P120" s="395" t="e">
        <f>#REF!</f>
        <v>#REF!</v>
      </c>
      <c r="Q120" s="395" t="e">
        <f>#REF!</f>
        <v>#REF!</v>
      </c>
      <c r="R120" s="395" t="e">
        <f>#REF!</f>
        <v>#REF!</v>
      </c>
      <c r="S120" s="395" t="e">
        <f>#REF!</f>
        <v>#REF!</v>
      </c>
      <c r="T120" s="395" t="e">
        <f>#REF!</f>
        <v>#REF!</v>
      </c>
      <c r="U120" s="395" t="e">
        <f>#REF!</f>
        <v>#REF!</v>
      </c>
      <c r="V120" s="395" t="e">
        <f>#REF!</f>
        <v>#REF!</v>
      </c>
      <c r="W120" s="395" t="e">
        <f>#REF!</f>
        <v>#REF!</v>
      </c>
    </row>
    <row r="121" spans="10:23" ht="12.75" customHeight="1" x14ac:dyDescent="0.15">
      <c r="J121" s="396" t="s">
        <v>193</v>
      </c>
      <c r="K121" s="448" t="e">
        <f>#REF!</f>
        <v>#REF!</v>
      </c>
      <c r="L121" s="448" t="e">
        <f>#REF!</f>
        <v>#REF!</v>
      </c>
      <c r="M121" s="448" t="e">
        <f>#REF!</f>
        <v>#REF!</v>
      </c>
      <c r="N121" s="448" t="e">
        <f>#REF!</f>
        <v>#REF!</v>
      </c>
      <c r="O121" s="448" t="e">
        <f>#REF!</f>
        <v>#REF!</v>
      </c>
      <c r="P121" s="448" t="e">
        <f>#REF!</f>
        <v>#REF!</v>
      </c>
      <c r="Q121" s="448" t="e">
        <f>#REF!</f>
        <v>#REF!</v>
      </c>
      <c r="R121" s="448" t="e">
        <f>#REF!</f>
        <v>#REF!</v>
      </c>
      <c r="S121" s="448" t="e">
        <f>#REF!</f>
        <v>#REF!</v>
      </c>
      <c r="T121" s="448" t="e">
        <f>#REF!</f>
        <v>#REF!</v>
      </c>
      <c r="U121" s="448" t="e">
        <f>#REF!</f>
        <v>#REF!</v>
      </c>
      <c r="V121" s="448" t="e">
        <f>#REF!</f>
        <v>#REF!</v>
      </c>
      <c r="W121" s="448" t="e">
        <f>#REF!</f>
        <v>#REF!</v>
      </c>
    </row>
    <row r="122" spans="10:23" ht="12.75" customHeight="1" x14ac:dyDescent="0.15">
      <c r="J122" s="396" t="s">
        <v>194</v>
      </c>
      <c r="K122" s="448" t="e">
        <f>#REF!</f>
        <v>#REF!</v>
      </c>
      <c r="L122" s="448" t="e">
        <f>#REF!</f>
        <v>#REF!</v>
      </c>
      <c r="M122" s="448" t="e">
        <f>#REF!</f>
        <v>#REF!</v>
      </c>
      <c r="N122" s="448" t="e">
        <f>#REF!</f>
        <v>#REF!</v>
      </c>
      <c r="O122" s="448" t="e">
        <f>#REF!</f>
        <v>#REF!</v>
      </c>
      <c r="P122" s="448" t="e">
        <f>#REF!</f>
        <v>#REF!</v>
      </c>
      <c r="Q122" s="448" t="e">
        <f>#REF!</f>
        <v>#REF!</v>
      </c>
      <c r="R122" s="448" t="e">
        <f>#REF!</f>
        <v>#REF!</v>
      </c>
      <c r="S122" s="448" t="e">
        <f>#REF!</f>
        <v>#REF!</v>
      </c>
      <c r="T122" s="448" t="e">
        <f>#REF!</f>
        <v>#REF!</v>
      </c>
      <c r="U122" s="448" t="e">
        <f>#REF!</f>
        <v>#REF!</v>
      </c>
      <c r="V122" s="448" t="e">
        <f>#REF!</f>
        <v>#REF!</v>
      </c>
      <c r="W122" s="448" t="e">
        <f>#REF!</f>
        <v>#REF!</v>
      </c>
    </row>
  </sheetData>
  <phoneticPr fontId="6" type="noConversion"/>
  <printOptions horizontalCentered="1"/>
  <pageMargins left="0.5" right="0.5" top="0.5" bottom="0.5" header="0.25" footer="0.25"/>
  <pageSetup paperSize="5" scale="57" fitToHeight="3" orientation="landscape" r:id="rId1"/>
  <headerFooter alignWithMargins="0">
    <oddFooter>&amp;LTwfin/2001/Plan/&amp;F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19</vt:i4>
      </vt:variant>
    </vt:vector>
  </HeadingPairs>
  <TitlesOfParts>
    <vt:vector size="32" baseType="lpstr">
      <vt:lpstr>Model_source_data</vt:lpstr>
      <vt:lpstr>Forecast01</vt:lpstr>
      <vt:lpstr>Lay</vt:lpstr>
      <vt:lpstr>Fuel Calc</vt:lpstr>
      <vt:lpstr>2000 2ce compare</vt:lpstr>
      <vt:lpstr>Detail</vt:lpstr>
      <vt:lpstr>IT Study</vt:lpstr>
      <vt:lpstr>load factor study</vt:lpstr>
      <vt:lpstr>Terminations</vt:lpstr>
      <vt:lpstr>Resubscriptions</vt:lpstr>
      <vt:lpstr>Stretch</vt:lpstr>
      <vt:lpstr>Capital</vt:lpstr>
      <vt:lpstr>Rolling Schedules</vt:lpstr>
      <vt:lpstr>COST_PLAN97_A</vt:lpstr>
      <vt:lpstr>MARGIN_PLAN97_A</vt:lpstr>
      <vt:lpstr>Detail!Print_Area</vt:lpstr>
      <vt:lpstr>Forecast01!Print_Area</vt:lpstr>
      <vt:lpstr>Lay!Print_Area</vt:lpstr>
      <vt:lpstr>'load factor study'!Print_Area</vt:lpstr>
      <vt:lpstr>Resubscriptions!Print_Area</vt:lpstr>
      <vt:lpstr>'Rolling Schedules'!Print_Area</vt:lpstr>
      <vt:lpstr>Stretch!Print_Area</vt:lpstr>
      <vt:lpstr>Terminations!Print_Area</vt:lpstr>
      <vt:lpstr>Detail!Print_Titles</vt:lpstr>
      <vt:lpstr>Forecast01!Print_Titles</vt:lpstr>
      <vt:lpstr>'Fuel Calc'!Print_Titles</vt:lpstr>
      <vt:lpstr>'load factor study'!Print_Titles</vt:lpstr>
      <vt:lpstr>'Rolling Schedules'!Print_Titles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Felienne</cp:lastModifiedBy>
  <cp:lastPrinted>2001-09-27T14:58:38Z</cp:lastPrinted>
  <dcterms:created xsi:type="dcterms:W3CDTF">1999-02-17T17:05:42Z</dcterms:created>
  <dcterms:modified xsi:type="dcterms:W3CDTF">2014-09-05T11:14:01Z</dcterms:modified>
</cp:coreProperties>
</file>