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2120" windowHeight="4545"/>
  </bookViews>
  <sheets>
    <sheet name="Enron Gas Pipeline Group" sheetId="1" r:id="rId1"/>
  </sheets>
  <definedNames>
    <definedName name="_Fill" localSheetId="0" hidden="1">'Enron Gas Pipeline Group'!#REF!</definedName>
    <definedName name="_Regression_Int" localSheetId="0" hidden="1">1</definedName>
    <definedName name="_Table1_Out" localSheetId="0" hidden="1">'Enron Gas Pipeline Group'!#REF!</definedName>
    <definedName name="AACFHDRCOL">'Enron Gas Pipeline Group'!$A$1:$A$72</definedName>
    <definedName name="AACFHDRROW">'Enron Gas Pipeline Group'!$A$1:$BH$5</definedName>
    <definedName name="AACFWKS">'Enron Gas Pipeline Group'!$C$1:$BH$74</definedName>
    <definedName name="AACFWKS1">'Enron Gas Pipeline Group'!$A$1</definedName>
    <definedName name="AACFWKS2">'Enron Gas Pipeline Group'!$B$6</definedName>
    <definedName name="AAWSSIDEWAYS">'Enron Gas Pipeline Group'!$A$1:$BH$72</definedName>
    <definedName name="ADJUSTMENTS">'Enron Gas Pipeline Group'!#REF!</definedName>
    <definedName name="ASSETS">'Enron Gas Pipeline Group'!#REF!</definedName>
    <definedName name="AWAACF">'Enron Gas Pipeline Group'!$C$1:$BH$72</definedName>
    <definedName name="AWBALSHT">'Enron Gas Pipeline Group'!#REF!</definedName>
    <definedName name="AWCFWKS">'Enron Gas Pipeline Group'!#REF!</definedName>
    <definedName name="AWGRPCF">'Enron Gas Pipeline Group'!#REF!</definedName>
    <definedName name="AWGRPCF_BRDR">'Enron Gas Pipeline Group'!#REF!</definedName>
    <definedName name="BALSHT">'Enron Gas Pipeline Group'!#REF!</definedName>
    <definedName name="BB">'Enron Gas Pipeline Group'!#REF!</definedName>
    <definedName name="BBGROUP">'Enron Gas Pipeline Group'!#REF!</definedName>
    <definedName name="BBGROUP1">'Enron Gas Pipeline Group'!#REF!</definedName>
    <definedName name="BBK">'Enron Gas Pipeline Group'!#REF!</definedName>
    <definedName name="_BBK1">'Enron Gas Pipeline Group'!#REF!</definedName>
    <definedName name="BBTITLE">'Enron Gas Pipeline Group'!#REF!</definedName>
    <definedName name="BLANK">'Enron Gas Pipeline Group'!#REF!</definedName>
    <definedName name="BLANK1">'Enron Gas Pipeline Group'!#REF!</definedName>
    <definedName name="BORDERC">'Enron Gas Pipeline Group'!#REF!</definedName>
    <definedName name="BORDERC1">'Enron Gas Pipeline Group'!#REF!</definedName>
    <definedName name="BORDERCAAWP">'Enron Gas Pipeline Group'!$A$1:$B$72</definedName>
    <definedName name="BORDERNONCUR">'Enron Gas Pipeline Group'!#REF!</definedName>
    <definedName name="BORDERR">'Enron Gas Pipeline Group'!#REF!</definedName>
    <definedName name="BORDERR1">'Enron Gas Pipeline Group'!#REF!</definedName>
    <definedName name="BORDERRAAWP">'Enron Gas Pipeline Group'!$A$1:$A$5</definedName>
    <definedName name="BORDERRWWAP">'Enron Gas Pipeline Group'!$A$1:$BH$5</definedName>
    <definedName name="BS_TitleRow">'Enron Gas Pipeline Group'!#REF!</definedName>
    <definedName name="BSTITLE">'Enron Gas Pipeline Group'!#REF!</definedName>
    <definedName name="BSTITLE1">'Enron Gas Pipeline Group'!#REF!</definedName>
    <definedName name="CASHFLOW">'Enron Gas Pipeline Group'!#REF!</definedName>
    <definedName name="CASHFLOW1">'Enron Gas Pipeline Group'!#REF!</definedName>
    <definedName name="CATEGORY">'Enron Gas Pipeline Group'!$C$2</definedName>
    <definedName name="CATEGORY2">'Enron Gas Pipeline Group'!$C$3</definedName>
    <definedName name="CF">'Enron Gas Pipeline Group'!#REF!</definedName>
    <definedName name="CF_WKS_TitleRow">'Enron Gas Pipeline Group'!#REF!</definedName>
    <definedName name="CFTITLE">'Enron Gas Pipeline Group'!#REF!</definedName>
    <definedName name="CFTITLE1">'Enron Gas Pipeline Group'!#REF!</definedName>
    <definedName name="CHGNONCUR">'Enron Gas Pipeline Group'!#REF!</definedName>
    <definedName name="CM">'Enron Gas Pipeline Group'!#REF!</definedName>
    <definedName name="CO_NAME" localSheetId="0">'Enron Gas Pipeline Group'!#REF!</definedName>
    <definedName name="DATE1">'Enron Gas Pipeline Group'!#REF!</definedName>
    <definedName name="DATE2">'Enron Gas Pipeline Group'!$D$2</definedName>
    <definedName name="DATE3">'Enron Gas Pipeline Group'!#REF!</definedName>
    <definedName name="DATE4">'Enron Gas Pipeline Group'!#REF!</definedName>
    <definedName name="DATE5">'Enron Gas Pipeline Group'!#REF!</definedName>
    <definedName name="DATEPRYR">'Enron Gas Pipeline Group'!$D$3</definedName>
    <definedName name="DESC">'Enron Gas Pipeline Group'!#REF!</definedName>
    <definedName name="GROUP">'Enron Gas Pipeline Group'!#REF!</definedName>
    <definedName name="GROUPYTD">'Enron Gas Pipeline Group'!#REF!</definedName>
    <definedName name="GrpPrtRng">'Enron Gas Pipeline Group'!#REF!</definedName>
    <definedName name="GRPTITLE">'Enron Gas Pipeline Group'!#REF!</definedName>
    <definedName name="GRPTITLE1">'Enron Gas Pipeline Group'!#REF!</definedName>
    <definedName name="GRPTITLE2">'Enron Gas Pipeline Group'!#REF!</definedName>
    <definedName name="GrpTitleCol">'Enron Gas Pipeline Group'!#REF!</definedName>
    <definedName name="ICGROUP">'Enron Gas Pipeline Group'!#REF!</definedName>
    <definedName name="LIABILITIES">'Enron Gas Pipeline Group'!#REF!</definedName>
    <definedName name="NAME1">'Enron Gas Pipeline Group'!$C$1</definedName>
    <definedName name="OTHERBORDER">'Enron Gas Pipeline Group'!#REF!</definedName>
    <definedName name="OTHERNC">'Enron Gas Pipeline Group'!#REF!</definedName>
    <definedName name="OTHERTITLES">'Enron Gas Pipeline Group'!#REF!</definedName>
    <definedName name="_xlnm.Print_Area" localSheetId="0">'Enron Gas Pipeline Group'!$C$1:$BH$76</definedName>
    <definedName name="Print_Area_MI">'Enron Gas Pipeline Group'!#REF!</definedName>
    <definedName name="_xlnm.Print_Titles" localSheetId="0">'Enron Gas Pipeline Group'!$A:$A</definedName>
    <definedName name="Print_Titles_MI">'Enron Gas Pipeline Group'!#REF!,'Enron Gas Pipeline Group'!#REF!</definedName>
    <definedName name="PRIORBB">'Enron Gas Pipeline Group'!#REF!</definedName>
    <definedName name="PRT_RNG_AA">'Enron Gas Pipeline Group'!$C$6:$BH$74</definedName>
    <definedName name="REPORT">'Enron Gas Pipeline Group'!#REF!</definedName>
    <definedName name="Titles_Rptg_Grp_Wks">'Enron Gas Pipeline Group'!#REF!</definedName>
    <definedName name="YTDBB">'Enron Gas Pipeline Group'!#REF!</definedName>
  </definedNames>
  <calcPr calcId="152511" fullCalcOnLoad="1"/>
</workbook>
</file>

<file path=xl/calcChain.xml><?xml version="1.0" encoding="utf-8"?>
<calcChain xmlns="http://schemas.openxmlformats.org/spreadsheetml/2006/main">
  <c r="H1" i="1" l="1"/>
  <c r="H2" i="1"/>
  <c r="L2" i="1"/>
  <c r="BB8" i="1"/>
  <c r="AC11" i="1"/>
  <c r="D21" i="1"/>
  <c r="C23" i="1"/>
  <c r="D23" i="1"/>
  <c r="S23" i="1"/>
  <c r="D24" i="1"/>
  <c r="D25" i="1"/>
  <c r="D26" i="1"/>
  <c r="D27" i="1"/>
  <c r="H28" i="1"/>
  <c r="J28" i="1"/>
  <c r="AJ28" i="1"/>
  <c r="AQ28" i="1"/>
  <c r="BB28" i="1"/>
  <c r="BB70" i="1" s="1"/>
  <c r="BB78" i="1" s="1"/>
  <c r="C33" i="1"/>
  <c r="C37" i="1"/>
  <c r="C39" i="1"/>
  <c r="C42" i="1" s="1"/>
  <c r="C41" i="1"/>
  <c r="D46" i="1"/>
  <c r="AE46" i="1"/>
  <c r="AE47" i="1"/>
  <c r="D47" i="1" s="1"/>
  <c r="D48" i="1"/>
  <c r="AE49" i="1"/>
  <c r="D49" i="1" s="1"/>
  <c r="AB50" i="1"/>
  <c r="D50" i="1" s="1"/>
  <c r="D52" i="1"/>
  <c r="AF52" i="1"/>
  <c r="C53" i="1"/>
  <c r="AS57" i="1"/>
  <c r="D58" i="1"/>
  <c r="D59" i="1"/>
  <c r="D60" i="1"/>
  <c r="D61" i="1"/>
  <c r="D62" i="1"/>
  <c r="D63" i="1"/>
  <c r="D64" i="1"/>
  <c r="D65" i="1"/>
  <c r="D66" i="1"/>
  <c r="D68" i="1"/>
  <c r="C69" i="1"/>
  <c r="G70" i="1"/>
  <c r="G78" i="1" s="1"/>
  <c r="W70" i="1"/>
  <c r="W78" i="1" s="1"/>
  <c r="BF70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F78" i="1"/>
  <c r="BF78" i="1"/>
  <c r="J6" i="1"/>
  <c r="R6" i="1"/>
  <c r="Z6" i="1"/>
  <c r="AH6" i="1"/>
  <c r="AP6" i="1"/>
  <c r="AX6" i="1"/>
  <c r="BG6" i="1"/>
  <c r="K7" i="1"/>
  <c r="S7" i="1"/>
  <c r="AA7" i="1"/>
  <c r="AI7" i="1"/>
  <c r="AQ7" i="1"/>
  <c r="AY7" i="1"/>
  <c r="BH7" i="1"/>
  <c r="C17" i="1"/>
  <c r="S22" i="1"/>
  <c r="O6" i="1"/>
  <c r="BD6" i="1"/>
  <c r="AN7" i="1"/>
  <c r="K6" i="1"/>
  <c r="S6" i="1"/>
  <c r="AA6" i="1"/>
  <c r="AI6" i="1"/>
  <c r="AQ6" i="1"/>
  <c r="AY6" i="1"/>
  <c r="BH6" i="1"/>
  <c r="L7" i="1"/>
  <c r="T7" i="1"/>
  <c r="AB7" i="1"/>
  <c r="AJ7" i="1"/>
  <c r="AR7" i="1"/>
  <c r="AZ7" i="1"/>
  <c r="AF14" i="1"/>
  <c r="AE6" i="1"/>
  <c r="H7" i="1"/>
  <c r="BC13" i="1"/>
  <c r="L6" i="1"/>
  <c r="T6" i="1"/>
  <c r="AB6" i="1"/>
  <c r="AJ6" i="1"/>
  <c r="AR6" i="1"/>
  <c r="AZ6" i="1"/>
  <c r="M7" i="1"/>
  <c r="U7" i="1"/>
  <c r="AC7" i="1"/>
  <c r="AK7" i="1"/>
  <c r="AS7" i="1"/>
  <c r="BA7" i="1"/>
  <c r="C15" i="1"/>
  <c r="AX17" i="1"/>
  <c r="AU6" i="1"/>
  <c r="AF7" i="1"/>
  <c r="C19" i="1"/>
  <c r="M6" i="1"/>
  <c r="U6" i="1"/>
  <c r="AC6" i="1"/>
  <c r="AK6" i="1"/>
  <c r="AS6" i="1"/>
  <c r="BA6" i="1"/>
  <c r="F7" i="1"/>
  <c r="N7" i="1"/>
  <c r="V7" i="1"/>
  <c r="AD7" i="1"/>
  <c r="AL7" i="1"/>
  <c r="AT7" i="1"/>
  <c r="BC7" i="1"/>
  <c r="C13" i="1"/>
  <c r="BC6" i="1"/>
  <c r="G7" i="1"/>
  <c r="O7" i="1"/>
  <c r="W7" i="1"/>
  <c r="AE7" i="1"/>
  <c r="AM7" i="1"/>
  <c r="AU7" i="1"/>
  <c r="BD7" i="1"/>
  <c r="AE15" i="1"/>
  <c r="AM6" i="1"/>
  <c r="P7" i="1"/>
  <c r="BE7" i="1"/>
  <c r="F6" i="1"/>
  <c r="N6" i="1"/>
  <c r="V6" i="1"/>
  <c r="AD6" i="1"/>
  <c r="AL6" i="1"/>
  <c r="AT6" i="1"/>
  <c r="G6" i="1"/>
  <c r="H6" i="1"/>
  <c r="P6" i="1"/>
  <c r="X6" i="1"/>
  <c r="AF6" i="1"/>
  <c r="AN6" i="1"/>
  <c r="AV6" i="1"/>
  <c r="BE6" i="1"/>
  <c r="I7" i="1"/>
  <c r="Q7" i="1"/>
  <c r="Y7" i="1"/>
  <c r="AG7" i="1"/>
  <c r="AO7" i="1"/>
  <c r="AW7" i="1"/>
  <c r="BF7" i="1"/>
  <c r="C14" i="1"/>
  <c r="I6" i="1"/>
  <c r="Q6" i="1"/>
  <c r="Y6" i="1"/>
  <c r="AG6" i="1"/>
  <c r="AO6" i="1"/>
  <c r="AW6" i="1"/>
  <c r="BF6" i="1"/>
  <c r="J7" i="1"/>
  <c r="R7" i="1"/>
  <c r="Z7" i="1"/>
  <c r="AH7" i="1"/>
  <c r="AP7" i="1"/>
  <c r="AX7" i="1"/>
  <c r="BG7" i="1"/>
  <c r="AT16" i="1"/>
  <c r="BC19" i="1"/>
  <c r="BC18" i="1"/>
  <c r="W6" i="1"/>
  <c r="X7" i="1"/>
  <c r="AV7" i="1"/>
  <c r="C16" i="1"/>
  <c r="AD14" i="1"/>
  <c r="AD70" i="1" l="1"/>
  <c r="AD78" i="1" s="1"/>
  <c r="D16" i="1"/>
  <c r="AV8" i="1"/>
  <c r="AV28" i="1" s="1"/>
  <c r="AV70" i="1" s="1"/>
  <c r="AV78" i="1" s="1"/>
  <c r="X8" i="1"/>
  <c r="X28" i="1" s="1"/>
  <c r="X70" i="1" s="1"/>
  <c r="X78" i="1" s="1"/>
  <c r="D18" i="1"/>
  <c r="AT70" i="1"/>
  <c r="AT78" i="1" s="1"/>
  <c r="BG8" i="1"/>
  <c r="BG28" i="1" s="1"/>
  <c r="BG70" i="1" s="1"/>
  <c r="BG78" i="1" s="1"/>
  <c r="AX8" i="1"/>
  <c r="AX28" i="1" s="1"/>
  <c r="AP8" i="1"/>
  <c r="AP20" i="1" s="1"/>
  <c r="AP70" i="1" s="1"/>
  <c r="AP78" i="1" s="1"/>
  <c r="AH8" i="1"/>
  <c r="AH56" i="1" s="1"/>
  <c r="Z8" i="1"/>
  <c r="Z20" i="1" s="1"/>
  <c r="Z70" i="1" s="1"/>
  <c r="Z78" i="1" s="1"/>
  <c r="R8" i="1"/>
  <c r="R41" i="1" s="1"/>
  <c r="R70" i="1" s="1"/>
  <c r="R78" i="1" s="1"/>
  <c r="J8" i="1"/>
  <c r="J33" i="1" s="1"/>
  <c r="D33" i="1" s="1"/>
  <c r="D14" i="1"/>
  <c r="BF8" i="1"/>
  <c r="AW8" i="1"/>
  <c r="AW28" i="1" s="1"/>
  <c r="AW70" i="1" s="1"/>
  <c r="AW78" i="1" s="1"/>
  <c r="AO8" i="1"/>
  <c r="AO40" i="1" s="1"/>
  <c r="AG8" i="1"/>
  <c r="AG28" i="1" s="1"/>
  <c r="AG70" i="1" s="1"/>
  <c r="AG78" i="1" s="1"/>
  <c r="Y8" i="1"/>
  <c r="Y28" i="1" s="1"/>
  <c r="Y70" i="1" s="1"/>
  <c r="Y78" i="1" s="1"/>
  <c r="Q8" i="1"/>
  <c r="Q20" i="1" s="1"/>
  <c r="I8" i="1"/>
  <c r="I34" i="1" s="1"/>
  <c r="C7" i="1"/>
  <c r="C6" i="1"/>
  <c r="C8" i="1" s="1"/>
  <c r="BE8" i="1"/>
  <c r="BE28" i="1" s="1"/>
  <c r="BE70" i="1" s="1"/>
  <c r="BE78" i="1" s="1"/>
  <c r="P8" i="1"/>
  <c r="P36" i="1" s="1"/>
  <c r="AE70" i="1"/>
  <c r="AE78" i="1" s="1"/>
  <c r="BD8" i="1"/>
  <c r="BD28" i="1" s="1"/>
  <c r="BD70" i="1" s="1"/>
  <c r="BD78" i="1" s="1"/>
  <c r="AU8" i="1"/>
  <c r="AU20" i="1" s="1"/>
  <c r="AU70" i="1" s="1"/>
  <c r="AU78" i="1" s="1"/>
  <c r="AM8" i="1"/>
  <c r="AM38" i="1" s="1"/>
  <c r="AE8" i="1"/>
  <c r="AE28" i="1" s="1"/>
  <c r="W8" i="1"/>
  <c r="O8" i="1"/>
  <c r="O41" i="1" s="1"/>
  <c r="O70" i="1" s="1"/>
  <c r="O78" i="1" s="1"/>
  <c r="G8" i="1"/>
  <c r="C29" i="1"/>
  <c r="C12" i="1"/>
  <c r="D13" i="1"/>
  <c r="BC8" i="1"/>
  <c r="BC28" i="1" s="1"/>
  <c r="AT8" i="1"/>
  <c r="AT28" i="1" s="1"/>
  <c r="AL8" i="1"/>
  <c r="AL34" i="1" s="1"/>
  <c r="AL70" i="1" s="1"/>
  <c r="AL78" i="1" s="1"/>
  <c r="AD8" i="1"/>
  <c r="AD28" i="1" s="1"/>
  <c r="V8" i="1"/>
  <c r="V28" i="1" s="1"/>
  <c r="V70" i="1" s="1"/>
  <c r="V78" i="1" s="1"/>
  <c r="N8" i="1"/>
  <c r="N35" i="1" s="1"/>
  <c r="F8" i="1"/>
  <c r="C71" i="1" s="1"/>
  <c r="D19" i="1"/>
  <c r="AF8" i="1"/>
  <c r="AF28" i="1" s="1"/>
  <c r="AX70" i="1"/>
  <c r="AX78" i="1" s="1"/>
  <c r="D15" i="1"/>
  <c r="BA8" i="1"/>
  <c r="BA67" i="1" s="1"/>
  <c r="BA70" i="1" s="1"/>
  <c r="BA78" i="1" s="1"/>
  <c r="AS8" i="1"/>
  <c r="AS33" i="1" s="1"/>
  <c r="AK8" i="1"/>
  <c r="AK33" i="1" s="1"/>
  <c r="AK70" i="1" s="1"/>
  <c r="AK78" i="1" s="1"/>
  <c r="AC8" i="1"/>
  <c r="AC28" i="1" s="1"/>
  <c r="AC70" i="1" s="1"/>
  <c r="AC78" i="1" s="1"/>
  <c r="U8" i="1"/>
  <c r="U33" i="1" s="1"/>
  <c r="U70" i="1" s="1"/>
  <c r="U78" i="1" s="1"/>
  <c r="M8" i="1"/>
  <c r="M32" i="1" s="1"/>
  <c r="BC70" i="1"/>
  <c r="BC78" i="1" s="1"/>
  <c r="H8" i="1"/>
  <c r="H31" i="1" s="1"/>
  <c r="AF70" i="1"/>
  <c r="AF78" i="1" s="1"/>
  <c r="AZ8" i="1"/>
  <c r="AZ67" i="1" s="1"/>
  <c r="AR8" i="1"/>
  <c r="AR57" i="1" s="1"/>
  <c r="AJ8" i="1"/>
  <c r="AJ37" i="1" s="1"/>
  <c r="AB8" i="1"/>
  <c r="AB28" i="1" s="1"/>
  <c r="AB70" i="1" s="1"/>
  <c r="AB78" i="1" s="1"/>
  <c r="T8" i="1"/>
  <c r="L8" i="1"/>
  <c r="L41" i="1" s="1"/>
  <c r="L70" i="1" s="1"/>
  <c r="L78" i="1" s="1"/>
  <c r="AN8" i="1"/>
  <c r="AN39" i="1" s="1"/>
  <c r="AN70" i="1" s="1"/>
  <c r="AN78" i="1" s="1"/>
  <c r="S70" i="1"/>
  <c r="S78" i="1" s="1"/>
  <c r="D22" i="1"/>
  <c r="D17" i="1"/>
  <c r="BH8" i="1"/>
  <c r="BH28" i="1" s="1"/>
  <c r="BH70" i="1" s="1"/>
  <c r="BH78" i="1" s="1"/>
  <c r="AY8" i="1"/>
  <c r="AY28" i="1" s="1"/>
  <c r="AY70" i="1" s="1"/>
  <c r="AY78" i="1" s="1"/>
  <c r="AQ8" i="1"/>
  <c r="AQ41" i="1" s="1"/>
  <c r="AQ70" i="1" s="1"/>
  <c r="AQ78" i="1" s="1"/>
  <c r="AI8" i="1"/>
  <c r="AI33" i="1" s="1"/>
  <c r="AI70" i="1" s="1"/>
  <c r="AI78" i="1" s="1"/>
  <c r="AA8" i="1"/>
  <c r="AA28" i="1" s="1"/>
  <c r="AA70" i="1" s="1"/>
  <c r="AA78" i="1" s="1"/>
  <c r="S8" i="1"/>
  <c r="S28" i="1" s="1"/>
  <c r="K8" i="1"/>
  <c r="K33" i="1" s="1"/>
  <c r="K70" i="1" s="1"/>
  <c r="K78" i="1" s="1"/>
  <c r="J70" i="1"/>
  <c r="J78" i="1" s="1"/>
  <c r="D28" i="1"/>
  <c r="C43" i="1"/>
  <c r="M70" i="1" l="1"/>
  <c r="M78" i="1" s="1"/>
  <c r="D32" i="1"/>
  <c r="D67" i="1"/>
  <c r="AZ70" i="1"/>
  <c r="AZ78" i="1" s="1"/>
  <c r="G76" i="1"/>
  <c r="C72" i="1"/>
  <c r="D36" i="1"/>
  <c r="P70" i="1"/>
  <c r="P78" i="1" s="1"/>
  <c r="H70" i="1"/>
  <c r="H78" i="1" s="1"/>
  <c r="D31" i="1"/>
  <c r="D38" i="1"/>
  <c r="AM70" i="1"/>
  <c r="AM78" i="1" s="1"/>
  <c r="D34" i="1"/>
  <c r="I70" i="1"/>
  <c r="I78" i="1" s="1"/>
  <c r="D39" i="1"/>
  <c r="T28" i="1"/>
  <c r="T70" i="1" s="1"/>
  <c r="T78" i="1" s="1"/>
  <c r="C20" i="1"/>
  <c r="D20" i="1" s="1"/>
  <c r="Q70" i="1"/>
  <c r="Q78" i="1" s="1"/>
  <c r="D37" i="1"/>
  <c r="AJ70" i="1"/>
  <c r="AJ78" i="1" s="1"/>
  <c r="D41" i="1"/>
  <c r="AR70" i="1"/>
  <c r="D57" i="1"/>
  <c r="N70" i="1"/>
  <c r="N78" i="1" s="1"/>
  <c r="D35" i="1"/>
  <c r="D56" i="1"/>
  <c r="AH70" i="1"/>
  <c r="AH78" i="1" s="1"/>
  <c r="AS70" i="1"/>
  <c r="AS78" i="1" s="1"/>
  <c r="AS74" i="1"/>
  <c r="AS76" i="1" s="1"/>
  <c r="D40" i="1"/>
  <c r="AO70" i="1"/>
  <c r="AO78" i="1" s="1"/>
  <c r="T51" i="1" l="1"/>
  <c r="D51" i="1" s="1"/>
  <c r="AR78" i="1"/>
  <c r="AR74" i="1"/>
  <c r="AR76" i="1" s="1"/>
  <c r="C70" i="1"/>
  <c r="D70" i="1" s="1"/>
  <c r="C76" i="1"/>
</calcChain>
</file>

<file path=xl/comments1.xml><?xml version="1.0" encoding="utf-8"?>
<comments xmlns="http://schemas.openxmlformats.org/spreadsheetml/2006/main">
  <authors>
    <author>Johnson M. Leo</author>
    <author>gvaughn</author>
    <author>ihaberl</author>
  </authors>
  <commentList>
    <comment ref="F4" authorId="0" shapeId="0">
      <text>
        <r>
          <rPr>
            <sz val="8"/>
            <color indexed="12"/>
            <rFont val="Tahoma"/>
            <family val="2"/>
          </rPr>
          <t>0005+0010+0025</t>
        </r>
      </text>
    </comment>
    <comment ref="G4" authorId="0" shapeId="0">
      <text>
        <r>
          <rPr>
            <sz val="8"/>
            <color indexed="12"/>
            <rFont val="Tahoma"/>
            <family val="2"/>
          </rPr>
          <t>0660</t>
        </r>
      </text>
    </comment>
    <comment ref="H4" authorId="0" shapeId="0">
      <text>
        <r>
          <rPr>
            <sz val="8"/>
            <color indexed="12"/>
            <rFont val="Tahoma"/>
            <family val="2"/>
          </rPr>
          <t>0050+0053+0054+0060+0064+0065+0070+0077+0035+0036</t>
        </r>
      </text>
    </comment>
    <comment ref="I4" authorId="0" shapeId="0">
      <text>
        <r>
          <rPr>
            <sz val="8"/>
            <color indexed="12"/>
            <rFont val="Tahoma"/>
            <family val="2"/>
          </rPr>
          <t>0038+0052</t>
        </r>
      </text>
    </comment>
    <comment ref="J4" authorId="0" shapeId="0">
      <text>
        <r>
          <rPr>
            <sz val="8"/>
            <color indexed="12"/>
            <rFont val="Tahoma"/>
            <family val="2"/>
          </rPr>
          <t>0051</t>
        </r>
      </text>
    </comment>
    <comment ref="K4" authorId="0" shapeId="0">
      <text>
        <r>
          <rPr>
            <sz val="8"/>
            <color indexed="12"/>
            <rFont val="Tahoma"/>
            <family val="2"/>
          </rPr>
          <t>0037</t>
        </r>
      </text>
    </comment>
    <comment ref="L4" authorId="0" shapeId="0">
      <text>
        <r>
          <rPr>
            <sz val="8"/>
            <color indexed="12"/>
            <rFont val="Tahoma"/>
            <family val="2"/>
          </rPr>
          <t>0030</t>
        </r>
      </text>
    </comment>
    <comment ref="M4" authorId="0" shapeId="0">
      <text>
        <r>
          <rPr>
            <sz val="8"/>
            <color indexed="12"/>
            <rFont val="Tahoma"/>
            <family val="2"/>
          </rPr>
          <t>0185</t>
        </r>
      </text>
    </comment>
    <comment ref="N4" authorId="0" shapeId="0">
      <text>
        <r>
          <rPr>
            <sz val="8"/>
            <color indexed="12"/>
            <rFont val="Tahoma"/>
            <family val="2"/>
          </rPr>
          <t>0088+0090+0091+0093+0100</t>
        </r>
      </text>
    </comment>
    <comment ref="O4" authorId="0" shapeId="0">
      <text>
        <r>
          <rPr>
            <sz val="8"/>
            <color indexed="12"/>
            <rFont val="Tahoma"/>
            <family val="2"/>
          </rPr>
          <t>0120</t>
        </r>
      </text>
    </comment>
    <comment ref="P4" authorId="0" shapeId="0">
      <text>
        <r>
          <rPr>
            <sz val="8"/>
            <color indexed="12"/>
            <rFont val="Tahoma"/>
            <family val="2"/>
          </rPr>
          <t>0160+0161+0162+0163+0164+0165+0166+0175=TOT_PREPYMT</t>
        </r>
      </text>
    </comment>
    <comment ref="Q4" authorId="0" shapeId="0">
      <text>
        <r>
          <rPr>
            <sz val="8"/>
            <color indexed="12"/>
            <rFont val="Tahoma"/>
            <family val="2"/>
          </rPr>
          <t>0183</t>
        </r>
      </text>
    </comment>
    <comment ref="R4" authorId="0" shapeId="0">
      <text>
        <r>
          <rPr>
            <sz val="8"/>
            <color indexed="12"/>
            <rFont val="Tahoma"/>
            <family val="2"/>
          </rPr>
          <t>0189+0190+0195+0140+0181</t>
        </r>
      </text>
    </comment>
    <comment ref="S4" authorId="0" shapeId="0">
      <text>
        <r>
          <rPr>
            <sz val="8"/>
            <color indexed="12"/>
            <rFont val="Tahoma"/>
            <family val="2"/>
          </rPr>
          <t>0240+0245+0246+0248+0249=TOT_INVEST_SUBS</t>
        </r>
      </text>
    </comment>
    <comment ref="T4" authorId="0" shapeId="0">
      <text>
        <r>
          <rPr>
            <sz val="8"/>
            <color indexed="12"/>
            <rFont val="Tahoma"/>
            <family val="2"/>
          </rPr>
          <t>0215+0216+0217+0220=TOT_INV_CONSUB</t>
        </r>
      </text>
    </comment>
    <comment ref="U4" authorId="0" shapeId="0">
      <text>
        <r>
          <rPr>
            <sz val="8"/>
            <color indexed="12"/>
            <rFont val="Tahoma"/>
            <family val="2"/>
          </rPr>
          <t>0218</t>
        </r>
      </text>
    </comment>
    <comment ref="V4" authorId="0" shapeId="0">
      <text>
        <r>
          <rPr>
            <sz val="8"/>
            <color indexed="12"/>
            <rFont val="Tahoma"/>
            <family val="2"/>
          </rPr>
          <t>0230+0231+0232+0235=TOT_MKT_SEC</t>
        </r>
      </text>
    </comment>
    <comment ref="W4" authorId="0" shapeId="0">
      <text>
        <r>
          <rPr>
            <sz val="8"/>
            <color indexed="12"/>
            <rFont val="Tahoma"/>
            <family val="2"/>
          </rPr>
          <t>0255</t>
        </r>
      </text>
    </comment>
    <comment ref="X4" authorId="0" shapeId="0">
      <text>
        <r>
          <rPr>
            <sz val="8"/>
            <color indexed="12"/>
            <rFont val="Tahoma"/>
            <family val="2"/>
          </rPr>
          <t>0260</t>
        </r>
      </text>
    </comment>
    <comment ref="Y4" authorId="0" shapeId="0">
      <text>
        <r>
          <rPr>
            <sz val="8"/>
            <color indexed="12"/>
            <rFont val="Tahoma"/>
            <family val="2"/>
          </rPr>
          <t>0350</t>
        </r>
      </text>
    </comment>
    <comment ref="Z4" authorId="0" shapeId="0">
      <text>
        <r>
          <rPr>
            <sz val="8"/>
            <color indexed="12"/>
            <rFont val="Tahoma"/>
            <family val="2"/>
          </rPr>
          <t>0358</t>
        </r>
      </text>
    </comment>
    <comment ref="AA4" authorId="0" shapeId="0">
      <text>
        <r>
          <rPr>
            <sz val="8"/>
            <color indexed="12"/>
            <rFont val="Tahoma"/>
            <family val="2"/>
          </rPr>
          <t>0265</t>
        </r>
      </text>
    </comment>
    <comment ref="AB4" authorId="0" shapeId="0">
      <text>
        <r>
          <rPr>
            <sz val="8"/>
            <color indexed="12"/>
            <rFont val="Tahoma"/>
            <family val="2"/>
          </rPr>
          <t>0269+0270+0271+0280+0281=TOT_INV_OTHER</t>
        </r>
      </text>
    </comment>
    <comment ref="AC4" authorId="0" shapeId="0">
      <text>
        <r>
          <rPr>
            <sz val="8"/>
            <color indexed="12"/>
            <rFont val="Tahoma"/>
            <family val="2"/>
          </rPr>
          <t>0342+0343+0344+0355+0356+0357+0219+0360=TOT_DEF_CHGS_OTH</t>
        </r>
      </text>
    </comment>
    <comment ref="AD4" authorId="0" shapeId="0">
      <text>
        <r>
          <rPr>
            <sz val="8"/>
            <color indexed="12"/>
            <rFont val="Tahoma"/>
            <family val="2"/>
          </rPr>
          <t>0341</t>
        </r>
      </text>
    </comment>
    <comment ref="AE4" authorId="0" shapeId="0">
      <text>
        <r>
          <rPr>
            <sz val="8"/>
            <color indexed="12"/>
            <rFont val="Tahoma"/>
            <family val="2"/>
          </rPr>
          <t>0290+0291+0292+0293+0294+0295+0296+0297+0298+0305+0306+0307+0308+0309=TOT_PPE</t>
        </r>
      </text>
    </comment>
    <comment ref="AF4" authorId="0" shapeId="0">
      <text>
        <r>
          <rPr>
            <sz val="8"/>
            <color indexed="12"/>
            <rFont val="Tahoma"/>
            <family val="2"/>
          </rPr>
          <t>0318+0319+0320+0321+0327+0330+0335+0336=TOT_ACCUM_DDA</t>
        </r>
      </text>
    </comment>
    <comment ref="AG4" authorId="0" shapeId="0">
      <text>
        <r>
          <rPr>
            <sz val="8"/>
            <color indexed="12"/>
            <rFont val="Tahoma"/>
            <family val="2"/>
          </rPr>
          <t>0340</t>
        </r>
      </text>
    </comment>
    <comment ref="AH4" authorId="0" shapeId="0">
      <text>
        <r>
          <rPr>
            <sz val="8"/>
            <color indexed="12"/>
            <rFont val="Tahoma"/>
            <family val="2"/>
          </rPr>
          <t>0480+0482+0485+0495=TOT_NP_OTHER</t>
        </r>
      </text>
    </comment>
    <comment ref="AI4" authorId="0" shapeId="0">
      <text>
        <r>
          <rPr>
            <sz val="8"/>
            <color indexed="12"/>
            <rFont val="Tahoma"/>
            <family val="2"/>
          </rPr>
          <t>0486</t>
        </r>
      </text>
    </comment>
    <comment ref="AJ4" authorId="0" shapeId="0">
      <text>
        <r>
          <rPr>
            <sz val="8"/>
            <color indexed="12"/>
            <rFont val="Tahoma"/>
            <family val="2"/>
          </rPr>
          <t>0515+0518+0519=TOT_AP_OTHER</t>
        </r>
      </text>
    </comment>
    <comment ref="AK4" authorId="0" shapeId="0">
      <text>
        <r>
          <rPr>
            <sz val="8"/>
            <color indexed="12"/>
            <rFont val="Tahoma"/>
            <family val="2"/>
          </rPr>
          <t>0516</t>
        </r>
      </text>
    </comment>
    <comment ref="AL4" authorId="0" shapeId="0">
      <text>
        <r>
          <rPr>
            <sz val="8"/>
            <color indexed="12"/>
            <rFont val="Tahoma"/>
            <family val="2"/>
          </rPr>
          <t>0517</t>
        </r>
      </text>
    </comment>
    <comment ref="AM4" authorId="0" shapeId="0">
      <text>
        <r>
          <rPr>
            <sz val="8"/>
            <color indexed="12"/>
            <rFont val="Tahoma"/>
            <family val="2"/>
          </rPr>
          <t>0632</t>
        </r>
      </text>
    </comment>
    <comment ref="AN4" authorId="0" shapeId="0">
      <text>
        <r>
          <rPr>
            <sz val="8"/>
            <color indexed="12"/>
            <rFont val="Tahoma"/>
            <family val="2"/>
          </rPr>
          <t>0540+0545+0550+0560</t>
        </r>
      </text>
    </comment>
    <comment ref="AO4" authorId="0" shapeId="0">
      <text>
        <r>
          <rPr>
            <sz val="8"/>
            <color indexed="12"/>
            <rFont val="Tahoma"/>
            <family val="2"/>
          </rPr>
          <t>0580+0585+0590+0600=TOT_ACCR_INT_OTH</t>
        </r>
      </text>
    </comment>
    <comment ref="AP4" authorId="0" shapeId="0">
      <text>
        <r>
          <rPr>
            <sz val="8"/>
            <color indexed="12"/>
            <rFont val="Tahoma"/>
            <family val="2"/>
          </rPr>
          <t>0653</t>
        </r>
      </text>
    </comment>
    <comment ref="AQ4" authorId="0" shapeId="0">
      <text>
        <r>
          <rPr>
            <sz val="8"/>
            <color indexed="12"/>
            <rFont val="Tahoma"/>
            <family val="2"/>
          </rPr>
          <t>0641+0620+0621+0622+0623+0624+0630+0640+0642+0650+0655=TOT_OTHER_CL+0641</t>
        </r>
      </text>
    </comment>
    <comment ref="AR4" authorId="0" shapeId="0">
      <text>
        <r>
          <rPr>
            <sz val="8"/>
            <color indexed="12"/>
            <rFont val="Tahoma"/>
            <family val="2"/>
          </rPr>
          <t>0450+0775+0705+0765+0770=TOT_OTH_LT_DEBT+0450+0775</t>
        </r>
      </text>
    </comment>
    <comment ref="AS4" authorId="0" shapeId="0">
      <text>
        <r>
          <rPr>
            <sz val="8"/>
            <color indexed="12"/>
            <rFont val="Tahoma"/>
            <family val="2"/>
          </rPr>
          <t>0661</t>
        </r>
      </text>
    </comment>
    <comment ref="AT4" authorId="0" shapeId="0">
      <text>
        <r>
          <rPr>
            <sz val="8"/>
            <color indexed="12"/>
            <rFont val="Tahoma"/>
            <family val="2"/>
          </rPr>
          <t>0565+0566+0567+0780+0784+0785+0789+0790+0844=TOT_DEF_TAX+TOT_DEF_INCTAX</t>
        </r>
      </text>
    </comment>
    <comment ref="AU4" authorId="0" shapeId="0">
      <text>
        <r>
          <rPr>
            <sz val="8"/>
            <color indexed="12"/>
            <rFont val="Tahoma"/>
            <family val="2"/>
          </rPr>
          <t>0853</t>
        </r>
      </text>
    </comment>
    <comment ref="AV4" authorId="0" shapeId="0">
      <text>
        <r>
          <rPr>
            <sz val="8"/>
            <color indexed="12"/>
            <rFont val="Tahoma"/>
            <family val="2"/>
          </rPr>
          <t>0815+0824+0826+0830+0839+0840+0841+0842+0843+0845+0847+0848+0859+0860=0815+TOT_OTH_DEF_CR</t>
        </r>
      </text>
    </comment>
    <comment ref="AW4" authorId="0" shapeId="0">
      <text>
        <r>
          <rPr>
            <sz val="8"/>
            <color indexed="12"/>
            <rFont val="Tahoma"/>
            <family val="2"/>
          </rPr>
          <t>0645+0870</t>
        </r>
      </text>
    </comment>
    <comment ref="AX4" authorId="0" shapeId="0">
      <text>
        <r>
          <rPr>
            <sz val="8"/>
            <color indexed="12"/>
            <rFont val="Tahoma"/>
            <family val="2"/>
          </rPr>
          <t>0855</t>
        </r>
      </text>
    </comment>
    <comment ref="AY4" authorId="0" shapeId="0">
      <text>
        <r>
          <rPr>
            <sz val="8"/>
            <color indexed="12"/>
            <rFont val="Tahoma"/>
            <family val="2"/>
          </rPr>
          <t>0875+0876+0877+0878+0445+0880+0885=TOT_REDM_PSTK+TOT_CONV_PSTK</t>
        </r>
      </text>
    </comment>
    <comment ref="AZ4" authorId="0" shapeId="0">
      <text>
        <r>
          <rPr>
            <sz val="8"/>
            <color indexed="12"/>
            <rFont val="Tahoma"/>
            <family val="2"/>
          </rPr>
          <t>0895+0901=TOT_COMMON_STK</t>
        </r>
      </text>
    </comment>
    <comment ref="BA4" authorId="0" shapeId="0">
      <text>
        <r>
          <rPr>
            <sz val="8"/>
            <color indexed="12"/>
            <rFont val="Tahoma"/>
            <family val="2"/>
          </rPr>
          <t>0915+0916+0910=TOT_PREM_C_STK</t>
        </r>
      </text>
    </comment>
    <comment ref="BB4" authorId="0" shapeId="0">
      <text>
        <r>
          <rPr>
            <sz val="8"/>
            <color indexed="12"/>
            <rFont val="Tahoma"/>
            <family val="2"/>
          </rPr>
          <t>0875+0876+0877+0878+0445+0880+0885=TOT_REDM_PSTK+TOT_CONV_PSTK</t>
        </r>
      </text>
    </comment>
    <comment ref="BC4" authorId="0" shapeId="0">
      <text>
        <r>
          <rPr>
            <sz val="8"/>
            <color indexed="12"/>
            <rFont val="Tahoma"/>
            <family val="2"/>
          </rPr>
          <t>0919+0920+0921+0924+0926+0930+0931+0935+0940+0936+0941+0942=TOT_RET_EARN</t>
        </r>
      </text>
    </comment>
    <comment ref="BD4" authorId="0" shapeId="0">
      <text>
        <r>
          <rPr>
            <sz val="8"/>
            <color indexed="12"/>
            <rFont val="Tahoma"/>
            <family val="2"/>
          </rPr>
          <t>0948</t>
        </r>
      </text>
    </comment>
    <comment ref="BE4" authorId="0" shapeId="0">
      <text>
        <r>
          <rPr>
            <sz val="8"/>
            <color indexed="12"/>
            <rFont val="Tahoma"/>
            <family val="2"/>
          </rPr>
          <t>0951</t>
        </r>
      </text>
    </comment>
    <comment ref="BF4" authorId="0" shapeId="0">
      <text>
        <r>
          <rPr>
            <sz val="8"/>
            <color indexed="12"/>
            <rFont val="Tahoma"/>
            <family val="2"/>
          </rPr>
          <t>0950</t>
        </r>
      </text>
    </comment>
    <comment ref="BG4" authorId="0" shapeId="0">
      <text>
        <r>
          <rPr>
            <sz val="8"/>
            <color indexed="12"/>
            <rFont val="Tahoma"/>
            <family val="2"/>
          </rPr>
          <t>0953</t>
        </r>
      </text>
    </comment>
    <comment ref="BH4" authorId="0" shapeId="0">
      <text>
        <r>
          <rPr>
            <sz val="8"/>
            <color indexed="12"/>
            <rFont val="Tahoma"/>
            <family val="2"/>
          </rPr>
          <t>0958</t>
        </r>
      </text>
    </comment>
    <comment ref="A18" authorId="0" shapeId="0">
      <text>
        <r>
          <rPr>
            <sz val="8"/>
            <color indexed="18"/>
            <rFont val="Tahoma"/>
            <family val="2"/>
          </rPr>
          <t>non-merchant</t>
        </r>
      </text>
    </comment>
    <comment ref="AQ28" authorId="1" shapeId="0">
      <text>
        <r>
          <rPr>
            <b/>
            <sz val="8"/>
            <color indexed="81"/>
            <rFont val="Tahoma"/>
          </rPr>
          <t xml:space="preserve">reclass
</t>
        </r>
        <r>
          <rPr>
            <sz val="8"/>
            <color indexed="81"/>
            <rFont val="Tahoma"/>
          </rPr>
          <t xml:space="preserve">
</t>
        </r>
      </text>
    </comment>
    <comment ref="J31" authorId="1" shapeId="0">
      <text>
        <r>
          <rPr>
            <b/>
            <sz val="8"/>
            <color indexed="81"/>
            <rFont val="Tahoma"/>
          </rPr>
          <t xml:space="preserve">NNG -148
</t>
        </r>
        <r>
          <rPr>
            <sz val="8"/>
            <color indexed="81"/>
            <rFont val="Tahoma"/>
          </rPr>
          <t xml:space="preserve">
</t>
        </r>
      </text>
    </comment>
    <comment ref="J33" authorId="2" shapeId="0">
      <text>
        <r>
          <rPr>
            <b/>
            <sz val="8"/>
            <color indexed="81"/>
            <rFont val="Tahoma"/>
          </rPr>
          <t>ihaberl:</t>
        </r>
        <r>
          <rPr>
            <sz val="8"/>
            <color indexed="81"/>
            <rFont val="Tahoma"/>
          </rPr>
          <t xml:space="preserve">
47a $1,653
</t>
        </r>
      </text>
    </comment>
    <comment ref="O35" authorId="1" shapeId="0">
      <text>
        <r>
          <rPr>
            <sz val="8"/>
            <color indexed="81"/>
            <rFont val="Tahoma"/>
          </rPr>
          <t xml:space="preserve">reclass
</t>
        </r>
      </text>
    </comment>
    <comment ref="P36" authorId="1" shapeId="0">
      <text>
        <r>
          <rPr>
            <b/>
            <sz val="8"/>
            <color indexed="81"/>
            <rFont val="Tahoma"/>
          </rPr>
          <t>060 +28</t>
        </r>
        <r>
          <rPr>
            <sz val="8"/>
            <color indexed="81"/>
            <rFont val="Tahoma"/>
          </rPr>
          <t xml:space="preserve">
</t>
        </r>
      </text>
    </comment>
    <comment ref="AJ37" authorId="1" shapeId="0">
      <text>
        <r>
          <rPr>
            <sz val="8"/>
            <color indexed="81"/>
            <rFont val="Tahoma"/>
          </rPr>
          <t>606 -3,164</t>
        </r>
      </text>
    </comment>
    <comment ref="AK37" authorId="1" shapeId="0">
      <text>
        <r>
          <rPr>
            <b/>
            <sz val="8"/>
            <color indexed="81"/>
            <rFont val="Tahoma"/>
          </rPr>
          <t xml:space="preserve">reclass
</t>
        </r>
        <r>
          <rPr>
            <sz val="8"/>
            <color indexed="81"/>
            <rFont val="Tahoma"/>
          </rPr>
          <t xml:space="preserve">
</t>
        </r>
      </text>
    </comment>
    <comment ref="M38" authorId="1" shapeId="0">
      <text>
        <r>
          <rPr>
            <b/>
            <sz val="8"/>
            <color indexed="81"/>
            <rFont val="Tahoma"/>
          </rPr>
          <t xml:space="preserve">reclass
</t>
        </r>
        <r>
          <rPr>
            <sz val="8"/>
            <color indexed="81"/>
            <rFont val="Tahoma"/>
          </rPr>
          <t xml:space="preserve">
</t>
        </r>
      </text>
    </comment>
    <comment ref="AN39" authorId="1" shapeId="0">
      <text>
        <r>
          <rPr>
            <b/>
            <sz val="8"/>
            <color indexed="81"/>
            <rFont val="Tahoma"/>
          </rPr>
          <t>060 +548</t>
        </r>
        <r>
          <rPr>
            <sz val="8"/>
            <color indexed="81"/>
            <rFont val="Tahoma"/>
          </rPr>
          <t xml:space="preserve">
</t>
        </r>
      </text>
    </comment>
    <comment ref="R41" authorId="1" shapeId="0">
      <text>
        <r>
          <rPr>
            <b/>
            <sz val="8"/>
            <color indexed="81"/>
            <rFont val="Tahoma"/>
          </rPr>
          <t xml:space="preserve">060 +332
</t>
        </r>
        <r>
          <rPr>
            <sz val="8"/>
            <color indexed="81"/>
            <rFont val="Tahoma"/>
          </rPr>
          <t xml:space="preserve">
</t>
        </r>
      </text>
    </comment>
    <comment ref="AQ41" authorId="1" shapeId="0">
      <text>
        <r>
          <rPr>
            <sz val="8"/>
            <color indexed="81"/>
            <rFont val="Tahoma"/>
          </rPr>
          <t xml:space="preserve">060 -600
</t>
        </r>
      </text>
    </comment>
    <comment ref="AQ46" authorId="1" shapeId="0">
      <text>
        <r>
          <rPr>
            <b/>
            <sz val="8"/>
            <color indexed="81"/>
            <rFont val="Tahoma"/>
          </rPr>
          <t xml:space="preserve">Reclass
</t>
        </r>
        <r>
          <rPr>
            <sz val="8"/>
            <color indexed="81"/>
            <rFont val="Tahoma"/>
          </rPr>
          <t xml:space="preserve">
</t>
        </r>
      </text>
    </comment>
    <comment ref="AE47" authorId="1" shapeId="0">
      <text>
        <r>
          <rPr>
            <sz val="8"/>
            <color indexed="81"/>
            <rFont val="Tahoma"/>
          </rPr>
          <t xml:space="preserve">NPNG -45,670
NPNG -427
TW -5,078
BM +25,504
</t>
        </r>
      </text>
    </comment>
    <comment ref="AF47" authorId="1" shapeId="0">
      <text>
        <r>
          <rPr>
            <b/>
            <sz val="8"/>
            <color indexed="81"/>
            <rFont val="Tahoma"/>
          </rPr>
          <t xml:space="preserve">NNG +1065
Citrus -138
</t>
        </r>
        <r>
          <rPr>
            <sz val="8"/>
            <color indexed="81"/>
            <rFont val="Tahoma"/>
          </rPr>
          <t xml:space="preserve">
</t>
        </r>
      </text>
    </comment>
    <comment ref="AE52" authorId="1" shapeId="0">
      <text>
        <r>
          <rPr>
            <b/>
            <sz val="8"/>
            <color indexed="81"/>
            <rFont val="Tahoma"/>
          </rPr>
          <t>060 -32 Misc
060 -30 Underground gas storage</t>
        </r>
        <r>
          <rPr>
            <sz val="8"/>
            <color indexed="81"/>
            <rFont val="Tahoma"/>
          </rPr>
          <t xml:space="preserve">
</t>
        </r>
      </text>
    </comment>
    <comment ref="AQ52" authorId="1" shapeId="0">
      <text>
        <r>
          <rPr>
            <b/>
            <sz val="8"/>
            <color indexed="81"/>
            <rFont val="Tahoma"/>
          </rPr>
          <t xml:space="preserve">reclass
</t>
        </r>
        <r>
          <rPr>
            <sz val="8"/>
            <color indexed="81"/>
            <rFont val="Tahoma"/>
          </rPr>
          <t xml:space="preserve">
</t>
        </r>
      </text>
    </comment>
    <comment ref="BC52" authorId="1" shapeId="0">
      <text>
        <r>
          <rPr>
            <b/>
            <sz val="8"/>
            <color indexed="81"/>
            <rFont val="Tahoma"/>
          </rPr>
          <t xml:space="preserve">Citrus 12/98 credit
$2.5M less FIT
</t>
        </r>
        <r>
          <rPr>
            <sz val="8"/>
            <color indexed="81"/>
            <rFont val="Tahoma"/>
          </rPr>
          <t xml:space="preserve">
</t>
        </r>
      </text>
    </comment>
    <comment ref="BC61" authorId="1" shapeId="0">
      <text>
        <r>
          <rPr>
            <b/>
            <sz val="8"/>
            <color indexed="81"/>
            <rFont val="Tahoma"/>
          </rPr>
          <t xml:space="preserve">NNG Dividends paid
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<sst xmlns="http://schemas.openxmlformats.org/spreadsheetml/2006/main" count="201" uniqueCount="178">
  <si>
    <t>(In Thousands)</t>
  </si>
  <si>
    <t>ACTUAL</t>
  </si>
  <si>
    <t xml:space="preserve">    Oil and gas exploration expenses</t>
  </si>
  <si>
    <t>Statement of Consolidated Cash Flows</t>
  </si>
  <si>
    <t>CASH FLW</t>
  </si>
  <si>
    <t>CASH, TEMP</t>
  </si>
  <si>
    <t>NET TRADE</t>
  </si>
  <si>
    <t>CURR MKT</t>
  </si>
  <si>
    <t>TRANSP/EXCH</t>
  </si>
  <si>
    <t>MATERIALS</t>
  </si>
  <si>
    <t>PRICE RISK</t>
  </si>
  <si>
    <t>OTHER CURR</t>
  </si>
  <si>
    <t>INVSMT IN</t>
  </si>
  <si>
    <t>MARKETABLE</t>
  </si>
  <si>
    <t>ADV &amp; PPYMTS</t>
  </si>
  <si>
    <t xml:space="preserve"> NET RECOV.</t>
  </si>
  <si>
    <t>DEF CONT</t>
  </si>
  <si>
    <t>OTHER</t>
  </si>
  <si>
    <t>ACCUM</t>
  </si>
  <si>
    <t>DEFERRED</t>
  </si>
  <si>
    <t>NOTES</t>
  </si>
  <si>
    <t>ACCOUNTS</t>
  </si>
  <si>
    <t>TRANSP/EXCHG</t>
  </si>
  <si>
    <t>ACCRUED</t>
  </si>
  <si>
    <t>LONG-TERM</t>
  </si>
  <si>
    <t>DEF'D INC</t>
  </si>
  <si>
    <t>OTHER DEFD</t>
  </si>
  <si>
    <t>OTHER L-T</t>
  </si>
  <si>
    <t>MINORITY</t>
  </si>
  <si>
    <t>PREFERRED</t>
  </si>
  <si>
    <t>COMMON</t>
  </si>
  <si>
    <t xml:space="preserve">PREM. ON </t>
  </si>
  <si>
    <t>RETAINED</t>
  </si>
  <si>
    <t>FOR CURR'CY</t>
  </si>
  <si>
    <t>FLEX EQUITY</t>
  </si>
  <si>
    <t>L-T REC.</t>
  </si>
  <si>
    <t>TREASURY</t>
  </si>
  <si>
    <t>RESTRICTED</t>
  </si>
  <si>
    <t>STATEMENT</t>
  </si>
  <si>
    <t>CASH INVMT</t>
  </si>
  <si>
    <t>&amp; OTHR REC</t>
  </si>
  <si>
    <t>SECURITIES</t>
  </si>
  <si>
    <t>GAS RECVBLE</t>
  </si>
  <si>
    <t>INVENTORIES</t>
  </si>
  <si>
    <t>&amp; SUPPLIES</t>
  </si>
  <si>
    <t>MGT CURR</t>
  </si>
  <si>
    <t>ASSETS</t>
  </si>
  <si>
    <t>UNCON SUBS</t>
  </si>
  <si>
    <t>FOR GAS</t>
  </si>
  <si>
    <t>FROM PERU</t>
  </si>
  <si>
    <t>REFORMATN</t>
  </si>
  <si>
    <t>MGT N-CUR</t>
  </si>
  <si>
    <t>INVESTMNTS</t>
  </si>
  <si>
    <t>P,P &amp; E</t>
  </si>
  <si>
    <t>D,D &amp; A</t>
  </si>
  <si>
    <t>TAX CREDITS</t>
  </si>
  <si>
    <t>PAYABLE</t>
  </si>
  <si>
    <t>GAS PAYABLE</t>
  </si>
  <si>
    <t>TAXES</t>
  </si>
  <si>
    <t>INTEREST</t>
  </si>
  <si>
    <t>MGT-CURR</t>
  </si>
  <si>
    <t>LIABILITES</t>
  </si>
  <si>
    <t>DEBT</t>
  </si>
  <si>
    <t>CREDITS</t>
  </si>
  <si>
    <t>OBLIGATIONS</t>
  </si>
  <si>
    <t>STOCK</t>
  </si>
  <si>
    <t>COM. STK</t>
  </si>
  <si>
    <t>EARNINGS</t>
  </si>
  <si>
    <t>TRANSL ADJ</t>
  </si>
  <si>
    <t>TRUST REC</t>
  </si>
  <si>
    <t>FROM ESOP</t>
  </si>
  <si>
    <t>STK. PLAN</t>
  </si>
  <si>
    <t>CONS SUB</t>
  </si>
  <si>
    <t>Operating Cash Inflows (Outflows)</t>
  </si>
  <si>
    <t xml:space="preserve">    Depreciation, depletion and amortization</t>
  </si>
  <si>
    <t xml:space="preserve">    Deferred income taxes</t>
  </si>
  <si>
    <t>Changes in components of working capital from operations:</t>
  </si>
  <si>
    <t xml:space="preserve">   Receivables</t>
  </si>
  <si>
    <t xml:space="preserve">   Inventories</t>
  </si>
  <si>
    <t xml:space="preserve">   Prepayments</t>
  </si>
  <si>
    <t xml:space="preserve">   Payables</t>
  </si>
  <si>
    <t xml:space="preserve">   Accrued taxes</t>
  </si>
  <si>
    <t xml:space="preserve">   Accrued interest</t>
  </si>
  <si>
    <t xml:space="preserve">  Net Cash Provided by Operating Activities</t>
  </si>
  <si>
    <t>Investing Cash Inflows (Outflows)</t>
  </si>
  <si>
    <t>Capital Expenditures</t>
  </si>
  <si>
    <t xml:space="preserve">  Net Cash Provided by Investing Activities</t>
  </si>
  <si>
    <t xml:space="preserve">  Net Cash Provided by Financing Activities</t>
  </si>
  <si>
    <t>chk</t>
  </si>
  <si>
    <t>PREPYMTS</t>
  </si>
  <si>
    <t>ACCTS REC</t>
  </si>
  <si>
    <t>NOTES PAYABLE</t>
  </si>
  <si>
    <t>ACCTS PAYABLE</t>
  </si>
  <si>
    <t xml:space="preserve">   A/R, A/P - Intercompany</t>
  </si>
  <si>
    <t>CORP</t>
  </si>
  <si>
    <t>NOTES REC</t>
  </si>
  <si>
    <t>L/T DEBT</t>
  </si>
  <si>
    <t>SUBS</t>
  </si>
  <si>
    <t xml:space="preserve">   A/R, A/P - Corp</t>
  </si>
  <si>
    <t>I/C WITH</t>
  </si>
  <si>
    <t xml:space="preserve">OTHER </t>
  </si>
  <si>
    <t>DEF CHGS</t>
  </si>
  <si>
    <t>INVST N/A</t>
  </si>
  <si>
    <t>DISC OPER</t>
  </si>
  <si>
    <t>DEBT EXP</t>
  </si>
  <si>
    <t>E6</t>
  </si>
  <si>
    <t>E1</t>
  </si>
  <si>
    <t>E2</t>
  </si>
  <si>
    <t>E3</t>
  </si>
  <si>
    <t>E4</t>
  </si>
  <si>
    <t>E8</t>
  </si>
  <si>
    <t>E11</t>
  </si>
  <si>
    <t>E12</t>
  </si>
  <si>
    <t>E14</t>
  </si>
  <si>
    <t xml:space="preserve">    Gains on sales of assets and investments</t>
  </si>
  <si>
    <t>I/C CASH</t>
  </si>
  <si>
    <t>FROM CORP</t>
  </si>
  <si>
    <t>Balance, Beginning of Period - Cash</t>
  </si>
  <si>
    <t>Balance, Beginning of Period - I/C Cash Corp</t>
  </si>
  <si>
    <t>Proceeds from sale of assets and investments</t>
  </si>
  <si>
    <t>INC (DEC) IN CASH &amp; CASH EQUIV, I/C CASH FROM CORP</t>
  </si>
  <si>
    <t>Balance, Beginning of Period - Cash, I/C Cash Corp</t>
  </si>
  <si>
    <t>INC (DEC) IN CASH &amp; CASH EQUIV</t>
  </si>
  <si>
    <t>INC (DEC) INTERCOMPANY CASH FROM CORPORATE</t>
  </si>
  <si>
    <t>INTERCO</t>
  </si>
  <si>
    <t>EQUITY</t>
  </si>
  <si>
    <t xml:space="preserve"> Net income before financing costs</t>
  </si>
  <si>
    <t xml:space="preserve">    Financing costs</t>
  </si>
  <si>
    <t xml:space="preserve">   Other working capital</t>
  </si>
  <si>
    <t xml:space="preserve">          Funds Flow</t>
  </si>
  <si>
    <t xml:space="preserve">    Other, net</t>
  </si>
  <si>
    <t xml:space="preserve">        Total changes in components of working capital</t>
  </si>
  <si>
    <t xml:space="preserve">    Net assets from price risk management activities</t>
  </si>
  <si>
    <t xml:space="preserve">    Amortization of production payment transaction</t>
  </si>
  <si>
    <t xml:space="preserve">    Income attributable to minority interest</t>
  </si>
  <si>
    <t xml:space="preserve">    Dividends on pref securities of subsidiary cos.</t>
  </si>
  <si>
    <t xml:space="preserve">    Equity earnings</t>
  </si>
  <si>
    <t xml:space="preserve">    Equity/partnership distributions</t>
  </si>
  <si>
    <t>Other investing activities - intercompany</t>
  </si>
  <si>
    <t>Cash Flows From Financing Activities</t>
  </si>
  <si>
    <t>Net increase (decrease) in short-term borrowings</t>
  </si>
  <si>
    <t>Issuance of long-term debt</t>
  </si>
  <si>
    <t xml:space="preserve">Repayment of long-term debt </t>
  </si>
  <si>
    <t>Issuance of company-obligated prefd securities of subs</t>
  </si>
  <si>
    <t>Issuance of preferred stock</t>
  </si>
  <si>
    <t>Other financing activities - I/C</t>
  </si>
  <si>
    <t>Acquisition of treasury stock</t>
  </si>
  <si>
    <t>Issuance of treasury stock</t>
  </si>
  <si>
    <t>Dividends paid by subsidiary to minority interest</t>
  </si>
  <si>
    <t>Issuance of common stock</t>
  </si>
  <si>
    <t>E15</t>
  </si>
  <si>
    <t>E31</t>
  </si>
  <si>
    <t xml:space="preserve"> NI after financing costs (excluding cons subs equity earn)</t>
  </si>
  <si>
    <t xml:space="preserve">   Exchange Receivable</t>
  </si>
  <si>
    <t xml:space="preserve">   Exchange Payable</t>
  </si>
  <si>
    <t xml:space="preserve">    Merchant assets &amp; investments - realized gains on sales</t>
  </si>
  <si>
    <t>Other investing activities</t>
  </si>
  <si>
    <t xml:space="preserve">                                                       - proceeds from sales</t>
  </si>
  <si>
    <t xml:space="preserve">                                                       - additions</t>
  </si>
  <si>
    <r>
      <t>Beg Bal</t>
    </r>
    <r>
      <rPr>
        <b/>
        <sz val="8"/>
        <rFont val="Arial"/>
        <family val="2"/>
      </rPr>
      <t>:</t>
    </r>
  </si>
  <si>
    <r>
      <t>End Bal</t>
    </r>
    <r>
      <rPr>
        <b/>
        <sz val="8"/>
        <rFont val="Arial"/>
        <family val="2"/>
      </rPr>
      <t>:</t>
    </r>
  </si>
  <si>
    <t>Changes in other obligations</t>
  </si>
  <si>
    <t>Change in total obligations</t>
  </si>
  <si>
    <t>report date</t>
  </si>
  <si>
    <t>report time</t>
  </si>
  <si>
    <t>Transfer of Equity from Co. 100 to Co. 104</t>
  </si>
  <si>
    <t>Red-Manual</t>
  </si>
  <si>
    <t>Underground Storage &amp; removal cost less salvage</t>
  </si>
  <si>
    <t>Other Capital Expendiures</t>
  </si>
  <si>
    <t>Dividends (paid)Declared</t>
  </si>
  <si>
    <t>Other Investing Activities</t>
  </si>
  <si>
    <t>12/31/99</t>
  </si>
  <si>
    <t>GPG AND EOTT</t>
  </si>
  <si>
    <t>Equity Revolver and API's</t>
  </si>
  <si>
    <t>EGPG4</t>
  </si>
  <si>
    <t>PY_R</t>
  </si>
  <si>
    <t>09/30/00</t>
  </si>
  <si>
    <r>
      <t>For the</t>
    </r>
    <r>
      <rPr>
        <b/>
        <sz val="8"/>
        <color indexed="10"/>
        <rFont val="Arial"/>
        <family val="2"/>
      </rPr>
      <t xml:space="preserve"> 9 </t>
    </r>
    <r>
      <rPr>
        <b/>
        <sz val="8"/>
        <rFont val="Arial"/>
      </rPr>
      <t>months ended</t>
    </r>
    <r>
      <rPr>
        <b/>
        <sz val="8"/>
        <color indexed="10"/>
        <rFont val="Arial"/>
        <family val="2"/>
      </rPr>
      <t xml:space="preserve"> September 30, 2000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</si>
</sst>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_)"/>
    <numFmt numFmtId="165" formatCode="hh:mm\ AM/PM_)"/>
    <numFmt numFmtId="175" formatCode="mm/dd/yy"/>
  </numFmts>
  <fonts count="26" x14ac:knownFonts="1">
    <font>
      <sz val="8"/>
      <name val="Arial"/>
    </font>
    <font>
      <sz val="10"/>
      <name val="MS Sans Serif"/>
    </font>
    <font>
      <sz val="10"/>
      <name val="Arial"/>
    </font>
    <font>
      <sz val="9"/>
      <name val="Arial"/>
    </font>
    <font>
      <sz val="8"/>
      <name val="Arial"/>
    </font>
    <font>
      <sz val="10"/>
      <name val="Courier New"/>
      <family val="3"/>
    </font>
    <font>
      <sz val="8"/>
      <color indexed="10"/>
      <name val="Arial"/>
      <family val="2"/>
    </font>
    <font>
      <sz val="7"/>
      <color indexed="10"/>
      <name val="Arial"/>
      <family val="2"/>
    </font>
    <font>
      <b/>
      <sz val="8"/>
      <name val="Arial"/>
    </font>
    <font>
      <sz val="7"/>
      <name val="Arial"/>
      <family val="2"/>
    </font>
    <font>
      <i/>
      <sz val="8"/>
      <name val="Arial"/>
    </font>
    <font>
      <u/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8"/>
      <color indexed="14"/>
      <name val="Arial"/>
      <family val="2"/>
    </font>
    <font>
      <b/>
      <sz val="8"/>
      <color indexed="10"/>
      <name val="Arial"/>
      <family val="2"/>
    </font>
    <font>
      <sz val="8"/>
      <color indexed="12"/>
      <name val="Tahoma"/>
      <family val="2"/>
    </font>
    <font>
      <b/>
      <sz val="8"/>
      <name val="Arial"/>
      <family val="2"/>
    </font>
    <font>
      <sz val="8"/>
      <color indexed="18"/>
      <name val="Tahoma"/>
      <family val="2"/>
    </font>
    <font>
      <b/>
      <sz val="8"/>
      <color indexed="8"/>
      <name val="Arial"/>
      <family val="2"/>
    </font>
    <font>
      <sz val="8"/>
      <color indexed="17"/>
      <name val="Arial"/>
      <family val="2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sz val="6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 style="double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37" fontId="0" fillId="0" borderId="0"/>
  </cellStyleXfs>
  <cellXfs count="111">
    <xf numFmtId="37" fontId="0" fillId="0" borderId="0" xfId="0"/>
    <xf numFmtId="37" fontId="0" fillId="0" borderId="0" xfId="0" applyFont="1"/>
    <xf numFmtId="49" fontId="6" fillId="0" borderId="1" xfId="0" quotePrefix="1" applyNumberFormat="1" applyFont="1" applyBorder="1" applyAlignment="1" applyProtection="1">
      <alignment horizontal="center"/>
    </xf>
    <xf numFmtId="37" fontId="6" fillId="0" borderId="1" xfId="0" quotePrefix="1" applyFont="1" applyBorder="1" applyAlignment="1" applyProtection="1">
      <alignment horizontal="center"/>
    </xf>
    <xf numFmtId="37" fontId="0" fillId="0" borderId="0" xfId="0" applyNumberFormat="1" applyFont="1" applyAlignment="1" applyProtection="1">
      <alignment horizontal="left"/>
    </xf>
    <xf numFmtId="37" fontId="0" fillId="0" borderId="0" xfId="0" applyFont="1" applyProtection="1">
      <protection locked="0"/>
    </xf>
    <xf numFmtId="37" fontId="0" fillId="0" borderId="0" xfId="0" applyFont="1" applyProtection="1"/>
    <xf numFmtId="37" fontId="0" fillId="0" borderId="0" xfId="0" applyFont="1" applyAlignment="1" applyProtection="1">
      <alignment horizontal="left"/>
    </xf>
    <xf numFmtId="37" fontId="0" fillId="0" borderId="2" xfId="0" applyFont="1" applyBorder="1" applyProtection="1"/>
    <xf numFmtId="37" fontId="0" fillId="0" borderId="2" xfId="0" applyFont="1" applyBorder="1"/>
    <xf numFmtId="37" fontId="0" fillId="0" borderId="2" xfId="0" applyFont="1" applyBorder="1" applyProtection="1">
      <protection locked="0"/>
    </xf>
    <xf numFmtId="37" fontId="0" fillId="0" borderId="0" xfId="0" quotePrefix="1" applyAlignment="1" applyProtection="1">
      <alignment horizontal="left"/>
    </xf>
    <xf numFmtId="37" fontId="8" fillId="0" borderId="0" xfId="0" applyFont="1" applyAlignment="1" applyProtection="1">
      <alignment horizontal="left"/>
    </xf>
    <xf numFmtId="37" fontId="0" fillId="0" borderId="0" xfId="0" applyAlignment="1" applyProtection="1">
      <alignment horizontal="left"/>
    </xf>
    <xf numFmtId="37" fontId="0" fillId="0" borderId="3" xfId="0" applyFont="1" applyBorder="1"/>
    <xf numFmtId="37" fontId="0" fillId="0" borderId="4" xfId="0" quotePrefix="1" applyNumberFormat="1" applyFont="1" applyBorder="1" applyAlignment="1" applyProtection="1">
      <alignment horizontal="right"/>
    </xf>
    <xf numFmtId="37" fontId="9" fillId="0" borderId="3" xfId="0" applyFont="1" applyBorder="1" applyAlignment="1" applyProtection="1">
      <alignment horizontal="center"/>
    </xf>
    <xf numFmtId="37" fontId="9" fillId="0" borderId="3" xfId="0" applyFont="1" applyBorder="1"/>
    <xf numFmtId="37" fontId="9" fillId="0" borderId="4" xfId="0" quotePrefix="1" applyNumberFormat="1" applyFont="1" applyBorder="1" applyAlignment="1" applyProtection="1">
      <alignment horizontal="right"/>
    </xf>
    <xf numFmtId="37" fontId="10" fillId="0" borderId="2" xfId="0" applyFont="1" applyBorder="1" applyAlignment="1" applyProtection="1">
      <alignment horizontal="left"/>
    </xf>
    <xf numFmtId="37" fontId="0" fillId="0" borderId="5" xfId="0" quotePrefix="1" applyNumberFormat="1" applyFont="1" applyBorder="1" applyAlignment="1" applyProtection="1">
      <alignment horizontal="right"/>
    </xf>
    <xf numFmtId="37" fontId="9" fillId="0" borderId="2" xfId="0" applyFont="1" applyBorder="1" applyAlignment="1" applyProtection="1">
      <alignment horizontal="center"/>
    </xf>
    <xf numFmtId="37" fontId="9" fillId="0" borderId="5" xfId="0" quotePrefix="1" applyNumberFormat="1" applyFont="1" applyBorder="1" applyAlignment="1" applyProtection="1">
      <alignment horizontal="right"/>
    </xf>
    <xf numFmtId="37" fontId="0" fillId="0" borderId="2" xfId="0" applyNumberFormat="1" applyFont="1" applyBorder="1" applyProtection="1"/>
    <xf numFmtId="37" fontId="0" fillId="0" borderId="0" xfId="0" applyNumberFormat="1" applyFont="1" applyProtection="1"/>
    <xf numFmtId="37" fontId="11" fillId="0" borderId="0" xfId="0" applyFont="1" applyAlignment="1" applyProtection="1">
      <alignment horizontal="center"/>
    </xf>
    <xf numFmtId="37" fontId="0" fillId="0" borderId="0" xfId="0" applyNumberFormat="1" applyFont="1" applyProtection="1">
      <protection locked="0"/>
    </xf>
    <xf numFmtId="37" fontId="0" fillId="2" borderId="0" xfId="0" applyFont="1" applyFill="1"/>
    <xf numFmtId="37" fontId="6" fillId="0" borderId="0" xfId="0" applyNumberFormat="1" applyFont="1" applyProtection="1"/>
    <xf numFmtId="37" fontId="6" fillId="0" borderId="0" xfId="0" applyNumberFormat="1" applyFont="1" applyProtection="1">
      <protection locked="0"/>
    </xf>
    <xf numFmtId="37" fontId="6" fillId="0" borderId="2" xfId="0" applyFont="1" applyBorder="1"/>
    <xf numFmtId="37" fontId="6" fillId="0" borderId="0" xfId="0" applyFont="1"/>
    <xf numFmtId="37" fontId="0" fillId="0" borderId="6" xfId="0" applyNumberFormat="1" applyFont="1" applyBorder="1" applyProtection="1"/>
    <xf numFmtId="37" fontId="0" fillId="0" borderId="0" xfId="0" quotePrefix="1" applyAlignment="1">
      <alignment horizontal="left"/>
    </xf>
    <xf numFmtId="37" fontId="0" fillId="0" borderId="0" xfId="0" applyNumberFormat="1" applyFont="1" applyBorder="1" applyProtection="1"/>
    <xf numFmtId="37" fontId="0" fillId="0" borderId="7" xfId="0" applyBorder="1" applyProtection="1">
      <protection locked="0"/>
    </xf>
    <xf numFmtId="37" fontId="12" fillId="0" borderId="0" xfId="0" applyNumberFormat="1" applyFont="1" applyProtection="1"/>
    <xf numFmtId="37" fontId="13" fillId="0" borderId="0" xfId="0" applyNumberFormat="1" applyFont="1" applyProtection="1"/>
    <xf numFmtId="37" fontId="12" fillId="0" borderId="2" xfId="0" applyNumberFormat="1" applyFont="1" applyBorder="1" applyProtection="1"/>
    <xf numFmtId="37" fontId="7" fillId="0" borderId="2" xfId="0" applyFont="1" applyBorder="1" applyAlignment="1" applyProtection="1">
      <alignment horizontal="center"/>
    </xf>
    <xf numFmtId="37" fontId="7" fillId="0" borderId="2" xfId="0" quotePrefix="1" applyFont="1" applyBorder="1" applyAlignment="1" applyProtection="1">
      <alignment horizontal="center"/>
    </xf>
    <xf numFmtId="37" fontId="7" fillId="0" borderId="3" xfId="0" applyFont="1" applyBorder="1" applyAlignment="1" applyProtection="1">
      <alignment horizontal="center"/>
    </xf>
    <xf numFmtId="37" fontId="7" fillId="0" borderId="3" xfId="0" quotePrefix="1" applyFont="1" applyBorder="1" applyAlignment="1">
      <alignment horizontal="center"/>
    </xf>
    <xf numFmtId="37" fontId="6" fillId="0" borderId="2" xfId="0" applyNumberFormat="1" applyFont="1" applyBorder="1" applyProtection="1"/>
    <xf numFmtId="37" fontId="0" fillId="0" borderId="0" xfId="0" applyFont="1" applyBorder="1"/>
    <xf numFmtId="37" fontId="6" fillId="0" borderId="0" xfId="0" applyFont="1" applyBorder="1"/>
    <xf numFmtId="37" fontId="7" fillId="0" borderId="3" xfId="0" quotePrefix="1" applyFont="1" applyBorder="1" applyAlignment="1" applyProtection="1">
      <alignment horizontal="center"/>
    </xf>
    <xf numFmtId="37" fontId="12" fillId="0" borderId="0" xfId="0" applyFont="1" applyAlignment="1" applyProtection="1">
      <alignment horizontal="left"/>
    </xf>
    <xf numFmtId="37" fontId="12" fillId="0" borderId="0" xfId="0" quotePrefix="1" applyFont="1" applyAlignment="1" applyProtection="1">
      <alignment horizontal="left"/>
    </xf>
    <xf numFmtId="37" fontId="6" fillId="0" borderId="0" xfId="0" applyNumberFormat="1" applyFont="1" applyBorder="1" applyProtection="1"/>
    <xf numFmtId="37" fontId="0" fillId="0" borderId="8" xfId="0" applyFont="1" applyBorder="1"/>
    <xf numFmtId="37" fontId="0" fillId="0" borderId="9" xfId="0" quotePrefix="1" applyNumberFormat="1" applyFont="1" applyBorder="1" applyAlignment="1" applyProtection="1">
      <alignment horizontal="right"/>
    </xf>
    <xf numFmtId="37" fontId="0" fillId="0" borderId="0" xfId="0" applyFont="1" applyAlignment="1">
      <alignment horizontal="center"/>
    </xf>
    <xf numFmtId="37" fontId="14" fillId="0" borderId="0" xfId="0" applyFont="1" applyAlignment="1">
      <alignment horizontal="center"/>
    </xf>
    <xf numFmtId="37" fontId="0" fillId="0" borderId="0" xfId="0" applyFont="1" applyBorder="1" applyProtection="1"/>
    <xf numFmtId="37" fontId="0" fillId="0" borderId="10" xfId="0" applyFont="1" applyBorder="1"/>
    <xf numFmtId="37" fontId="0" fillId="0" borderId="7" xfId="0" applyFont="1" applyBorder="1"/>
    <xf numFmtId="37" fontId="0" fillId="0" borderId="2" xfId="0" applyBorder="1" applyProtection="1">
      <protection locked="0"/>
    </xf>
    <xf numFmtId="37" fontId="0" fillId="0" borderId="6" xfId="0" applyFont="1" applyBorder="1"/>
    <xf numFmtId="37" fontId="0" fillId="0" borderId="11" xfId="0" applyNumberFormat="1" applyFont="1" applyBorder="1" applyProtection="1"/>
    <xf numFmtId="37" fontId="0" fillId="0" borderId="7" xfId="0" applyNumberFormat="1" applyFont="1" applyBorder="1" applyProtection="1"/>
    <xf numFmtId="49" fontId="0" fillId="0" borderId="0" xfId="0" applyNumberFormat="1" applyFont="1"/>
    <xf numFmtId="49" fontId="0" fillId="0" borderId="0" xfId="0" applyNumberFormat="1" applyFont="1" applyProtection="1">
      <protection locked="0"/>
    </xf>
    <xf numFmtId="49" fontId="0" fillId="0" borderId="0" xfId="0" applyNumberFormat="1" applyFont="1" applyAlignment="1" applyProtection="1">
      <alignment horizontal="left"/>
    </xf>
    <xf numFmtId="49" fontId="0" fillId="0" borderId="0" xfId="0" applyNumberFormat="1" applyFont="1" applyProtection="1"/>
    <xf numFmtId="164" fontId="0" fillId="0" borderId="0" xfId="0" applyNumberFormat="1" applyFont="1" applyProtection="1"/>
    <xf numFmtId="165" fontId="0" fillId="0" borderId="0" xfId="0" applyNumberFormat="1" applyFont="1" applyProtection="1"/>
    <xf numFmtId="37" fontId="8" fillId="0" borderId="0" xfId="0" quotePrefix="1" applyFont="1" applyAlignment="1" applyProtection="1">
      <alignment horizontal="left"/>
    </xf>
    <xf numFmtId="37" fontId="6" fillId="0" borderId="11" xfId="0" applyNumberFormat="1" applyFont="1" applyBorder="1" applyProtection="1"/>
    <xf numFmtId="37" fontId="11" fillId="0" borderId="0" xfId="0" quotePrefix="1" applyFont="1" applyAlignment="1" applyProtection="1">
      <alignment horizontal="center"/>
    </xf>
    <xf numFmtId="37" fontId="14" fillId="0" borderId="0" xfId="0" quotePrefix="1" applyFont="1" applyAlignment="1">
      <alignment horizontal="center"/>
    </xf>
    <xf numFmtId="37" fontId="0" fillId="0" borderId="0" xfId="0" quotePrefix="1" applyFont="1" applyAlignment="1">
      <alignment horizontal="left"/>
    </xf>
    <xf numFmtId="37" fontId="0" fillId="0" borderId="0" xfId="0" quotePrefix="1" applyNumberFormat="1" applyAlignment="1" applyProtection="1">
      <alignment horizontal="right"/>
    </xf>
    <xf numFmtId="37" fontId="19" fillId="3" borderId="12" xfId="0" applyFont="1" applyFill="1" applyBorder="1" applyAlignment="1" applyProtection="1">
      <alignment horizontal="center"/>
    </xf>
    <xf numFmtId="37" fontId="20" fillId="0" borderId="0" xfId="0" quotePrefix="1" applyFont="1" applyAlignment="1" applyProtection="1">
      <alignment horizontal="left"/>
    </xf>
    <xf numFmtId="37" fontId="21" fillId="0" borderId="0" xfId="0" applyFont="1" applyProtection="1"/>
    <xf numFmtId="37" fontId="21" fillId="0" borderId="0" xfId="0" applyNumberFormat="1" applyFont="1" applyProtection="1"/>
    <xf numFmtId="37" fontId="21" fillId="0" borderId="2" xfId="0" applyFont="1" applyBorder="1" applyProtection="1"/>
    <xf numFmtId="37" fontId="22" fillId="0" borderId="0" xfId="0" applyNumberFormat="1" applyFont="1" applyProtection="1"/>
    <xf numFmtId="37" fontId="22" fillId="0" borderId="2" xfId="0" applyNumberFormat="1" applyFont="1" applyBorder="1" applyProtection="1"/>
    <xf numFmtId="37" fontId="22" fillId="0" borderId="0" xfId="0" applyNumberFormat="1" applyFont="1" applyBorder="1" applyProtection="1"/>
    <xf numFmtId="37" fontId="22" fillId="0" borderId="0" xfId="0" applyFont="1"/>
    <xf numFmtId="37" fontId="22" fillId="0" borderId="0" xfId="0" applyFont="1" applyBorder="1"/>
    <xf numFmtId="0" fontId="23" fillId="0" borderId="0" xfId="0" applyNumberFormat="1" applyFont="1"/>
    <xf numFmtId="175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49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>
      <alignment horizontal="right"/>
    </xf>
    <xf numFmtId="37" fontId="21" fillId="0" borderId="2" xfId="0" applyFont="1" applyBorder="1"/>
    <xf numFmtId="37" fontId="21" fillId="0" borderId="0" xfId="0" applyFont="1"/>
    <xf numFmtId="37" fontId="12" fillId="0" borderId="0" xfId="0" applyFont="1"/>
    <xf numFmtId="49" fontId="0" fillId="4" borderId="0" xfId="0" applyNumberFormat="1" applyFill="1"/>
    <xf numFmtId="37" fontId="12" fillId="0" borderId="2" xfId="0" applyFont="1" applyFill="1" applyBorder="1"/>
    <xf numFmtId="37" fontId="0" fillId="0" borderId="0" xfId="0" applyFont="1" applyFill="1"/>
    <xf numFmtId="37" fontId="21" fillId="0" borderId="0" xfId="0" applyFont="1" applyFill="1"/>
    <xf numFmtId="37" fontId="6" fillId="0" borderId="2" xfId="0" applyNumberFormat="1" applyFont="1" applyFill="1" applyBorder="1" applyProtection="1"/>
    <xf numFmtId="37" fontId="6" fillId="0" borderId="2" xfId="0" applyFont="1" applyFill="1" applyBorder="1"/>
    <xf numFmtId="37" fontId="22" fillId="0" borderId="0" xfId="0" applyFont="1" applyFill="1"/>
    <xf numFmtId="37" fontId="0" fillId="0" borderId="2" xfId="0" applyFont="1" applyFill="1" applyBorder="1"/>
    <xf numFmtId="37" fontId="21" fillId="0" borderId="2" xfId="0" applyFont="1" applyFill="1" applyBorder="1"/>
    <xf numFmtId="37" fontId="0" fillId="5" borderId="0" xfId="0" applyNumberFormat="1" applyFont="1" applyFill="1" applyProtection="1"/>
    <xf numFmtId="37" fontId="0" fillId="5" borderId="0" xfId="0" applyFont="1" applyFill="1"/>
    <xf numFmtId="49" fontId="0" fillId="0" borderId="0" xfId="0" applyNumberFormat="1"/>
    <xf numFmtId="37" fontId="6" fillId="6" borderId="2" xfId="0" applyFont="1" applyFill="1" applyBorder="1"/>
    <xf numFmtId="37" fontId="21" fillId="6" borderId="2" xfId="0" applyFont="1" applyFill="1" applyBorder="1"/>
    <xf numFmtId="37" fontId="21" fillId="6" borderId="0" xfId="0" applyFont="1" applyFill="1" applyProtection="1"/>
    <xf numFmtId="37" fontId="0" fillId="6" borderId="0" xfId="0" applyFont="1" applyFill="1"/>
    <xf numFmtId="37" fontId="6" fillId="6" borderId="2" xfId="0" applyNumberFormat="1" applyFont="1" applyFill="1" applyBorder="1" applyProtection="1"/>
    <xf numFmtId="37" fontId="21" fillId="6" borderId="2" xfId="0" applyNumberFormat="1" applyFont="1" applyFill="1" applyBorder="1" applyProtection="1"/>
    <xf numFmtId="37" fontId="0" fillId="6" borderId="2" xfId="0" applyFont="1" applyFill="1" applyBorder="1"/>
    <xf numFmtId="37" fontId="21" fillId="6" borderId="0" xfId="0" applyNumberFormat="1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ntry="1" codeName="Sheet1">
    <pageSetUpPr fitToPage="1"/>
  </sheetPr>
  <dimension ref="A1:BI78"/>
  <sheetViews>
    <sheetView tabSelected="1" showOutlineSymbols="0" topLeftCell="A43" workbookViewId="0">
      <selection activeCell="C43" sqref="C43"/>
    </sheetView>
  </sheetViews>
  <sheetFormatPr defaultColWidth="9" defaultRowHeight="11.25" outlineLevelRow="4" x14ac:dyDescent="0.2"/>
  <cols>
    <col min="1" max="1" width="49" style="1" bestFit="1" customWidth="1"/>
    <col min="2" max="2" width="1.83203125" style="1" customWidth="1"/>
    <col min="3" max="3" width="12.83203125" style="1" customWidth="1"/>
    <col min="4" max="4" width="10.5" style="1" customWidth="1"/>
    <col min="5" max="5" width="1.83203125" style="1" customWidth="1"/>
    <col min="6" max="15" width="12.83203125" style="1" customWidth="1"/>
    <col min="16" max="16" width="11.1640625" style="1" customWidth="1"/>
    <col min="17" max="17" width="11.33203125" style="1" customWidth="1"/>
    <col min="18" max="25" width="12.83203125" style="1" customWidth="1"/>
    <col min="26" max="26" width="11.33203125" style="1" customWidth="1"/>
    <col min="27" max="27" width="10.83203125" style="1" customWidth="1"/>
    <col min="28" max="29" width="11.5" style="1" customWidth="1"/>
    <col min="30" max="30" width="13.33203125" style="1" bestFit="1" customWidth="1"/>
    <col min="31" max="34" width="12.83203125" style="1" customWidth="1"/>
    <col min="35" max="35" width="13.6640625" style="1" customWidth="1"/>
    <col min="36" max="36" width="13.33203125" style="1" bestFit="1" customWidth="1"/>
    <col min="37" max="38" width="13.33203125" style="1" customWidth="1"/>
    <col min="39" max="41" width="12.83203125" style="1" customWidth="1"/>
    <col min="42" max="42" width="11.33203125" style="1" customWidth="1"/>
    <col min="43" max="46" width="12.83203125" style="1" customWidth="1"/>
    <col min="47" max="47" width="11.33203125" style="1" customWidth="1"/>
    <col min="48" max="53" width="12.83203125" style="1" customWidth="1"/>
    <col min="54" max="54" width="12.83203125" style="1" hidden="1" customWidth="1"/>
    <col min="55" max="56" width="12.83203125" style="1" customWidth="1"/>
    <col min="57" max="57" width="11.83203125" style="1" customWidth="1"/>
    <col min="58" max="60" width="12.83203125" style="1" customWidth="1"/>
    <col min="61" max="61" width="9.83203125" style="1" bestFit="1" customWidth="1"/>
    <col min="62" max="16384" width="9" style="1"/>
  </cols>
  <sheetData>
    <row r="1" spans="1:60" x14ac:dyDescent="0.2">
      <c r="A1" s="12" t="s">
        <v>172</v>
      </c>
      <c r="C1" s="73" t="s">
        <v>174</v>
      </c>
      <c r="F1" s="62"/>
      <c r="G1" s="86" t="s">
        <v>163</v>
      </c>
      <c r="H1" s="84">
        <f ca="1">NOW()</f>
        <v>41886.675823032405</v>
      </c>
      <c r="I1" s="61"/>
      <c r="J1" s="61"/>
      <c r="K1" s="61"/>
      <c r="L1" s="61"/>
      <c r="M1" s="61"/>
      <c r="N1" s="61"/>
      <c r="O1" s="63"/>
      <c r="P1" s="61"/>
      <c r="Q1" s="61"/>
      <c r="R1" s="64"/>
      <c r="S1" s="61"/>
      <c r="T1" s="61"/>
      <c r="U1" s="61"/>
      <c r="V1" s="61"/>
      <c r="W1" s="61"/>
      <c r="X1" s="61"/>
      <c r="Y1" s="63"/>
      <c r="Z1" s="63"/>
      <c r="AA1" s="63"/>
      <c r="AB1" s="63"/>
      <c r="AC1" s="63"/>
      <c r="AD1" s="61"/>
      <c r="AE1" s="64"/>
      <c r="AF1" s="61"/>
      <c r="AG1" s="102"/>
      <c r="AH1" s="61"/>
      <c r="AI1" s="61"/>
      <c r="AJ1" s="61"/>
      <c r="AK1" s="61"/>
      <c r="AL1" s="61"/>
      <c r="AM1" s="61"/>
      <c r="AN1" s="61"/>
      <c r="AO1" s="63"/>
      <c r="AP1" s="63"/>
      <c r="AQ1" s="61"/>
      <c r="AR1" s="64"/>
      <c r="AS1" s="64"/>
      <c r="AT1" s="61"/>
      <c r="AU1" s="61"/>
      <c r="AV1" s="61"/>
      <c r="AW1" s="61"/>
      <c r="AX1" s="61"/>
      <c r="AY1" s="63"/>
      <c r="AZ1" s="61"/>
      <c r="BA1" s="64"/>
      <c r="BB1" s="65"/>
      <c r="BC1" s="61"/>
      <c r="BD1" s="61"/>
      <c r="BE1" s="61"/>
      <c r="BF1" s="61"/>
      <c r="BG1" s="61"/>
      <c r="BH1" s="61"/>
    </row>
    <row r="2" spans="1:60" x14ac:dyDescent="0.2">
      <c r="A2" s="12" t="s">
        <v>3</v>
      </c>
      <c r="C2" s="73" t="s">
        <v>1</v>
      </c>
      <c r="D2" s="2" t="s">
        <v>176</v>
      </c>
      <c r="F2" s="91" t="s">
        <v>166</v>
      </c>
      <c r="G2" s="87" t="s">
        <v>164</v>
      </c>
      <c r="H2" s="85">
        <f ca="1">NOW()</f>
        <v>41886.675823032405</v>
      </c>
      <c r="I2" s="61"/>
      <c r="J2" s="61"/>
      <c r="K2" s="61"/>
      <c r="L2" s="83" t="str">
        <f ca="1">CELL("filename")</f>
        <v>C:\Users\Felienne\Enron\EnronSpreadsheets\[tracy_geaccone__40592__CF_EGPG4_PY_R_2.xls]Enron Gas Pipeline Group</v>
      </c>
      <c r="M2" s="61"/>
      <c r="N2" s="61"/>
      <c r="O2" s="61"/>
      <c r="P2" s="61"/>
      <c r="Q2" s="61"/>
      <c r="R2" s="64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4"/>
      <c r="AF2" s="63"/>
      <c r="AG2" s="63"/>
      <c r="AH2" s="61"/>
      <c r="AI2" s="61"/>
      <c r="AJ2" s="61"/>
      <c r="AK2" s="61"/>
      <c r="AL2" s="61"/>
      <c r="AM2" s="61"/>
      <c r="AN2" s="61"/>
      <c r="AO2" s="61"/>
      <c r="AP2" s="61"/>
      <c r="AQ2" s="63"/>
      <c r="AR2" s="64"/>
      <c r="AS2" s="64"/>
      <c r="AT2" s="61"/>
      <c r="AU2" s="61"/>
      <c r="AV2" s="61"/>
      <c r="AW2" s="61"/>
      <c r="AX2" s="61"/>
      <c r="AY2" s="63"/>
      <c r="AZ2" s="61"/>
      <c r="BA2" s="64"/>
      <c r="BB2" s="66"/>
      <c r="BC2" s="61"/>
      <c r="BD2" s="61"/>
      <c r="BE2" s="61"/>
      <c r="BF2" s="61"/>
      <c r="BG2" s="61"/>
      <c r="BH2" s="61"/>
    </row>
    <row r="3" spans="1:60" x14ac:dyDescent="0.2">
      <c r="A3" s="67" t="s">
        <v>177</v>
      </c>
      <c r="B3" s="50"/>
      <c r="C3" s="73" t="s">
        <v>175</v>
      </c>
      <c r="D3" s="3" t="s">
        <v>171</v>
      </c>
      <c r="F3" s="52"/>
      <c r="G3" s="52"/>
      <c r="H3" s="53" t="s">
        <v>106</v>
      </c>
      <c r="I3" s="52"/>
      <c r="J3" s="52"/>
      <c r="K3" s="52"/>
      <c r="L3" s="52"/>
      <c r="M3" s="52"/>
      <c r="N3" s="52"/>
      <c r="O3" s="52"/>
      <c r="P3" s="52"/>
      <c r="Q3" s="52"/>
      <c r="R3" s="53" t="s">
        <v>107</v>
      </c>
      <c r="S3" s="53" t="s">
        <v>108</v>
      </c>
      <c r="T3" s="52"/>
      <c r="U3" s="52"/>
      <c r="V3" s="52"/>
      <c r="W3" s="52"/>
      <c r="X3" s="52"/>
      <c r="Y3" s="52"/>
      <c r="Z3" s="52"/>
      <c r="AA3" s="52"/>
      <c r="AB3" s="53" t="s">
        <v>109</v>
      </c>
      <c r="AC3" s="53" t="s">
        <v>110</v>
      </c>
      <c r="AD3" s="52"/>
      <c r="AE3" s="53" t="s">
        <v>105</v>
      </c>
      <c r="AF3" s="70" t="s">
        <v>105</v>
      </c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3" t="s">
        <v>111</v>
      </c>
      <c r="AR3" s="53" t="s">
        <v>112</v>
      </c>
      <c r="AS3" s="52"/>
      <c r="AT3" s="52"/>
      <c r="AU3" s="52"/>
      <c r="AV3" s="53" t="s">
        <v>113</v>
      </c>
      <c r="AW3" s="52"/>
      <c r="AX3" s="70" t="s">
        <v>150</v>
      </c>
      <c r="AY3" s="52"/>
      <c r="AZ3" s="52"/>
      <c r="BA3" s="52"/>
      <c r="BB3" s="52"/>
      <c r="BC3" s="70" t="s">
        <v>151</v>
      </c>
      <c r="BD3" s="52"/>
      <c r="BE3" s="52"/>
      <c r="BF3" s="52"/>
      <c r="BG3" s="52"/>
      <c r="BH3" s="52"/>
    </row>
    <row r="4" spans="1:60" x14ac:dyDescent="0.2">
      <c r="A4" s="14"/>
      <c r="B4" s="51"/>
      <c r="C4" s="16" t="s">
        <v>4</v>
      </c>
      <c r="D4" s="17"/>
      <c r="E4" s="18"/>
      <c r="F4" s="16" t="s">
        <v>5</v>
      </c>
      <c r="G4" s="16" t="s">
        <v>115</v>
      </c>
      <c r="H4" s="41" t="s">
        <v>6</v>
      </c>
      <c r="I4" s="41" t="s">
        <v>90</v>
      </c>
      <c r="J4" s="41" t="s">
        <v>90</v>
      </c>
      <c r="K4" s="16" t="s">
        <v>95</v>
      </c>
      <c r="L4" s="16" t="s">
        <v>7</v>
      </c>
      <c r="M4" s="42" t="s">
        <v>8</v>
      </c>
      <c r="N4" s="17"/>
      <c r="O4" s="41" t="s">
        <v>9</v>
      </c>
      <c r="P4" s="17"/>
      <c r="Q4" s="41" t="s">
        <v>10</v>
      </c>
      <c r="R4" s="41" t="s">
        <v>11</v>
      </c>
      <c r="S4" s="41" t="s">
        <v>12</v>
      </c>
      <c r="T4" s="41" t="s">
        <v>12</v>
      </c>
      <c r="U4" s="16" t="s">
        <v>99</v>
      </c>
      <c r="V4" s="41" t="s">
        <v>13</v>
      </c>
      <c r="W4" s="41" t="s">
        <v>14</v>
      </c>
      <c r="X4" s="41" t="s">
        <v>15</v>
      </c>
      <c r="Y4" s="41" t="s">
        <v>16</v>
      </c>
      <c r="Z4" s="41" t="s">
        <v>10</v>
      </c>
      <c r="AA4" s="41" t="s">
        <v>102</v>
      </c>
      <c r="AB4" s="41" t="s">
        <v>17</v>
      </c>
      <c r="AC4" s="41" t="s">
        <v>100</v>
      </c>
      <c r="AD4" s="41" t="s">
        <v>101</v>
      </c>
      <c r="AE4" s="41"/>
      <c r="AF4" s="41" t="s">
        <v>18</v>
      </c>
      <c r="AG4" s="41" t="s">
        <v>19</v>
      </c>
      <c r="AH4" s="41" t="s">
        <v>20</v>
      </c>
      <c r="AI4" s="41" t="s">
        <v>91</v>
      </c>
      <c r="AJ4" s="41" t="s">
        <v>21</v>
      </c>
      <c r="AK4" s="41" t="s">
        <v>92</v>
      </c>
      <c r="AL4" s="41" t="s">
        <v>92</v>
      </c>
      <c r="AM4" s="41" t="s">
        <v>22</v>
      </c>
      <c r="AN4" s="41" t="s">
        <v>23</v>
      </c>
      <c r="AO4" s="41" t="s">
        <v>23</v>
      </c>
      <c r="AP4" s="41" t="s">
        <v>10</v>
      </c>
      <c r="AQ4" s="41" t="s">
        <v>11</v>
      </c>
      <c r="AR4" s="41" t="s">
        <v>24</v>
      </c>
      <c r="AS4" s="41" t="s">
        <v>96</v>
      </c>
      <c r="AT4" s="41" t="s">
        <v>25</v>
      </c>
      <c r="AU4" s="41" t="s">
        <v>10</v>
      </c>
      <c r="AV4" s="41" t="s">
        <v>26</v>
      </c>
      <c r="AW4" s="41" t="s">
        <v>27</v>
      </c>
      <c r="AX4" s="41" t="s">
        <v>28</v>
      </c>
      <c r="AY4" s="46" t="s">
        <v>29</v>
      </c>
      <c r="AZ4" s="41" t="s">
        <v>30</v>
      </c>
      <c r="BA4" s="41" t="s">
        <v>31</v>
      </c>
      <c r="BB4" s="41" t="s">
        <v>124</v>
      </c>
      <c r="BC4" s="41" t="s">
        <v>32</v>
      </c>
      <c r="BD4" s="41" t="s">
        <v>33</v>
      </c>
      <c r="BE4" s="41" t="s">
        <v>34</v>
      </c>
      <c r="BF4" s="41" t="s">
        <v>35</v>
      </c>
      <c r="BG4" s="41" t="s">
        <v>36</v>
      </c>
      <c r="BH4" s="41" t="s">
        <v>37</v>
      </c>
    </row>
    <row r="5" spans="1:60" x14ac:dyDescent="0.2">
      <c r="A5" s="19" t="s">
        <v>0</v>
      </c>
      <c r="B5" s="20"/>
      <c r="C5" s="21" t="s">
        <v>38</v>
      </c>
      <c r="D5" s="21"/>
      <c r="E5" s="22"/>
      <c r="F5" s="21" t="s">
        <v>39</v>
      </c>
      <c r="G5" s="21" t="s">
        <v>116</v>
      </c>
      <c r="H5" s="39" t="s">
        <v>40</v>
      </c>
      <c r="I5" s="39" t="s">
        <v>94</v>
      </c>
      <c r="J5" s="39" t="s">
        <v>72</v>
      </c>
      <c r="K5" s="21" t="s">
        <v>72</v>
      </c>
      <c r="L5" s="21" t="s">
        <v>41</v>
      </c>
      <c r="M5" s="39" t="s">
        <v>42</v>
      </c>
      <c r="N5" s="39" t="s">
        <v>43</v>
      </c>
      <c r="O5" s="39" t="s">
        <v>44</v>
      </c>
      <c r="P5" s="40" t="s">
        <v>89</v>
      </c>
      <c r="Q5" s="39" t="s">
        <v>45</v>
      </c>
      <c r="R5" s="39" t="s">
        <v>46</v>
      </c>
      <c r="S5" s="39" t="s">
        <v>47</v>
      </c>
      <c r="T5" s="39" t="s">
        <v>72</v>
      </c>
      <c r="U5" s="21" t="s">
        <v>94</v>
      </c>
      <c r="V5" s="39" t="s">
        <v>41</v>
      </c>
      <c r="W5" s="39" t="s">
        <v>48</v>
      </c>
      <c r="X5" s="39" t="s">
        <v>49</v>
      </c>
      <c r="Y5" s="39" t="s">
        <v>50</v>
      </c>
      <c r="Z5" s="39" t="s">
        <v>51</v>
      </c>
      <c r="AA5" s="39" t="s">
        <v>103</v>
      </c>
      <c r="AB5" s="39" t="s">
        <v>52</v>
      </c>
      <c r="AC5" s="39" t="s">
        <v>101</v>
      </c>
      <c r="AD5" s="39" t="s">
        <v>104</v>
      </c>
      <c r="AE5" s="39" t="s">
        <v>53</v>
      </c>
      <c r="AF5" s="39" t="s">
        <v>54</v>
      </c>
      <c r="AG5" s="39" t="s">
        <v>55</v>
      </c>
      <c r="AH5" s="39" t="s">
        <v>56</v>
      </c>
      <c r="AI5" s="39" t="s">
        <v>72</v>
      </c>
      <c r="AJ5" s="39" t="s">
        <v>56</v>
      </c>
      <c r="AK5" s="39" t="s">
        <v>72</v>
      </c>
      <c r="AL5" s="39" t="s">
        <v>94</v>
      </c>
      <c r="AM5" s="39" t="s">
        <v>57</v>
      </c>
      <c r="AN5" s="39" t="s">
        <v>58</v>
      </c>
      <c r="AO5" s="39" t="s">
        <v>59</v>
      </c>
      <c r="AP5" s="39" t="s">
        <v>60</v>
      </c>
      <c r="AQ5" s="39" t="s">
        <v>61</v>
      </c>
      <c r="AR5" s="39" t="s">
        <v>62</v>
      </c>
      <c r="AS5" s="39" t="s">
        <v>97</v>
      </c>
      <c r="AT5" s="39" t="s">
        <v>58</v>
      </c>
      <c r="AU5" s="39" t="s">
        <v>51</v>
      </c>
      <c r="AV5" s="39" t="s">
        <v>63</v>
      </c>
      <c r="AW5" s="39" t="s">
        <v>64</v>
      </c>
      <c r="AX5" s="39" t="s">
        <v>59</v>
      </c>
      <c r="AY5" s="39" t="s">
        <v>65</v>
      </c>
      <c r="AZ5" s="39" t="s">
        <v>65</v>
      </c>
      <c r="BA5" s="39" t="s">
        <v>66</v>
      </c>
      <c r="BB5" s="39" t="s">
        <v>125</v>
      </c>
      <c r="BC5" s="39" t="s">
        <v>67</v>
      </c>
      <c r="BD5" s="39" t="s">
        <v>68</v>
      </c>
      <c r="BE5" s="39" t="s">
        <v>69</v>
      </c>
      <c r="BF5" s="39" t="s">
        <v>70</v>
      </c>
      <c r="BG5" s="39" t="s">
        <v>65</v>
      </c>
      <c r="BH5" s="39" t="s">
        <v>71</v>
      </c>
    </row>
    <row r="6" spans="1:60" ht="12.95" customHeight="1" outlineLevel="2" x14ac:dyDescent="0.2">
      <c r="A6" s="13" t="s">
        <v>117</v>
      </c>
      <c r="B6" s="15"/>
      <c r="C6" s="34" t="e">
        <f ca="1">F6</f>
        <v>#NAME?</v>
      </c>
      <c r="D6" s="72" t="s">
        <v>159</v>
      </c>
      <c r="E6" s="20"/>
      <c r="F6" s="5" t="e">
        <f ca="1">ROUND((_xll.HPVAL($C$1,$C$3,"TOT_CASH_WF",$D$3,"YTD","CORP")+_xll.HPVAL($C$1,$C$3,"0025",$D$3,"YTD","CORP"))/1000,0)</f>
        <v>#NAME?</v>
      </c>
      <c r="G6" s="5" t="e">
        <f ca="1">-ROUND((_xll.HPVAL($C$1,$C$3,"0660",$D$3,"YTD","CORP"))/1000,0)</f>
        <v>#NAME?</v>
      </c>
      <c r="H6" s="24" t="e">
        <f ca="1">ROUND((_xll.HPVAL($C$1,$C$3,"TOT_AR_OTHER",$D$3,"YTD","CORP")+_xll.HPVAL($C$1,$C$3,"0070",$D$3,"YTD","CORP")+_xll.HPVAL($C$1,$C$3,"0077",$D$3,"YTD","CORP")+_xll.HPVAL($C$1,$C$3,"TOT_NR_TRADE",$D$3,"YTD","CORP"))/1000,0)</f>
        <v>#NAME?</v>
      </c>
      <c r="I6" s="24" t="e">
        <f ca="1">ROUND((_xll.HPVAL($C$1,$C$3,"0052",$D$3,"YTD","CORP")+_xll.HPVAL($C$1,$C$3,"0038",$D$3,"YTD","CORP"))/1000,0)</f>
        <v>#NAME?</v>
      </c>
      <c r="J6" s="24" t="e">
        <f ca="1">ROUND((_xll.HPVAL($C$1,$C$3,"0051",$D$3,"YTD","CORP"))/1000,0)</f>
        <v>#NAME?</v>
      </c>
      <c r="K6" s="24" t="e">
        <f ca="1">ROUND((_xll.HPVAL($C$1,$C$3,"0037",$D$3,"YTD","CORP"))/1000,0)</f>
        <v>#NAME?</v>
      </c>
      <c r="L6" s="24" t="e">
        <f ca="1">ROUND((_xll.HPVAL($C$1,$C$3,"0030",$D$3,"YTD","CORP"))/1000,0)</f>
        <v>#NAME?</v>
      </c>
      <c r="M6" s="24" t="e">
        <f ca="1">ROUND((_xll.HPVAL($C$1,$C$3,"0185",$D$3,"YTD","CORP"))/1000,0)</f>
        <v>#NAME?</v>
      </c>
      <c r="N6" s="24" t="e">
        <f ca="1">ROUND((_xll.HPVAL($C$1,$C$3,"TOT_INVENTORY",$D$3,"YTD","CORP"))/1000,0)</f>
        <v>#NAME?</v>
      </c>
      <c r="O6" s="5" t="e">
        <f ca="1">ROUND((_xll.HPVAL($C$1,$C$3,"0120",$D$3,"YTD","CORP"))/1000,0)</f>
        <v>#NAME?</v>
      </c>
      <c r="P6" s="5" t="e">
        <f ca="1">ROUND((_xll.HPVAL($C$1,$C$3,"TOT_PREPYMT",$D$3,"YTD","CORP"))/1000,0)</f>
        <v>#NAME?</v>
      </c>
      <c r="Q6" s="5" t="e">
        <f ca="1">ROUND((_xll.HPVAL($C$1,$C$3,"0183",$D$3,"YTD","CORP"))/1000,0)</f>
        <v>#NAME?</v>
      </c>
      <c r="R6" s="24" t="e">
        <f ca="1">ROUND((_xll.HPVAL($C$1,$C$3,"TOT_OTH_CA",$D$3,"YTD","CORP")+_xll.HPVAL($C$1,$C$3,"TAX_CREDIT",$D$3,"YTD","CORP")+_xll.HPVAL($C$1,$C$3,"0181",$D$3,"YTD","CORP"))/1000,0)</f>
        <v>#NAME?</v>
      </c>
      <c r="S6" s="24" t="e">
        <f ca="1">ROUND((_xll.HPVAL($C$1,$C$3,"TOT_INVEST_SUBS",$D$3,"YTD","CORP"))/1000,0)</f>
        <v>#NAME?</v>
      </c>
      <c r="T6" s="24" t="e">
        <f ca="1">ROUND((_xll.HPVAL($C$1,$C$3,"TOT_INV_CONSUB",$D$3,"YTD","CORP")-_xll.HPVAL($C$1,$C$3,"0218",$D$3,"YTD","CORP"))/1000,0)</f>
        <v>#NAME?</v>
      </c>
      <c r="U6" s="24" t="e">
        <f ca="1">ROUND((_xll.HPVAL($C$1,$C$3,"0218",$D$3,"YTD","CORP"))/1000,0)</f>
        <v>#NAME?</v>
      </c>
      <c r="V6" s="24" t="e">
        <f ca="1">ROUND((_xll.HPVAL($C$1,$C$3,"TOT_MKT_SEC",$D$3,"YTD","CORP"))/1000,0)</f>
        <v>#NAME?</v>
      </c>
      <c r="W6" s="36" t="e">
        <f ca="1">ROUND(_xll.HPVAL($C$1,$C$3,"0255",$D$3,"YTD","CORP")/1000,0)</f>
        <v>#NAME?</v>
      </c>
      <c r="X6" s="24" t="e">
        <f ca="1">ROUND((_xll.HPVAL($C$1,$C$3,"0260",$D$3,"YTD","CORP"))/1000,0)</f>
        <v>#NAME?</v>
      </c>
      <c r="Y6" s="24" t="e">
        <f ca="1">ROUND((_xll.HPVAL($C$1,$C$3,"0350",$D$3,"YTD","CORP"))/1000,0)</f>
        <v>#NAME?</v>
      </c>
      <c r="Z6" s="24" t="e">
        <f ca="1">ROUND((_xll.HPVAL($C$1,$C$3,"0358",$D$3,"YTD","CORP"))/1000,0)</f>
        <v>#NAME?</v>
      </c>
      <c r="AA6" s="36" t="e">
        <f ca="1">ROUND((_xll.HPVAL($C$1,$C$3,"0265",$D$3,"YTD","CORP"))/1000,0)</f>
        <v>#NAME?</v>
      </c>
      <c r="AB6" s="36" t="e">
        <f ca="1">ROUND((_xll.HPVAL($C$1,$C$3,"TOT_INV_OTHER",$D$3,"YTD","CORP"))/1000,0)</f>
        <v>#NAME?</v>
      </c>
      <c r="AC6" s="36" t="e">
        <f ca="1">ROUND((_xll.HPVAL($C$1,$C$3,"TOT_DEF_CHGS_OTH",$D$3,"YTD","CORP"))/1000,0)</f>
        <v>#NAME?</v>
      </c>
      <c r="AD6" s="36" t="e">
        <f ca="1">ROUND((_xll.HPVAL($C$1,$C$3,"0341",$D$3,"YTD","CORP"))/1000,0)</f>
        <v>#NAME?</v>
      </c>
      <c r="AE6" s="24" t="e">
        <f ca="1">ROUND((_xll.HPVAL($C$1,$C$3,"TOT_PPE",$D$3,"YTD","CORP"))/1000,0)</f>
        <v>#NAME?</v>
      </c>
      <c r="AF6" s="24" t="e">
        <f ca="1">ROUND((_xll.HPVAL($C$1,$C$3,"TOT_ACCUM_DDA",$D$3,"YTD","CORP"))/1000,0)</f>
        <v>#NAME?</v>
      </c>
      <c r="AG6" s="24" t="e">
        <f ca="1">ROUND((_xll.HPVAL($C$1,$C$3,"0340",$D$3,"YTD","CORP"))/1000,0)</f>
        <v>#NAME?</v>
      </c>
      <c r="AH6" s="24" t="e">
        <f ca="1">-ROUND(_xll.HPVAL($C$1,$C$3,"TOT_NP_OTHER",$D$3,"YTD","CORP")/1000,0)</f>
        <v>#NAME?</v>
      </c>
      <c r="AI6" s="24" t="e">
        <f ca="1">-ROUND((_xll.HPVAL($C$1,$C$3,"0486",$D$3,"YTD","CORP"))/1000,0)</f>
        <v>#NAME?</v>
      </c>
      <c r="AJ6" s="36" t="e">
        <f ca="1">-ROUND(_xll.HPVAL($C$1,$C$3,"TOT_AP_OTHER",$D$3,"YTD","CORP")/1000,0)</f>
        <v>#NAME?</v>
      </c>
      <c r="AK6" s="36" t="e">
        <f ca="1">-ROUND((_xll.HPVAL($C$1,$C$3,"0516",$D$3,"YTD","CORP"))/1000,0)</f>
        <v>#NAME?</v>
      </c>
      <c r="AL6" s="36" t="e">
        <f ca="1">-ROUND((_xll.HPVAL($C$1,$C$3,"0517",$D$3,"YTD","CORP"))/1000,0)</f>
        <v>#NAME?</v>
      </c>
      <c r="AM6" s="24" t="e">
        <f ca="1">-ROUND((_xll.HPVAL($C$1,$C$3,"0632",$D$3,"YTD","CORP"))/1000,0)-ROUND((_xll.HPVAL($C$1,$C$3,"0633",$D$3,"ytd","corp"))/1000,0)</f>
        <v>#NAME?</v>
      </c>
      <c r="AN6" s="24" t="e">
        <f ca="1">-ROUND((_xll.HPVAL($C$1,$C$3,"TOT_ACCR_INCTAX",$D$3,"YTD","CORP")+_xll.HPVAL($C$1,$C$3,"0560",$D$3,"YTD","CORP"))/1000,0)</f>
        <v>#NAME?</v>
      </c>
      <c r="AO6" s="24" t="e">
        <f ca="1">-ROUND((_xll.HPVAL($C$1,$C$3,"TOT_ACCR_INT_OTH",$D$3,"YTD","CORP"))/1000,0)</f>
        <v>#NAME?</v>
      </c>
      <c r="AP6" s="24" t="e">
        <f ca="1">-ROUND((_xll.HPVAL($C$1,$C$3,"0653",$D$3,"YTD","CORP"))/1000,0)</f>
        <v>#NAME?</v>
      </c>
      <c r="AQ6" s="24" t="e">
        <f ca="1">-ROUND((_xll.HPVAL($C$1,$C$3,"0641",$D$3,"YTD","CORP")+_xll.HPVAL($C$1,$C$3,"TOT_OTHER_CL",$D$3,"YTD","CORP"))/1000,0)</f>
        <v>#NAME?</v>
      </c>
      <c r="AR6" s="24" t="e">
        <f ca="1">-ROUND((_xll.HPVAL($C$1,$C$3,"TOT_OTH_LT_DEBT",$D$3,"YTD","CORP")+_xll.HPVAL($C$1,$C$3,"0450",$D$3,"YTD","CORP")+_xll.HPVAL($C$1,$C$3,"0775",$D$3,"YTD","CORP"))/1000,0)</f>
        <v>#NAME?</v>
      </c>
      <c r="AS6" s="24" t="e">
        <f ca="1">-ROUND((_xll.HPVAL($C$1,$C$3,"0661",$D$3,"YTD","CORP"))/1000,0)</f>
        <v>#NAME?</v>
      </c>
      <c r="AT6" s="24" t="e">
        <f ca="1">-ROUND((_xll.HPVAL($C$1,$C$3,"TOT_DEF_INCTAX",$D$3,"YTD","CORP")+_xll.HPVAL($C$1,$C$3,"TOT_DEF_TAX",$D$3,"YTD","CORP"))/1000,0)</f>
        <v>#NAME?</v>
      </c>
      <c r="AU6" s="24" t="e">
        <f ca="1">-ROUND((_xll.HPVAL($C$1,$C$3,"0853",$D$3,"YTD","CORP"))/1000,0)</f>
        <v>#NAME?</v>
      </c>
      <c r="AV6" s="24" t="e">
        <f ca="1">-ROUND((_xll.HPVAL($C$1,$C$3,"0815",$D$3,"YTD","CORP")+_xll.HPVAL($C$1,$C$3,"TOT_OTH_DEF_CR",$D$3,"YTD","CORP"))/1000,0)</f>
        <v>#NAME?</v>
      </c>
      <c r="AW6" s="24" t="e">
        <f ca="1">-ROUND((_xll.HPVAL($C$1,$C$3,"0870",$D$3,"YTD","CORP")+_xll.HPVAL($C$1,$C$3,"0645",$D$3,"YTD","CORP"))/1000,0)</f>
        <v>#NAME?</v>
      </c>
      <c r="AX6" s="24" t="e">
        <f ca="1">-ROUND((_xll.HPVAL($C$1,$C$3,"0855",$D$3,"YTD","CORP"))/1000,0)</f>
        <v>#NAME?</v>
      </c>
      <c r="AY6" s="24" t="e">
        <f ca="1">-ROUND((_xll.HPVAL($C$1,$C$3,"TOT_REDM_PSTK",$D$3,"YTD","CORP")+_xll.HPVAL($C$1,$C$3,"TOT_CONV_PSTK",$D$3,"YTD","CORP"))/1000,0)</f>
        <v>#NAME?</v>
      </c>
      <c r="AZ6" s="24" t="e">
        <f ca="1">-ROUND(_xll.HPVAL($C$1,$C$3,"TOT_COMMON_STK",$D$3,"YTD","CORP")/1000,0)</f>
        <v>#NAME?</v>
      </c>
      <c r="BA6" s="24" t="e">
        <f ca="1">-ROUND(_xll.HPVAL($C$1,$C$3,"TOT_PREM_C_STK",$D$3,"YTD","CORP")/1000,0)</f>
        <v>#NAME?</v>
      </c>
      <c r="BB6" s="24">
        <v>0</v>
      </c>
      <c r="BC6" s="24" t="e">
        <f ca="1">-ROUND(_xll.HPVAL($C$1,$C$3,"TOT_RET_EARN",$D$3,"YTD","CORP")/1000,0)</f>
        <v>#NAME?</v>
      </c>
      <c r="BD6" s="24" t="e">
        <f ca="1">-ROUND((_xll.HPVAL($C$1,$C$3,"0948",$D$3,"YTD","CORP"))/1000,0)</f>
        <v>#NAME?</v>
      </c>
      <c r="BE6" s="24" t="e">
        <f ca="1">-ROUND((_xll.HPVAL($C$1,$C$3,"0951",$D$3,"YTD","CORP"))/1000,0)</f>
        <v>#NAME?</v>
      </c>
      <c r="BF6" s="24" t="e">
        <f ca="1">-ROUND((_xll.HPVAL($C$1,$C$3,"0950",$D$3,"YTD","CORP"))/1000,0)</f>
        <v>#NAME?</v>
      </c>
      <c r="BG6" s="24" t="e">
        <f ca="1">-ROUND((_xll.HPVAL($C$1,$C$3,"0953",$D$3,"YTD","CORP"))/1000,0)</f>
        <v>#NAME?</v>
      </c>
      <c r="BH6" s="24" t="e">
        <f ca="1">-ROUND((_xll.HPVAL($C$1,$C$3,"0958",$D$3,"YTD","CORP"))/1000,0)</f>
        <v>#NAME?</v>
      </c>
    </row>
    <row r="7" spans="1:60" ht="12.95" customHeight="1" outlineLevel="2" x14ac:dyDescent="0.2">
      <c r="A7" s="13" t="s">
        <v>118</v>
      </c>
      <c r="B7" s="20"/>
      <c r="C7" s="60" t="e">
        <f ca="1">G6</f>
        <v>#NAME?</v>
      </c>
      <c r="D7" s="72" t="s">
        <v>160</v>
      </c>
      <c r="E7" s="20"/>
      <c r="F7" s="35" t="e">
        <f ca="1">ROUND((_xll.HPVAL($C$1,$C$2,"TOT_CASH_WF",$D$2,"YTD","CORP")+_xll.HPVAL($C$1,$C$2,"0025",$D$2,"YTD","CORP"))/1000,0)</f>
        <v>#NAME?</v>
      </c>
      <c r="G7" s="57" t="e">
        <f ca="1">-ROUND((_xll.HPVAL($C$1,$C$2,"0660",$D$2,"YTD","CORP"))/1000,0)</f>
        <v>#NAME?</v>
      </c>
      <c r="H7" s="23" t="e">
        <f ca="1">ROUND((_xll.HPVAL($C$1,$C$2,"TOT_AR_OTHER",$D$2,"YTD","CORP")+_xll.HPVAL($C$1,$C$2,"0070",$D$2,"YTD","CORP")+_xll.HPVAL($C$1,$C$2,"0077",$D$2,"YTD","CORP")+_xll.HPVAL($C$1,$C$2,"TOT_NR_TRADE",$D$2,"YTD","CORP"))/1000,0)</f>
        <v>#NAME?</v>
      </c>
      <c r="I7" s="23" t="e">
        <f ca="1">ROUND((_xll.HPVAL($C$1,$C$2,"0052",$D$2,"YTD","CORP")+_xll.HPVAL($C$1,$C$2,"0038",$D$2,"YTD","CORP"))/1000,0)</f>
        <v>#NAME?</v>
      </c>
      <c r="J7" s="23" t="e">
        <f ca="1">ROUND((_xll.HPVAL($C$1,$C$2,"0051",$D$2,"YTD","CORP"))/1000,0)</f>
        <v>#NAME?</v>
      </c>
      <c r="K7" s="23" t="e">
        <f ca="1">ROUND((_xll.HPVAL($C$1,$C$2,"0037",$D$2,"YTD","CORP"))/1000,0)</f>
        <v>#NAME?</v>
      </c>
      <c r="L7" s="23" t="e">
        <f ca="1">ROUND((_xll.HPVAL($C$1,$C$2,"0030",$D$2,"YTD","CORP"))/1000,0)</f>
        <v>#NAME?</v>
      </c>
      <c r="M7" s="23" t="e">
        <f ca="1">ROUND((_xll.HPVAL($C$1,$C$2,"0185",$D$2,"YTD","CORP"))/1000,0)</f>
        <v>#NAME?</v>
      </c>
      <c r="N7" s="23" t="e">
        <f ca="1">ROUND((_xll.HPVAL($C$1,$C$2,"TOT_INVENTORY",$D$2,"YTD","CORP"))/1000,0)</f>
        <v>#NAME?</v>
      </c>
      <c r="O7" s="10" t="e">
        <f ca="1">ROUND((_xll.HPVAL($C$1,$C$2,"0120",$D$2,"YTD","CORP"))/1000,0)</f>
        <v>#NAME?</v>
      </c>
      <c r="P7" s="10" t="e">
        <f ca="1">ROUND((_xll.HPVAL($C$1,$C$2,"TOT_PREPYMT",$D$2,"YTD","CORP"))/1000,0)</f>
        <v>#NAME?</v>
      </c>
      <c r="Q7" s="10" t="e">
        <f ca="1">ROUND((_xll.HPVAL($C$1,$C$2,"0183",$D$2,"YTD","CORP"))/1000,0)</f>
        <v>#NAME?</v>
      </c>
      <c r="R7" s="23" t="e">
        <f ca="1">ROUND((_xll.HPVAL($C$1,$C$2,"TOT_OTH_CA",$D$2,"YTD","CORP")+_xll.HPVAL($C$1,$C$2,"TAX_CREDIT",$D$2,"YTD","CORP")+_xll.HPVAL($C$1,$C$2,"0181",$D$2,"YTD","CORP"))/1000,0)</f>
        <v>#NAME?</v>
      </c>
      <c r="S7" s="23" t="e">
        <f ca="1">ROUND((_xll.HPVAL($C$1,$C$2,"TOT_INVEST_SUBS",$D$2,"YTD","CORP"))/1000,0)</f>
        <v>#NAME?</v>
      </c>
      <c r="T7" s="23" t="e">
        <f ca="1">ROUND((_xll.HPVAL($C$1,$C$2,"TOT_INV_CONSUB",$D$2,"YTD","CORP")-_xll.HPVAL($C$1,$C$2,"0218",$D$2,"YTD","CORP"))/1000,0)</f>
        <v>#NAME?</v>
      </c>
      <c r="U7" s="23" t="e">
        <f ca="1">ROUND((_xll.HPVAL($C$1,$C$2,"0218",$D$2,"YTD","CORP"))/1000,0)</f>
        <v>#NAME?</v>
      </c>
      <c r="V7" s="23" t="e">
        <f ca="1">ROUND((_xll.HPVAL($C$1,$C$2,"TOT_MKT_SEC",$D$2,"YTD","CORP"))/1000,0)</f>
        <v>#NAME?</v>
      </c>
      <c r="W7" s="38" t="e">
        <f ca="1">ROUND(_xll.HPVAL($C$1,$C$2,"0255",$D$2,"YTD","CORP")/1000,0)</f>
        <v>#NAME?</v>
      </c>
      <c r="X7" s="23" t="e">
        <f ca="1">ROUND((_xll.HPVAL($C$1,$C$2,"0260",$D$2,"YTD","CORP"))/1000,0)</f>
        <v>#NAME?</v>
      </c>
      <c r="Y7" s="23" t="e">
        <f ca="1">ROUND((_xll.HPVAL($C$1,$C$2,"0350",$D$2,"YTD","CORP"))/1000,0)</f>
        <v>#NAME?</v>
      </c>
      <c r="Z7" s="23" t="e">
        <f ca="1">ROUND((_xll.HPVAL($C$1,$C$2,"0358",$D$2,"YTD","CORP"))/1000,0)</f>
        <v>#NAME?</v>
      </c>
      <c r="AA7" s="38" t="e">
        <f ca="1">ROUND((_xll.HPVAL($C$1,$C$2,"0265",$D$2,"YTD","CORP"))/1000,0)</f>
        <v>#NAME?</v>
      </c>
      <c r="AB7" s="38" t="e">
        <f ca="1">ROUND((_xll.HPVAL($C$1,$C$2,"TOT_INV_OTHER",$D$2,"YTD","CORP"))/1000,0)</f>
        <v>#NAME?</v>
      </c>
      <c r="AC7" s="38" t="e">
        <f ca="1">ROUND((_xll.HPVAL($C$1,$C$2,"TOT_DEF_CHGS_OTH",$D$2,"YTD","CORP"))/1000,0)</f>
        <v>#NAME?</v>
      </c>
      <c r="AD7" s="38" t="e">
        <f ca="1">ROUND((_xll.HPVAL($C$1,$C$2,"0341",$D$2,"YTD","CORP"))/1000,0)</f>
        <v>#NAME?</v>
      </c>
      <c r="AE7" s="23" t="e">
        <f ca="1">ROUND((_xll.HPVAL($C$1,$C$2,"TOT_PPE",$D$2,"YTD","CORP"))/1000,0)</f>
        <v>#NAME?</v>
      </c>
      <c r="AF7" s="23" t="e">
        <f ca="1">ROUND((_xll.HPVAL($C$1,$C$2,"TOT_ACCUM_DDA",$D$2,"YTD","CORP"))/1000,0)</f>
        <v>#NAME?</v>
      </c>
      <c r="AG7" s="23" t="e">
        <f ca="1">ROUND((_xll.HPVAL($C$1,$C$2,"0340",$D$2,"YTD","CORP"))/1000,0)</f>
        <v>#NAME?</v>
      </c>
      <c r="AH7" s="23" t="e">
        <f ca="1">-ROUND(_xll.HPVAL($C$1,$C$2,"TOT_NP_OTHER",$D$2,"YTD","CORP")/1000,0)</f>
        <v>#NAME?</v>
      </c>
      <c r="AI7" s="23" t="e">
        <f ca="1">-ROUND((_xll.HPVAL($C$1,$C$2,"0486",$D$2,"YTD","CORP"))/1000,0)</f>
        <v>#NAME?</v>
      </c>
      <c r="AJ7" s="38" t="e">
        <f ca="1">-ROUND(_xll.HPVAL($C$1,$C$2,"TOT_AP_OTHER",$D$2,"YTD","CORP")/1000,0)</f>
        <v>#NAME?</v>
      </c>
      <c r="AK7" s="38" t="e">
        <f ca="1">-ROUND((+_xll.HPVAL($C$1,$C$2,"0516",$D$2,"YTD","CORP"))/1000,0)</f>
        <v>#NAME?</v>
      </c>
      <c r="AL7" s="38" t="e">
        <f ca="1">-ROUND((_xll.HPVAL($C$1,$C$2,"0517",$D$2,"YTD","CORP"))/1000,0)</f>
        <v>#NAME?</v>
      </c>
      <c r="AM7" s="23" t="e">
        <f ca="1">-ROUND((_xll.HPVAL($C$1,$C$2,"0632",$D$2,"YTD","CORP"))/1000,0)-ROUND((_xll.HPVAL($C$1,$C$2,"0633",$D$2,"ytd","corp"))/1000,0)</f>
        <v>#NAME?</v>
      </c>
      <c r="AN7" s="23" t="e">
        <f ca="1">-ROUND((_xll.HPVAL($C$1,$C$2,"TOT_ACCR_INCTAX",$D$2,"YTD","CORP")+_xll.HPVAL($C$1,$C$2,"0560",$D$2,"YTD","CORP"))/1000,0)</f>
        <v>#NAME?</v>
      </c>
      <c r="AO7" s="23" t="e">
        <f ca="1">-ROUND((_xll.HPVAL($C$1,$C$2,"TOT_ACCR_INT_OTH",$D$2,"YTD","CORP"))/1000,0)</f>
        <v>#NAME?</v>
      </c>
      <c r="AP7" s="23" t="e">
        <f ca="1">-ROUND((_xll.HPVAL($C$1,$C$2,"0653",$D$2,"YTD","CORP"))/1000,0)</f>
        <v>#NAME?</v>
      </c>
      <c r="AQ7" s="23" t="e">
        <f ca="1">-ROUND((_xll.HPVAL($C$1,$C$2,"0641",$D$2,"YTD","CORP")+_xll.HPVAL($C$1,$C$2,"TOT_OTHER_CL",$D$2,"YTD","CORP"))/1000,0)</f>
        <v>#NAME?</v>
      </c>
      <c r="AR7" s="23" t="e">
        <f ca="1">-ROUND((_xll.HPVAL($C$1,$C$2,"TOT_OTH_LT_DEBT",$D$2,"YTD","CORP")+_xll.HPVAL($C$1,$C$2,"0450",$D$2,"YTD","CORP")+_xll.HPVAL($C$1,$C$2,"0775",$D$2,"YTD","CORP"))/1000,0)</f>
        <v>#NAME?</v>
      </c>
      <c r="AS7" s="23" t="e">
        <f ca="1">-ROUND((_xll.HPVAL($C$1,$C$2,"0661",$D$2,"YTD","CORP"))/1000,0)</f>
        <v>#NAME?</v>
      </c>
      <c r="AT7" s="23" t="e">
        <f ca="1">-ROUND((_xll.HPVAL($C$1,$C$2,"TOT_DEF_INCTAX",$D$2,"YTD","CORP")+_xll.HPVAL($C$1,$C$2,"TOT_DEF_TAX",$D$2,"YTD","CORP"))/1000,0)</f>
        <v>#NAME?</v>
      </c>
      <c r="AU7" s="23" t="e">
        <f ca="1">-ROUND((_xll.HPVAL($C$1,$C$2,"0853",$D$2,"YTD","CORP"))/1000,0)</f>
        <v>#NAME?</v>
      </c>
      <c r="AV7" s="23" t="e">
        <f ca="1">-ROUND((_xll.HPVAL($C$1,$C$2,"0815",$D$2,"YTD","CORP")+_xll.HPVAL($C$1,$C$2,"TOT_OTH_DEF_CR",$D$2,"YTD","CORP"))/1000,0)</f>
        <v>#NAME?</v>
      </c>
      <c r="AW7" s="23" t="e">
        <f ca="1">-ROUND((_xll.HPVAL($C$1,$C$2,"0870",$D$2,"YTD","CORP")+_xll.HPVAL($C$1,$C$2,"0645",$D$2,"YTD","CORP"))/1000,0)</f>
        <v>#NAME?</v>
      </c>
      <c r="AX7" s="23" t="e">
        <f ca="1">-ROUND((_xll.HPVAL($C$1,$C$2,"0855",$D$2,"YTD","CORP"))/1000,0)</f>
        <v>#NAME?</v>
      </c>
      <c r="AY7" s="23" t="e">
        <f ca="1">-ROUND((_xll.HPVAL($C$1,$C$2,"TOT_REDM_PSTK",$D$2,"YTD","CORP")+_xll.HPVAL($C$1,$C$2,"TOT_CONV_PSTK",$D$2,"YTD","CORP"))/1000,0)</f>
        <v>#NAME?</v>
      </c>
      <c r="AZ7" s="23" t="e">
        <f ca="1">-ROUND(_xll.HPVAL($C$1,$C$2,"TOT_COMMON_STK",$D$2,"YTD","CORP")/1000,0)</f>
        <v>#NAME?</v>
      </c>
      <c r="BA7" s="23" t="e">
        <f ca="1">-ROUND(_xll.HPVAL($C$1,$C$2,"TOT_PREM_C_STK",$D$2,"YTD","CORP")/1000,0)</f>
        <v>#NAME?</v>
      </c>
      <c r="BB7" s="23">
        <v>0</v>
      </c>
      <c r="BC7" s="23" t="e">
        <f ca="1">-ROUND(_xll.HPVAL($C$1,$C$2,"TOT_RET_EARN",$D$2,"YTD","CORP")/1000,0)</f>
        <v>#NAME?</v>
      </c>
      <c r="BD7" s="23" t="e">
        <f ca="1">-ROUND((_xll.HPVAL($C$1,$C$2,"0948",$D$2,"YTD","CORP"))/1000,0)</f>
        <v>#NAME?</v>
      </c>
      <c r="BE7" s="23" t="e">
        <f ca="1">-ROUND((_xll.HPVAL($C$1,$C$2,"0951",$D$2,"YTD","CORP"))/1000,0)</f>
        <v>#NAME?</v>
      </c>
      <c r="BF7" s="23" t="e">
        <f ca="1">-ROUND((_xll.HPVAL($C$1,$C$2,"0950",$D$2,"YTD","CORP"))/1000,0)</f>
        <v>#NAME?</v>
      </c>
      <c r="BG7" s="23" t="e">
        <f ca="1">-ROUND((_xll.HPVAL($C$1,$C$2,"0953",$D$2,"YTD","CORP"))/1000,0)</f>
        <v>#NAME?</v>
      </c>
      <c r="BH7" s="23" t="e">
        <f ca="1">-ROUND((_xll.HPVAL($C$1,$C$2,"0958",$D$2,"YTD","CORP"))/1000,0)</f>
        <v>#NAME?</v>
      </c>
    </row>
    <row r="8" spans="1:60" ht="12.95" customHeight="1" outlineLevel="2" x14ac:dyDescent="0.2">
      <c r="A8" s="11" t="s">
        <v>121</v>
      </c>
      <c r="B8" s="20"/>
      <c r="C8" s="34" t="e">
        <f ca="1">C6+C7</f>
        <v>#NAME?</v>
      </c>
      <c r="D8" s="6"/>
      <c r="E8" s="20"/>
      <c r="F8" s="5" t="e">
        <f ca="1">F7-F6</f>
        <v>#NAME?</v>
      </c>
      <c r="G8" s="5" t="e">
        <f ca="1">G7-G6</f>
        <v>#NAME?</v>
      </c>
      <c r="H8" s="5" t="e">
        <f t="shared" ref="H8:BH8" ca="1" si="0">H7-H6</f>
        <v>#NAME?</v>
      </c>
      <c r="I8" s="5" t="e">
        <f t="shared" ca="1" si="0"/>
        <v>#NAME?</v>
      </c>
      <c r="J8" s="5" t="e">
        <f t="shared" ca="1" si="0"/>
        <v>#NAME?</v>
      </c>
      <c r="K8" s="5" t="e">
        <f t="shared" ca="1" si="0"/>
        <v>#NAME?</v>
      </c>
      <c r="L8" s="5" t="e">
        <f t="shared" ca="1" si="0"/>
        <v>#NAME?</v>
      </c>
      <c r="M8" s="5" t="e">
        <f ca="1">M7-M6</f>
        <v>#NAME?</v>
      </c>
      <c r="N8" s="5" t="e">
        <f t="shared" ca="1" si="0"/>
        <v>#NAME?</v>
      </c>
      <c r="O8" s="5" t="e">
        <f t="shared" ca="1" si="0"/>
        <v>#NAME?</v>
      </c>
      <c r="P8" s="5" t="e">
        <f t="shared" ca="1" si="0"/>
        <v>#NAME?</v>
      </c>
      <c r="Q8" s="5" t="e">
        <f t="shared" ca="1" si="0"/>
        <v>#NAME?</v>
      </c>
      <c r="R8" s="5" t="e">
        <f t="shared" ca="1" si="0"/>
        <v>#NAME?</v>
      </c>
      <c r="S8" s="5" t="e">
        <f t="shared" ca="1" si="0"/>
        <v>#NAME?</v>
      </c>
      <c r="T8" s="5" t="e">
        <f t="shared" ca="1" si="0"/>
        <v>#NAME?</v>
      </c>
      <c r="U8" s="5" t="e">
        <f t="shared" ca="1" si="0"/>
        <v>#NAME?</v>
      </c>
      <c r="V8" s="5" t="e">
        <f t="shared" ca="1" si="0"/>
        <v>#NAME?</v>
      </c>
      <c r="W8" s="5" t="e">
        <f t="shared" ca="1" si="0"/>
        <v>#NAME?</v>
      </c>
      <c r="X8" s="5" t="e">
        <f t="shared" ca="1" si="0"/>
        <v>#NAME?</v>
      </c>
      <c r="Y8" s="5" t="e">
        <f t="shared" ca="1" si="0"/>
        <v>#NAME?</v>
      </c>
      <c r="Z8" s="5" t="e">
        <f t="shared" ca="1" si="0"/>
        <v>#NAME?</v>
      </c>
      <c r="AA8" s="5" t="e">
        <f ca="1">AA7-AA6</f>
        <v>#NAME?</v>
      </c>
      <c r="AB8" s="5" t="e">
        <f ca="1">AB7-AB6</f>
        <v>#NAME?</v>
      </c>
      <c r="AC8" s="5" t="e">
        <f ca="1">AC7-AC6</f>
        <v>#NAME?</v>
      </c>
      <c r="AD8" s="5" t="e">
        <f t="shared" ca="1" si="0"/>
        <v>#NAME?</v>
      </c>
      <c r="AE8" s="5" t="e">
        <f t="shared" ca="1" si="0"/>
        <v>#NAME?</v>
      </c>
      <c r="AF8" s="5" t="e">
        <f t="shared" ca="1" si="0"/>
        <v>#NAME?</v>
      </c>
      <c r="AG8" s="5" t="e">
        <f t="shared" ca="1" si="0"/>
        <v>#NAME?</v>
      </c>
      <c r="AH8" s="5" t="e">
        <f t="shared" ca="1" si="0"/>
        <v>#NAME?</v>
      </c>
      <c r="AI8" s="5" t="e">
        <f t="shared" ca="1" si="0"/>
        <v>#NAME?</v>
      </c>
      <c r="AJ8" s="5" t="e">
        <f t="shared" ca="1" si="0"/>
        <v>#NAME?</v>
      </c>
      <c r="AK8" s="5" t="e">
        <f t="shared" ca="1" si="0"/>
        <v>#NAME?</v>
      </c>
      <c r="AL8" s="5" t="e">
        <f t="shared" ca="1" si="0"/>
        <v>#NAME?</v>
      </c>
      <c r="AM8" s="5" t="e">
        <f t="shared" ca="1" si="0"/>
        <v>#NAME?</v>
      </c>
      <c r="AN8" s="5" t="e">
        <f t="shared" ca="1" si="0"/>
        <v>#NAME?</v>
      </c>
      <c r="AO8" s="5" t="e">
        <f t="shared" ca="1" si="0"/>
        <v>#NAME?</v>
      </c>
      <c r="AP8" s="5" t="e">
        <f t="shared" ca="1" si="0"/>
        <v>#NAME?</v>
      </c>
      <c r="AQ8" s="5" t="e">
        <f t="shared" ca="1" si="0"/>
        <v>#NAME?</v>
      </c>
      <c r="AR8" s="5" t="e">
        <f t="shared" ca="1" si="0"/>
        <v>#NAME?</v>
      </c>
      <c r="AS8" s="5" t="e">
        <f t="shared" ca="1" si="0"/>
        <v>#NAME?</v>
      </c>
      <c r="AT8" s="5" t="e">
        <f t="shared" ca="1" si="0"/>
        <v>#NAME?</v>
      </c>
      <c r="AU8" s="5" t="e">
        <f t="shared" ca="1" si="0"/>
        <v>#NAME?</v>
      </c>
      <c r="AV8" s="5" t="e">
        <f t="shared" ca="1" si="0"/>
        <v>#NAME?</v>
      </c>
      <c r="AW8" s="5" t="e">
        <f t="shared" ca="1" si="0"/>
        <v>#NAME?</v>
      </c>
      <c r="AX8" s="5" t="e">
        <f t="shared" ca="1" si="0"/>
        <v>#NAME?</v>
      </c>
      <c r="AY8" s="5" t="e">
        <f t="shared" ca="1" si="0"/>
        <v>#NAME?</v>
      </c>
      <c r="AZ8" s="5" t="e">
        <f t="shared" ca="1" si="0"/>
        <v>#NAME?</v>
      </c>
      <c r="BA8" s="5" t="e">
        <f t="shared" ca="1" si="0"/>
        <v>#NAME?</v>
      </c>
      <c r="BB8" s="5">
        <f t="shared" si="0"/>
        <v>0</v>
      </c>
      <c r="BC8" s="5" t="e">
        <f t="shared" ca="1" si="0"/>
        <v>#NAME?</v>
      </c>
      <c r="BD8" s="5" t="e">
        <f t="shared" ca="1" si="0"/>
        <v>#NAME?</v>
      </c>
      <c r="BE8" s="5" t="e">
        <f t="shared" ca="1" si="0"/>
        <v>#NAME?</v>
      </c>
      <c r="BF8" s="5" t="e">
        <f t="shared" ca="1" si="0"/>
        <v>#NAME?</v>
      </c>
      <c r="BG8" s="5" t="e">
        <f t="shared" ca="1" si="0"/>
        <v>#NAME?</v>
      </c>
      <c r="BH8" s="5" t="e">
        <f t="shared" ca="1" si="0"/>
        <v>#NAME?</v>
      </c>
    </row>
    <row r="9" spans="1:60" ht="9.9499999999999993" customHeight="1" outlineLevel="2" x14ac:dyDescent="0.2">
      <c r="A9" s="7"/>
      <c r="B9" s="20"/>
      <c r="C9" s="34"/>
      <c r="D9" s="39"/>
      <c r="E9" s="20"/>
      <c r="F9" s="5"/>
      <c r="G9" s="5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37"/>
      <c r="T9" s="24"/>
      <c r="U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37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</row>
    <row r="10" spans="1:60" ht="10.5" customHeight="1" outlineLevel="4" x14ac:dyDescent="0.2">
      <c r="A10" s="25" t="s">
        <v>73</v>
      </c>
      <c r="B10" s="20"/>
      <c r="E10" s="20"/>
      <c r="AF10" s="37"/>
      <c r="AG10" s="24"/>
    </row>
    <row r="11" spans="1:60" ht="10.5" customHeight="1" outlineLevel="4" x14ac:dyDescent="0.2">
      <c r="A11" s="11" t="s">
        <v>126</v>
      </c>
      <c r="B11" s="20"/>
      <c r="C11" s="76">
        <v>209046</v>
      </c>
      <c r="D11" s="6"/>
      <c r="E11" s="20"/>
      <c r="AC11" s="106">
        <f>2+2</f>
        <v>4</v>
      </c>
    </row>
    <row r="12" spans="1:60" ht="10.5" customHeight="1" outlineLevel="4" x14ac:dyDescent="0.2">
      <c r="A12" s="13" t="s">
        <v>127</v>
      </c>
      <c r="B12" s="20"/>
      <c r="C12" s="60" t="e">
        <f ca="1">C13-C11</f>
        <v>#NAME?</v>
      </c>
      <c r="D12" s="6"/>
      <c r="E12" s="20"/>
      <c r="AD12" s="33"/>
    </row>
    <row r="13" spans="1:60" ht="10.5" customHeight="1" outlineLevel="4" x14ac:dyDescent="0.2">
      <c r="A13" s="11" t="s">
        <v>152</v>
      </c>
      <c r="B13" s="20"/>
      <c r="C13" s="1" t="e">
        <f ca="1">ROUND((_xll.HPVAL($C$1,$C$2,"NET_INCOME",$D$2,"YTD","CORP")-_xll.HPVAL($C$1,$C$2,"1505",$D$2,"YTD","CORP")-_xll.HPVAL($C$1,$C$2,"1506",$D$2,"YTD","CORP")-_xll.HPVAL($C$1,$C$2,"1568",$D$2,"YTD","CORP"))/1000,0)</f>
        <v>#NAME?</v>
      </c>
      <c r="D13" s="6" t="e">
        <f ca="1">SUM(F13:BH13)-C13</f>
        <v>#NAME?</v>
      </c>
      <c r="E13" s="20"/>
      <c r="BC13" s="1" t="e">
        <f ca="1">ROUND((_xll.HPVAL($C$1,$C$2,"NET_INCOME",$D$2,"YTD","CORP")-_xll.HPVAL($C$1,$C$2,"1505",$D$2,"YTD","CORP")-_xll.HPVAL($C$1,$C$2,"1506",$D$2,"YTD","CORP")-_xll.HPVAL($C$1,$C$2,"1568",$D$2,"YTD","CORP"))/1000,0)</f>
        <v>#NAME?</v>
      </c>
    </row>
    <row r="14" spans="1:60" ht="9.9499999999999993" customHeight="1" outlineLevel="4" x14ac:dyDescent="0.2">
      <c r="A14" s="47" t="s">
        <v>74</v>
      </c>
      <c r="B14" s="20"/>
      <c r="C14" s="24" t="e">
        <f ca="1">ROUND((_xll.HPVAL($C$1,$C$2,"TOT_DEPR_AMORT",$D$2,"YTD","CORP"))/1000,0)</f>
        <v>#NAME?</v>
      </c>
      <c r="D14" s="6" t="e">
        <f t="shared" ref="D14:D21" ca="1" si="1">SUM(F14:BH14)-C14</f>
        <v>#NAME?</v>
      </c>
      <c r="E14" s="20"/>
      <c r="G14" s="71"/>
      <c r="AD14" s="36" t="e">
        <f ca="1">ROUND(_xll.HPVAL($C$1,$C$2,"TOT_DEPR_AMORT",$D$2,"YTD","CORP")/1000,0)-SUM(H14:AC14)-SUM(AE14:BH14)</f>
        <v>#NAME?</v>
      </c>
      <c r="AF14" s="36" t="e">
        <f ca="1">ROUND((_xll.HPVAL($C$1,$C$2,"1415",$D$2,"YTD","CORP")+_xll.HPVAL($C$1,$C$2,"1416",$D$2,"YTD","CORP"))/1000,0)</f>
        <v>#NAME?</v>
      </c>
      <c r="AG14" s="26"/>
    </row>
    <row r="15" spans="1:60" ht="9.9499999999999993" customHeight="1" outlineLevel="4" x14ac:dyDescent="0.2">
      <c r="A15" s="47" t="s">
        <v>2</v>
      </c>
      <c r="B15" s="20"/>
      <c r="C15" s="24" t="e">
        <f ca="1">ROUND((_xll.HPVAL($C$1,$C$2,"TOT_LSE_IMPRMT",$D$2,"YTD","CORP")+_xll.HPVAL($C$1,$C$2,"1405",$D$2,"YTD","CORP")+_xll.HPVAL($C$1,$C$2,"1406",$D$2,"YTD","CORP"))/1000,0)</f>
        <v>#NAME?</v>
      </c>
      <c r="D15" s="6" t="e">
        <f t="shared" ca="1" si="1"/>
        <v>#NAME?</v>
      </c>
      <c r="E15" s="20"/>
      <c r="AD15" s="6"/>
      <c r="AE15" s="44" t="e">
        <f ca="1">ROUND((_xll.HPVAL($C$1,$C$2,"TOT_LSE_IMPRMT",$D$2,"YTD","CORP")+_xll.HPVAL($C$1,$C$2,"1405",$D$2,"YTD","CORP")+_xll.HPVAL($C$1,$C$2,"1406",$D$2,"YTD","CORP"))/1000,0)</f>
        <v>#NAME?</v>
      </c>
    </row>
    <row r="16" spans="1:60" ht="9.9499999999999993" customHeight="1" outlineLevel="4" x14ac:dyDescent="0.2">
      <c r="A16" s="47" t="s">
        <v>75</v>
      </c>
      <c r="B16" s="20"/>
      <c r="C16" s="24" t="e">
        <f ca="1">ROUND((_xll.HPVAL($C$1,$C$2,"TOT_INC_TX_DEF",$D$2,"YTD","CORP"))/1000,0)</f>
        <v>#NAME?</v>
      </c>
      <c r="D16" s="6" t="e">
        <f t="shared" ca="1" si="1"/>
        <v>#NAME?</v>
      </c>
      <c r="E16" s="20"/>
      <c r="AT16" s="81" t="e">
        <f ca="1">ROUND((_xll.HPVAL($C$1,$C$2,"TOT_INC_TX_DEF",$D$2,"YTD","CORP"))/1000,0)</f>
        <v>#NAME?</v>
      </c>
      <c r="AU16" s="24"/>
    </row>
    <row r="17" spans="1:60" ht="9.9499999999999993" customHeight="1" outlineLevel="4" x14ac:dyDescent="0.2">
      <c r="A17" s="48" t="s">
        <v>134</v>
      </c>
      <c r="B17" s="20"/>
      <c r="C17" s="24" t="e">
        <f ca="1">ROUND((_xll.HPVAL($C$1,$C$2,"1765",$D$2,"YTD","CORP"))/1000,0)</f>
        <v>#NAME?</v>
      </c>
      <c r="D17" s="6" t="e">
        <f t="shared" ca="1" si="1"/>
        <v>#NAME?</v>
      </c>
      <c r="E17" s="20"/>
      <c r="AT17" s="31"/>
      <c r="AU17" s="24"/>
      <c r="AX17" s="1" t="e">
        <f ca="1">ROUND((_xll.HPVAL($C$1,$C$2,"1765",$D$2,"YTD","CORP"))/1000,0)</f>
        <v>#NAME?</v>
      </c>
    </row>
    <row r="18" spans="1:60" ht="9.9499999999999993" customHeight="1" outlineLevel="4" x14ac:dyDescent="0.2">
      <c r="A18" s="11" t="s">
        <v>114</v>
      </c>
      <c r="B18" s="20"/>
      <c r="C18" s="24">
        <v>-977</v>
      </c>
      <c r="D18" s="6" t="e">
        <f t="shared" ca="1" si="1"/>
        <v>#NAME?</v>
      </c>
      <c r="E18" s="20"/>
      <c r="AJ18" s="6"/>
      <c r="AK18" s="6"/>
      <c r="AL18" s="6"/>
      <c r="BC18" s="1" t="e">
        <f ca="1">-ROUND((_xll.HPVAL($C$1,$C$2,"1676",$D$2,"YTD","CORP"))/1000,0)</f>
        <v>#NAME?</v>
      </c>
    </row>
    <row r="19" spans="1:60" ht="9.9499999999999993" customHeight="1" outlineLevel="4" x14ac:dyDescent="0.2">
      <c r="A19" s="11" t="s">
        <v>135</v>
      </c>
      <c r="B19" s="20"/>
      <c r="C19" s="6" t="e">
        <f ca="1">ROUND((_xll.HPVAL($C$1,$C$2,"1760",$D$2,"YTD","CORP"))/1000,0)</f>
        <v>#NAME?</v>
      </c>
      <c r="D19" s="6" t="e">
        <f t="shared" ca="1" si="1"/>
        <v>#NAME?</v>
      </c>
      <c r="E19" s="20"/>
      <c r="AJ19" s="6"/>
      <c r="AK19" s="6"/>
      <c r="AL19" s="6"/>
      <c r="BC19" s="1" t="e">
        <f ca="1">ROUND((_xll.HPVAL($C$1,$C$2,"1760",$D$2,"YTD","CORP"))/1000,0)</f>
        <v>#NAME?</v>
      </c>
    </row>
    <row r="20" spans="1:60" ht="9.9499999999999993" customHeight="1" outlineLevel="4" x14ac:dyDescent="0.2">
      <c r="A20" s="48" t="s">
        <v>132</v>
      </c>
      <c r="B20" s="20"/>
      <c r="C20" s="6" t="e">
        <f ca="1">Q20+Z20+AP20+AU20</f>
        <v>#NAME?</v>
      </c>
      <c r="D20" s="6" t="e">
        <f t="shared" ca="1" si="1"/>
        <v>#NAME?</v>
      </c>
      <c r="E20" s="20"/>
      <c r="H20" s="6"/>
      <c r="I20" s="6"/>
      <c r="J20" s="6"/>
      <c r="K20" s="6"/>
      <c r="Q20" s="78" t="e">
        <f ca="1">-Q$8-SUM(Q$13:Q18,Q30:Q$68)</f>
        <v>#NAME?</v>
      </c>
      <c r="R20" s="5"/>
      <c r="Z20" s="80" t="e">
        <f ca="1">-Z$8-SUM(Z$13:Z18,Z30:Z$68)</f>
        <v>#NAME?</v>
      </c>
      <c r="AA20" s="49"/>
      <c r="AB20" s="49"/>
      <c r="AC20" s="49"/>
      <c r="AD20" s="6"/>
      <c r="AP20" s="80" t="e">
        <f ca="1">-AP$8-SUM(AP$13:AP18,AP30:AP$68)</f>
        <v>#NAME?</v>
      </c>
      <c r="AQ20" s="5"/>
      <c r="AU20" s="80" t="e">
        <f ca="1">-AU$8-SUM(AU$13:AU18,AU30:AU$68)</f>
        <v>#NAME?</v>
      </c>
      <c r="AV20" s="6"/>
    </row>
    <row r="21" spans="1:60" ht="9" customHeight="1" outlineLevel="4" x14ac:dyDescent="0.2">
      <c r="A21" s="11" t="s">
        <v>133</v>
      </c>
      <c r="B21" s="20"/>
      <c r="C21" s="75">
        <v>0</v>
      </c>
      <c r="D21" s="6">
        <f t="shared" si="1"/>
        <v>0</v>
      </c>
      <c r="E21" s="20"/>
      <c r="AV21" s="6"/>
    </row>
    <row r="22" spans="1:60" ht="9.9499999999999993" customHeight="1" outlineLevel="4" x14ac:dyDescent="0.2">
      <c r="A22" s="11" t="s">
        <v>136</v>
      </c>
      <c r="B22" s="20"/>
      <c r="C22" s="6">
        <v>-44586</v>
      </c>
      <c r="D22" s="6" t="e">
        <f t="shared" ref="D22:D28" ca="1" si="2">SUM(F22:BH22)-C22</f>
        <v>#NAME?</v>
      </c>
      <c r="E22" s="20"/>
      <c r="S22" s="1" t="e">
        <f ca="1">-ROUND((_xll.HPVAL($C$1,$C$2,"TOT_EQEARN_OTH",$D$2,"YTD","CORP"))/1000,0)</f>
        <v>#NAME?</v>
      </c>
      <c r="AJ22" s="6"/>
      <c r="AK22" s="6"/>
      <c r="AL22" s="6"/>
    </row>
    <row r="23" spans="1:60" ht="9.9499999999999993" customHeight="1" outlineLevel="4" x14ac:dyDescent="0.2">
      <c r="A23" s="11" t="s">
        <v>137</v>
      </c>
      <c r="B23" s="20"/>
      <c r="C23" s="75">
        <f>4669+2449+466+2434</f>
        <v>10018</v>
      </c>
      <c r="D23" s="6">
        <f t="shared" si="2"/>
        <v>0</v>
      </c>
      <c r="E23" s="20"/>
      <c r="S23" s="105">
        <f>4669+2449+466+2434</f>
        <v>10018</v>
      </c>
      <c r="T23" s="93"/>
      <c r="AJ23" s="6"/>
      <c r="AK23" s="6"/>
      <c r="AL23" s="6"/>
    </row>
    <row r="24" spans="1:60" ht="9.9499999999999993" customHeight="1" outlineLevel="4" x14ac:dyDescent="0.2">
      <c r="A24" s="74" t="s">
        <v>155</v>
      </c>
      <c r="B24" s="20"/>
      <c r="C24" s="75"/>
      <c r="D24" s="6">
        <f t="shared" si="2"/>
        <v>0</v>
      </c>
      <c r="E24" s="20"/>
      <c r="AJ24" s="6"/>
      <c r="AK24" s="6"/>
      <c r="AL24" s="6"/>
    </row>
    <row r="25" spans="1:60" ht="9.9499999999999993" customHeight="1" outlineLevel="4" x14ac:dyDescent="0.2">
      <c r="A25" s="74" t="s">
        <v>157</v>
      </c>
      <c r="B25" s="20"/>
      <c r="C25" s="75"/>
      <c r="D25" s="6">
        <f t="shared" si="2"/>
        <v>0</v>
      </c>
      <c r="E25" s="20"/>
      <c r="AJ25" s="6"/>
      <c r="AK25" s="6"/>
      <c r="AL25" s="6"/>
    </row>
    <row r="26" spans="1:60" ht="9.9499999999999993" customHeight="1" outlineLevel="4" x14ac:dyDescent="0.2">
      <c r="A26" s="74" t="s">
        <v>158</v>
      </c>
      <c r="B26" s="20"/>
      <c r="C26" s="75">
        <v>0</v>
      </c>
      <c r="D26" s="6">
        <f t="shared" si="2"/>
        <v>0</v>
      </c>
      <c r="E26" s="20"/>
      <c r="S26" s="93"/>
      <c r="AJ26" s="6"/>
      <c r="AK26" s="6"/>
      <c r="AL26" s="6"/>
    </row>
    <row r="27" spans="1:60" ht="9.9499999999999993" hidden="1" customHeight="1" outlineLevel="4" x14ac:dyDescent="0.2">
      <c r="A27" s="11"/>
      <c r="B27" s="20"/>
      <c r="C27" s="6"/>
      <c r="D27" s="6">
        <f t="shared" si="2"/>
        <v>0</v>
      </c>
      <c r="E27" s="20"/>
      <c r="AJ27" s="6"/>
      <c r="AK27" s="6"/>
      <c r="AL27" s="6"/>
    </row>
    <row r="28" spans="1:60" ht="9.9499999999999993" customHeight="1" outlineLevel="4" x14ac:dyDescent="0.2">
      <c r="A28" s="11" t="s">
        <v>130</v>
      </c>
      <c r="B28" s="20"/>
      <c r="C28" s="79">
        <v>6193</v>
      </c>
      <c r="D28" s="8" t="e">
        <f t="shared" ca="1" si="2"/>
        <v>#NAME?</v>
      </c>
      <c r="E28" s="20"/>
      <c r="F28" s="8"/>
      <c r="G28" s="8"/>
      <c r="H28" s="103">
        <f>736+178-9500</f>
        <v>-8586</v>
      </c>
      <c r="I28" s="30"/>
      <c r="J28" s="104">
        <f>-4908-178-225</f>
        <v>-5311</v>
      </c>
      <c r="K28" s="30"/>
      <c r="L28" s="9"/>
      <c r="M28" s="9"/>
      <c r="N28" s="9"/>
      <c r="O28" s="9"/>
      <c r="P28" s="9"/>
      <c r="Q28" s="9"/>
      <c r="R28" s="95"/>
      <c r="S28" s="79" t="e">
        <f ca="1">-S$8-SUM(S$13:S27,S29:S$68)</f>
        <v>#NAME?</v>
      </c>
      <c r="T28" s="79" t="e">
        <f ca="1">-T8</f>
        <v>#NAME?</v>
      </c>
      <c r="U28" s="43"/>
      <c r="V28" s="79" t="e">
        <f ca="1">-V$8-SUM(V$13:V27,V29:V$68)</f>
        <v>#NAME?</v>
      </c>
      <c r="W28" s="79"/>
      <c r="X28" s="79" t="e">
        <f ca="1">-X$8-SUM(X$13:X27,X29:X$68)</f>
        <v>#NAME?</v>
      </c>
      <c r="Y28" s="79" t="e">
        <f ca="1">-Y$8-SUM(Y$13:Y27,Y29:Y$68)</f>
        <v>#NAME?</v>
      </c>
      <c r="Z28" s="43"/>
      <c r="AA28" s="79" t="e">
        <f ca="1">-AA$8-SUM(AA$13:AA27,AA29:AA$68)</f>
        <v>#NAME?</v>
      </c>
      <c r="AB28" s="79" t="e">
        <f ca="1">-AB$8-SUM(AB$13:AB27,AB29:AB$68)</f>
        <v>#NAME?</v>
      </c>
      <c r="AC28" s="79" t="e">
        <f ca="1">-AC$8-SUM(AC$13:AC27,AC29:AC$68)</f>
        <v>#NAME?</v>
      </c>
      <c r="AD28" s="79" t="e">
        <f ca="1">-AD$8-SUM(AD$13:AD27,AD29:AD$68)</f>
        <v>#NAME?</v>
      </c>
      <c r="AE28" s="79" t="e">
        <f ca="1">-AE$8-SUM(AE$13:AE27,AE29:AE$68)</f>
        <v>#NAME?</v>
      </c>
      <c r="AF28" s="79" t="e">
        <f ca="1">-AF$8-SUM(AF$13:AF27,AF29:AF$68)</f>
        <v>#NAME?</v>
      </c>
      <c r="AG28" s="79" t="e">
        <f ca="1">-AG$8-SUM(AG$13:AG27,AG29:AG$68)</f>
        <v>#NAME?</v>
      </c>
      <c r="AH28" s="43"/>
      <c r="AI28" s="43"/>
      <c r="AJ28" s="107">
        <f>-1115</f>
        <v>-1115</v>
      </c>
      <c r="AK28" s="43"/>
      <c r="AL28" s="43"/>
      <c r="AM28" s="43"/>
      <c r="AN28" s="107">
        <v>-443</v>
      </c>
      <c r="AO28" s="43"/>
      <c r="AP28" s="43"/>
      <c r="AQ28" s="108">
        <f>444-2910</f>
        <v>-2466</v>
      </c>
      <c r="AR28" s="96"/>
      <c r="AS28" s="30"/>
      <c r="AT28" s="79" t="e">
        <f ca="1">-AT$8-SUM(AT$13:AT27,AT29:AT$68)</f>
        <v>#NAME?</v>
      </c>
      <c r="AU28" s="43"/>
      <c r="AV28" s="79" t="e">
        <f ca="1">-AV$8-SUM(AV$13:AV27,AV29:AV$68)</f>
        <v>#NAME?</v>
      </c>
      <c r="AW28" s="79" t="e">
        <f ca="1">-AW$8-SUM(AW$13:AW27,AW29:AW$68)</f>
        <v>#NAME?</v>
      </c>
      <c r="AX28" s="79" t="e">
        <f ca="1">-AX$8-SUM(AX$13:AX27,AX29:AX$68)</f>
        <v>#NAME?</v>
      </c>
      <c r="AY28" s="79" t="e">
        <f ca="1">-AY$8-SUM(AY$13:AY27,AY29:AY$68)</f>
        <v>#NAME?</v>
      </c>
      <c r="AZ28" s="43"/>
      <c r="BA28" s="79"/>
      <c r="BB28" s="43">
        <f>-BB$8-SUM(BB$13:BB27,BB29:BB$68)</f>
        <v>0</v>
      </c>
      <c r="BC28" s="9" t="e">
        <f ca="1">-BC$8-SUM(BC$13:BC27,BC29:BC$68)</f>
        <v>#NAME?</v>
      </c>
      <c r="BD28" s="79" t="e">
        <f ca="1">-BD$8-SUM(BD$13:BD27,BD29:BD$68)</f>
        <v>#NAME?</v>
      </c>
      <c r="BE28" s="79" t="e">
        <f ca="1">-BE$8-SUM(BE$13:BE27,BE29:BE$68)</f>
        <v>#NAME?</v>
      </c>
      <c r="BF28" s="79"/>
      <c r="BG28" s="79" t="e">
        <f ca="1">-BG$8-SUM(BG$13:BG27,BG29:BG$68)</f>
        <v>#NAME?</v>
      </c>
      <c r="BH28" s="79" t="e">
        <f ca="1">-BH$8-SUM(BH$13:BH27,BH29:BH$68)</f>
        <v>#NAME?</v>
      </c>
    </row>
    <row r="29" spans="1:60" ht="9.9499999999999993" customHeight="1" outlineLevel="4" x14ac:dyDescent="0.2">
      <c r="A29" s="13" t="s">
        <v>129</v>
      </c>
      <c r="B29" s="20"/>
      <c r="C29" s="68" t="e">
        <f ca="1">SUM(C13:C28)</f>
        <v>#NAME?</v>
      </c>
      <c r="D29" s="54"/>
      <c r="E29" s="20"/>
      <c r="F29" s="54"/>
      <c r="G29" s="54"/>
      <c r="H29" s="45"/>
      <c r="I29" s="45"/>
      <c r="J29" s="45"/>
      <c r="K29" s="45"/>
      <c r="L29" s="44"/>
      <c r="M29" s="44"/>
      <c r="N29" s="44"/>
      <c r="O29" s="44"/>
      <c r="P29" s="44"/>
      <c r="Q29" s="44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5"/>
      <c r="AS29" s="45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</row>
    <row r="30" spans="1:60" outlineLevel="4" x14ac:dyDescent="0.2">
      <c r="A30" s="47" t="s">
        <v>76</v>
      </c>
      <c r="B30" s="20"/>
      <c r="E30" s="20"/>
    </row>
    <row r="31" spans="1:60" ht="9.6" customHeight="1" outlineLevel="4" x14ac:dyDescent="0.2">
      <c r="A31" s="48" t="s">
        <v>77</v>
      </c>
      <c r="B31" s="20"/>
      <c r="C31" s="76">
        <v>8792</v>
      </c>
      <c r="D31" s="6" t="e">
        <f t="shared" ref="D31:D41" ca="1" si="3">SUM(F31:BH31)-C31</f>
        <v>#NAME?</v>
      </c>
      <c r="E31" s="20"/>
      <c r="H31" s="78" t="e">
        <f ca="1">-H$8-SUM(H$11:H30,H33:H$68)</f>
        <v>#NAME?</v>
      </c>
      <c r="I31" s="28"/>
      <c r="J31" s="76"/>
      <c r="K31" s="28"/>
    </row>
    <row r="32" spans="1:60" ht="9.6" customHeight="1" outlineLevel="4" x14ac:dyDescent="0.2">
      <c r="A32" s="48" t="s">
        <v>153</v>
      </c>
      <c r="B32" s="20"/>
      <c r="C32" s="76">
        <v>-20211</v>
      </c>
      <c r="D32" s="6" t="e">
        <f t="shared" ca="1" si="3"/>
        <v>#NAME?</v>
      </c>
      <c r="E32" s="20"/>
      <c r="H32" s="28"/>
      <c r="I32" s="28"/>
      <c r="J32" s="28"/>
      <c r="K32" s="28"/>
      <c r="M32" s="78" t="e">
        <f ca="1">-M$8-SUM(M$11:M31,M33:M$68)</f>
        <v>#NAME?</v>
      </c>
      <c r="AM32" s="89"/>
    </row>
    <row r="33" spans="1:61" ht="9.6" customHeight="1" outlineLevel="4" x14ac:dyDescent="0.2">
      <c r="A33" s="48" t="s">
        <v>93</v>
      </c>
      <c r="B33" s="20"/>
      <c r="C33" s="76">
        <f>-142726+403</f>
        <v>-142323</v>
      </c>
      <c r="D33" s="6" t="e">
        <f t="shared" ca="1" si="3"/>
        <v>#NAME?</v>
      </c>
      <c r="E33" s="20"/>
      <c r="H33" s="28"/>
      <c r="I33" s="28"/>
      <c r="J33" s="78" t="e">
        <f ca="1">-J$8-SUM(J$11:J31,J34:J$68)</f>
        <v>#NAME?</v>
      </c>
      <c r="K33" s="78" t="e">
        <f ca="1">-K$8-SUM(K$11:K31,K34:K$68)</f>
        <v>#NAME?</v>
      </c>
      <c r="U33" s="81" t="e">
        <f ca="1">-U$8-SUM(U$13:U32,U34:U$68)</f>
        <v>#NAME?</v>
      </c>
      <c r="AI33" s="1" t="e">
        <f ca="1">-AI$8-SUM(AI$13:AI31,AI34:AI$68)</f>
        <v>#NAME?</v>
      </c>
      <c r="AK33" s="78" t="e">
        <f ca="1">-AK$8-SUM(AK$11:AK31,AK34:AK$68)</f>
        <v>#NAME?</v>
      </c>
      <c r="AS33" s="78" t="e">
        <f ca="1">-AS8-AS57</f>
        <v>#NAME?</v>
      </c>
    </row>
    <row r="34" spans="1:61" ht="9.6" customHeight="1" outlineLevel="4" x14ac:dyDescent="0.2">
      <c r="A34" s="48" t="s">
        <v>98</v>
      </c>
      <c r="B34" s="20"/>
      <c r="C34" s="76">
        <v>117422</v>
      </c>
      <c r="D34" s="6" t="e">
        <f t="shared" ca="1" si="3"/>
        <v>#NAME?</v>
      </c>
      <c r="E34" s="20"/>
      <c r="I34" s="1" t="e">
        <f ca="1">-I$8-SUM(I$11:I33,I35:I$68)</f>
        <v>#NAME?</v>
      </c>
      <c r="P34" s="28"/>
      <c r="Q34" s="6"/>
      <c r="AL34" s="1" t="e">
        <f ca="1">-AL$8-SUM(AL$11:AL33,AL35:AL$68)</f>
        <v>#NAME?</v>
      </c>
    </row>
    <row r="35" spans="1:61" ht="9.6" customHeight="1" outlineLevel="4" x14ac:dyDescent="0.2">
      <c r="A35" s="48" t="s">
        <v>78</v>
      </c>
      <c r="B35" s="20"/>
      <c r="C35" s="76">
        <v>0</v>
      </c>
      <c r="D35" s="6" t="e">
        <f t="shared" ca="1" si="3"/>
        <v>#NAME?</v>
      </c>
      <c r="E35" s="20"/>
      <c r="M35" s="24"/>
      <c r="N35" s="78" t="e">
        <f ca="1">-N$8-SUM(N$11:N34,N36:N$68)</f>
        <v>#NAME?</v>
      </c>
      <c r="AE35" s="28"/>
    </row>
    <row r="36" spans="1:61" ht="9.6" customHeight="1" outlineLevel="4" x14ac:dyDescent="0.2">
      <c r="A36" s="48" t="s">
        <v>79</v>
      </c>
      <c r="B36" s="20"/>
      <c r="C36" s="76">
        <v>8</v>
      </c>
      <c r="D36" s="6" t="e">
        <f t="shared" ca="1" si="3"/>
        <v>#NAME?</v>
      </c>
      <c r="E36" s="20"/>
      <c r="P36" s="36" t="e">
        <f ca="1">-P$8-SUM(P$11:P35,P37:P$68)</f>
        <v>#NAME?</v>
      </c>
      <c r="Q36" s="6"/>
    </row>
    <row r="37" spans="1:61" ht="9.6" customHeight="1" outlineLevel="4" x14ac:dyDescent="0.2">
      <c r="A37" s="48" t="s">
        <v>80</v>
      </c>
      <c r="B37" s="20"/>
      <c r="C37" s="76">
        <f>14520</f>
        <v>14520</v>
      </c>
      <c r="D37" s="6" t="e">
        <f t="shared" ca="1" si="3"/>
        <v>#NAME?</v>
      </c>
      <c r="E37" s="20"/>
      <c r="AJ37" s="36" t="e">
        <f ca="1">-AJ$8-SUM(AJ$11:AJ36,AJ38:AJ$68)</f>
        <v>#NAME?</v>
      </c>
      <c r="AK37" s="76"/>
      <c r="AL37" s="29"/>
      <c r="BC37" s="93">
        <v>0</v>
      </c>
    </row>
    <row r="38" spans="1:61" ht="9.6" customHeight="1" outlineLevel="4" x14ac:dyDescent="0.2">
      <c r="A38" s="48" t="s">
        <v>154</v>
      </c>
      <c r="B38" s="20"/>
      <c r="C38" s="76">
        <v>24007</v>
      </c>
      <c r="D38" s="6" t="e">
        <f t="shared" ca="1" si="3"/>
        <v>#NAME?</v>
      </c>
      <c r="E38" s="20"/>
      <c r="M38" s="76"/>
      <c r="AJ38" s="29"/>
      <c r="AK38" s="29"/>
      <c r="AL38" s="29"/>
      <c r="AM38" s="78" t="e">
        <f ca="1">-AM$8-SUM(AM$11:AM37,AM39:AM$68)</f>
        <v>#NAME?</v>
      </c>
    </row>
    <row r="39" spans="1:61" ht="9.6" customHeight="1" outlineLevel="4" x14ac:dyDescent="0.2">
      <c r="A39" s="48" t="s">
        <v>81</v>
      </c>
      <c r="B39" s="20"/>
      <c r="C39" s="76">
        <f>2986</f>
        <v>2986</v>
      </c>
      <c r="D39" s="6" t="e">
        <f t="shared" ca="1" si="3"/>
        <v>#NAME?</v>
      </c>
      <c r="E39" s="20"/>
      <c r="AM39" s="26"/>
      <c r="AN39" s="36" t="e">
        <f ca="1">-AN$8-SUM(AN$11:AN38,AN40:AN$68)</f>
        <v>#NAME?</v>
      </c>
    </row>
    <row r="40" spans="1:61" ht="9.6" customHeight="1" outlineLevel="4" x14ac:dyDescent="0.2">
      <c r="A40" s="48" t="s">
        <v>82</v>
      </c>
      <c r="B40" s="20"/>
      <c r="C40" s="76">
        <v>5747</v>
      </c>
      <c r="D40" s="6" t="e">
        <f t="shared" ca="1" si="3"/>
        <v>#NAME?</v>
      </c>
      <c r="E40" s="20"/>
      <c r="AO40" s="78" t="e">
        <f ca="1">-AO$8-SUM(AO$11:AO39,AO41:AO$68)</f>
        <v>#NAME?</v>
      </c>
      <c r="AP40" s="24"/>
    </row>
    <row r="41" spans="1:61" ht="9.6" customHeight="1" outlineLevel="4" x14ac:dyDescent="0.2">
      <c r="A41" s="48" t="s">
        <v>128</v>
      </c>
      <c r="B41" s="20"/>
      <c r="C41" s="75">
        <f>-8818</f>
        <v>-8818</v>
      </c>
      <c r="D41" s="6" t="e">
        <f t="shared" ca="1" si="3"/>
        <v>#NAME?</v>
      </c>
      <c r="E41" s="20"/>
      <c r="L41" s="1" t="e">
        <f ca="1">-L$8-SUM(L$11:L40,L42:L$68)</f>
        <v>#NAME?</v>
      </c>
      <c r="O41" s="1" t="e">
        <f ca="1">-O$8-SUM(O$11:O40,O42:O$68)</f>
        <v>#NAME?</v>
      </c>
      <c r="P41" s="28"/>
      <c r="Q41" s="6"/>
      <c r="R41" s="90" t="e">
        <f ca="1">-R$8-SUM(R$11:R40,R42:R$68)</f>
        <v>#NAME?</v>
      </c>
      <c r="AC41" s="106">
        <v>122</v>
      </c>
      <c r="AJ41" s="93"/>
      <c r="AQ41" s="90" t="e">
        <f ca="1">-AQ$8-SUM(AQ$11:AQ40,AQ42:AQ$68)</f>
        <v>#NAME?</v>
      </c>
    </row>
    <row r="42" spans="1:61" ht="9.9499999999999993" customHeight="1" outlineLevel="4" x14ac:dyDescent="0.2">
      <c r="A42" s="11" t="s">
        <v>131</v>
      </c>
      <c r="B42" s="20"/>
      <c r="C42" s="68">
        <f>SUM(C30:C41)</f>
        <v>2130</v>
      </c>
      <c r="D42" s="8"/>
      <c r="E42" s="20"/>
      <c r="F42" s="8"/>
      <c r="G42" s="8"/>
      <c r="H42" s="30"/>
      <c r="I42" s="30"/>
      <c r="J42" s="30"/>
      <c r="K42" s="30"/>
      <c r="L42" s="9"/>
      <c r="M42" s="9"/>
      <c r="N42" s="9"/>
      <c r="O42" s="9"/>
      <c r="P42" s="9"/>
      <c r="Q42" s="9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30"/>
      <c r="AS42" s="30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</row>
    <row r="43" spans="1:61" ht="12.95" customHeight="1" outlineLevel="3" x14ac:dyDescent="0.2">
      <c r="A43" s="7" t="s">
        <v>83</v>
      </c>
      <c r="B43" s="20"/>
      <c r="C43" s="23" t="e">
        <f ca="1">C42+C29</f>
        <v>#NAME?</v>
      </c>
      <c r="E43" s="20"/>
      <c r="BI43" s="24"/>
    </row>
    <row r="44" spans="1:61" ht="7.5" customHeight="1" outlineLevel="3" x14ac:dyDescent="0.2">
      <c r="B44" s="20"/>
      <c r="C44" s="4"/>
      <c r="D44" s="4"/>
      <c r="E44" s="20"/>
    </row>
    <row r="45" spans="1:61" ht="9" customHeight="1" outlineLevel="3" x14ac:dyDescent="0.2">
      <c r="A45" s="25" t="s">
        <v>84</v>
      </c>
      <c r="B45" s="20"/>
      <c r="E45" s="20"/>
    </row>
    <row r="46" spans="1:61" ht="9.6" customHeight="1" outlineLevel="4" x14ac:dyDescent="0.2">
      <c r="A46" s="13" t="s">
        <v>119</v>
      </c>
      <c r="B46" s="20"/>
      <c r="C46" s="76">
        <v>5679</v>
      </c>
      <c r="D46" s="6">
        <f t="shared" ref="D46:D52" si="4">SUM(F46:BH46)-C46</f>
        <v>0</v>
      </c>
      <c r="E46" s="20"/>
      <c r="F46" s="5"/>
      <c r="G46" s="5"/>
      <c r="H46" s="5"/>
      <c r="I46" s="5"/>
      <c r="J46" s="5"/>
      <c r="K46" s="5"/>
      <c r="L46" s="5"/>
      <c r="R46" s="6"/>
      <c r="V46" s="6"/>
      <c r="AE46" s="110">
        <f>5562+117</f>
        <v>5679</v>
      </c>
      <c r="AQ46" s="76"/>
      <c r="AX46" s="31"/>
    </row>
    <row r="47" spans="1:61" ht="9.6" customHeight="1" outlineLevel="4" x14ac:dyDescent="0.2">
      <c r="A47" s="13" t="s">
        <v>85</v>
      </c>
      <c r="B47" s="20"/>
      <c r="C47" s="76">
        <v>-61218</v>
      </c>
      <c r="D47" s="6">
        <f t="shared" si="4"/>
        <v>0</v>
      </c>
      <c r="E47" s="20"/>
      <c r="AE47" s="110">
        <f>-39076-22142</f>
        <v>-61218</v>
      </c>
      <c r="AF47" s="76"/>
    </row>
    <row r="48" spans="1:61" ht="9.6" customHeight="1" outlineLevel="4" x14ac:dyDescent="0.2">
      <c r="A48" s="47" t="s">
        <v>168</v>
      </c>
      <c r="B48" s="20"/>
      <c r="C48" s="76">
        <v>0</v>
      </c>
      <c r="D48" s="6">
        <f t="shared" si="4"/>
        <v>0</v>
      </c>
      <c r="E48" s="20"/>
      <c r="P48" s="28"/>
      <c r="Q48" s="6"/>
    </row>
    <row r="49" spans="1:61" ht="9.6" customHeight="1" outlineLevel="4" x14ac:dyDescent="0.2">
      <c r="A49" s="13" t="s">
        <v>167</v>
      </c>
      <c r="B49" s="20"/>
      <c r="C49" s="76">
        <v>27509</v>
      </c>
      <c r="D49" s="6">
        <f t="shared" si="4"/>
        <v>0</v>
      </c>
      <c r="E49" s="20"/>
      <c r="AD49" s="6"/>
      <c r="AE49" s="110">
        <f>31172-2832-344-487</f>
        <v>27509</v>
      </c>
      <c r="AV49" s="6"/>
    </row>
    <row r="50" spans="1:61" ht="9.6" customHeight="1" outlineLevel="4" x14ac:dyDescent="0.2">
      <c r="A50" s="13" t="s">
        <v>173</v>
      </c>
      <c r="B50" s="20"/>
      <c r="C50" s="76">
        <v>-6770</v>
      </c>
      <c r="D50" s="6">
        <f>SUM(F50:BH50)-C50</f>
        <v>0</v>
      </c>
      <c r="E50" s="20"/>
      <c r="AB50" s="106">
        <f>16230-23000</f>
        <v>-6770</v>
      </c>
      <c r="AD50" s="6"/>
      <c r="AE50" s="6"/>
      <c r="AV50" s="6"/>
    </row>
    <row r="51" spans="1:61" ht="9.6" customHeight="1" outlineLevel="4" x14ac:dyDescent="0.2">
      <c r="A51" s="11" t="s">
        <v>138</v>
      </c>
      <c r="B51" s="20"/>
      <c r="C51" s="76">
        <v>0</v>
      </c>
      <c r="D51" s="6" t="e">
        <f t="shared" ca="1" si="4"/>
        <v>#NAME?</v>
      </c>
      <c r="E51" s="20"/>
      <c r="T51" s="82" t="e">
        <f ca="1">-T$8-SUM(T$13:T50,T52:T$68)</f>
        <v>#NAME?</v>
      </c>
      <c r="AB51" s="106"/>
      <c r="AD51" s="6"/>
      <c r="AE51" s="6"/>
      <c r="AV51" s="6"/>
    </row>
    <row r="52" spans="1:61" ht="9.6" customHeight="1" outlineLevel="4" x14ac:dyDescent="0.2">
      <c r="A52" s="11" t="s">
        <v>156</v>
      </c>
      <c r="B52" s="20"/>
      <c r="C52" s="77">
        <v>-14</v>
      </c>
      <c r="D52" s="8">
        <f t="shared" si="4"/>
        <v>0</v>
      </c>
      <c r="E52" s="20"/>
      <c r="F52" s="9"/>
      <c r="G52" s="9"/>
      <c r="H52" s="10"/>
      <c r="I52" s="10"/>
      <c r="J52" s="10"/>
      <c r="K52" s="10"/>
      <c r="L52" s="9"/>
      <c r="M52" s="9"/>
      <c r="N52" s="9"/>
      <c r="O52" s="9"/>
      <c r="P52" s="9"/>
      <c r="Q52" s="9"/>
      <c r="R52" s="30"/>
      <c r="S52" s="30"/>
      <c r="T52" s="8"/>
      <c r="U52" s="8"/>
      <c r="V52" s="30"/>
      <c r="W52" s="9"/>
      <c r="X52" s="9"/>
      <c r="Y52" s="9"/>
      <c r="Z52" s="9"/>
      <c r="AA52" s="9"/>
      <c r="AB52" s="109">
        <v>-14</v>
      </c>
      <c r="AC52" s="9"/>
      <c r="AD52" s="10"/>
      <c r="AE52" s="92">
        <v>3319</v>
      </c>
      <c r="AF52" s="109">
        <f>-2832-487</f>
        <v>-3319</v>
      </c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8"/>
      <c r="AW52" s="9"/>
      <c r="AX52" s="9"/>
      <c r="AY52" s="9"/>
      <c r="AZ52" s="9"/>
      <c r="BA52" s="9"/>
      <c r="BB52" s="9"/>
      <c r="BC52" s="88"/>
      <c r="BD52" s="9"/>
      <c r="BE52" s="9"/>
      <c r="BF52" s="9"/>
      <c r="BG52" s="9"/>
      <c r="BH52" s="9"/>
    </row>
    <row r="53" spans="1:61" ht="12.95" customHeight="1" outlineLevel="3" x14ac:dyDescent="0.2">
      <c r="A53" s="7" t="s">
        <v>86</v>
      </c>
      <c r="B53" s="20"/>
      <c r="C53" s="23">
        <f>SUM(C46:C52)</f>
        <v>-34814</v>
      </c>
      <c r="D53" s="34"/>
      <c r="E53" s="20"/>
      <c r="BI53" s="24"/>
    </row>
    <row r="54" spans="1:61" ht="9" customHeight="1" outlineLevel="3" x14ac:dyDescent="0.2">
      <c r="B54" s="20"/>
      <c r="C54" s="4"/>
      <c r="D54" s="4"/>
      <c r="E54" s="20"/>
    </row>
    <row r="55" spans="1:61" ht="9" customHeight="1" outlineLevel="3" x14ac:dyDescent="0.2">
      <c r="A55" s="69" t="s">
        <v>139</v>
      </c>
      <c r="B55" s="20"/>
      <c r="E55" s="20"/>
    </row>
    <row r="56" spans="1:61" ht="9.6" customHeight="1" outlineLevel="4" x14ac:dyDescent="0.2">
      <c r="A56" s="11" t="s">
        <v>140</v>
      </c>
      <c r="B56" s="20"/>
      <c r="C56" s="76">
        <v>0</v>
      </c>
      <c r="D56" s="6" t="e">
        <f t="shared" ref="D56:D68" ca="1" si="5">SUM(F56:BH56)-C56</f>
        <v>#NAME?</v>
      </c>
      <c r="E56" s="20"/>
      <c r="AH56" s="26" t="e">
        <f ca="1">-AH$8-SUM(AH$13:AH55,AH57:AH$68)</f>
        <v>#NAME?</v>
      </c>
      <c r="AI56" s="26"/>
    </row>
    <row r="57" spans="1:61" ht="9.6" customHeight="1" outlineLevel="4" x14ac:dyDescent="0.2">
      <c r="A57" s="11" t="s">
        <v>141</v>
      </c>
      <c r="B57" s="20"/>
      <c r="C57" s="76">
        <v>0</v>
      </c>
      <c r="D57" s="6" t="e">
        <f t="shared" ca="1" si="5"/>
        <v>#NAME?</v>
      </c>
      <c r="E57" s="20"/>
      <c r="H57" s="24"/>
      <c r="I57" s="24"/>
      <c r="J57" s="24"/>
      <c r="K57" s="24"/>
      <c r="L57" s="24"/>
      <c r="AQ57" s="26"/>
      <c r="AR57" s="1" t="e">
        <f ca="1">-AR$8-SUM(AR$13:AR56,AR58:AR$68)</f>
        <v>#NAME?</v>
      </c>
      <c r="AS57" s="101">
        <f>150000-150000</f>
        <v>0</v>
      </c>
    </row>
    <row r="58" spans="1:61" ht="9.6" customHeight="1" outlineLevel="4" x14ac:dyDescent="0.2">
      <c r="A58" s="11" t="s">
        <v>142</v>
      </c>
      <c r="B58" s="20"/>
      <c r="C58" s="76">
        <v>-123000</v>
      </c>
      <c r="D58" s="6">
        <f t="shared" si="5"/>
        <v>0</v>
      </c>
      <c r="E58" s="20"/>
      <c r="AH58" s="26"/>
      <c r="AI58" s="26"/>
      <c r="AR58" s="100">
        <v>-123000</v>
      </c>
      <c r="AS58" s="24"/>
    </row>
    <row r="59" spans="1:61" ht="9.6" customHeight="1" outlineLevel="4" x14ac:dyDescent="0.2">
      <c r="A59" s="11" t="s">
        <v>143</v>
      </c>
      <c r="B59" s="20"/>
      <c r="C59" s="76">
        <v>0</v>
      </c>
      <c r="D59" s="6">
        <f>SUM(F59:BH59)-C59</f>
        <v>0</v>
      </c>
      <c r="E59" s="20"/>
      <c r="H59" s="24"/>
      <c r="I59" s="24"/>
      <c r="J59" s="24"/>
      <c r="K59" s="24"/>
      <c r="L59" s="24"/>
      <c r="AQ59" s="26"/>
    </row>
    <row r="60" spans="1:61" ht="9.6" customHeight="1" outlineLevel="4" x14ac:dyDescent="0.2">
      <c r="A60" s="11" t="s">
        <v>149</v>
      </c>
      <c r="B60" s="20"/>
      <c r="C60" s="76">
        <v>0</v>
      </c>
      <c r="D60" s="6">
        <f t="shared" si="5"/>
        <v>0</v>
      </c>
      <c r="E60" s="20"/>
      <c r="AZ60" s="6"/>
      <c r="BA60"/>
      <c r="BB60"/>
    </row>
    <row r="61" spans="1:61" ht="9.6" customHeight="1" outlineLevel="4" x14ac:dyDescent="0.2">
      <c r="A61" s="48" t="s">
        <v>169</v>
      </c>
      <c r="B61" s="20"/>
      <c r="C61" s="76"/>
      <c r="D61" s="6">
        <f>SUM(F61:BH61)-C61</f>
        <v>0</v>
      </c>
      <c r="E61" s="20"/>
      <c r="P61" s="28"/>
      <c r="Q61" s="6"/>
      <c r="BC61" s="94"/>
    </row>
    <row r="62" spans="1:61" ht="9.6" customHeight="1" outlineLevel="4" x14ac:dyDescent="0.2">
      <c r="A62" s="11" t="s">
        <v>148</v>
      </c>
      <c r="B62" s="20"/>
      <c r="C62" s="76">
        <v>0</v>
      </c>
      <c r="D62" s="6">
        <f>SUM(F62:BH62)-C62</f>
        <v>0</v>
      </c>
      <c r="E62" s="20"/>
      <c r="H62" s="24"/>
      <c r="I62" s="24"/>
      <c r="J62" s="24"/>
      <c r="K62" s="24"/>
      <c r="L62" s="24"/>
      <c r="AQ62"/>
      <c r="BC62" s="26"/>
    </row>
    <row r="63" spans="1:61" ht="9.6" customHeight="1" outlineLevel="4" x14ac:dyDescent="0.2">
      <c r="A63" s="11" t="s">
        <v>147</v>
      </c>
      <c r="B63" s="20"/>
      <c r="C63" s="76">
        <v>0</v>
      </c>
      <c r="D63" s="6">
        <f>SUM(F63:BH63)-C63</f>
        <v>0</v>
      </c>
      <c r="E63" s="20"/>
      <c r="BG63" s="6"/>
    </row>
    <row r="64" spans="1:61" ht="9.6" customHeight="1" outlineLevel="4" x14ac:dyDescent="0.2">
      <c r="A64" s="11" t="s">
        <v>146</v>
      </c>
      <c r="B64" s="20"/>
      <c r="C64" s="76">
        <v>0</v>
      </c>
      <c r="D64" s="6">
        <f t="shared" si="5"/>
        <v>0</v>
      </c>
      <c r="E64" s="20"/>
      <c r="AZ64" s="6"/>
      <c r="BA64"/>
      <c r="BB64" s="27"/>
    </row>
    <row r="65" spans="1:61" ht="9.6" customHeight="1" outlineLevel="4" x14ac:dyDescent="0.2">
      <c r="A65" s="11" t="s">
        <v>144</v>
      </c>
      <c r="B65" s="20"/>
      <c r="C65" s="76">
        <v>0</v>
      </c>
      <c r="D65" s="6">
        <f t="shared" si="5"/>
        <v>0</v>
      </c>
      <c r="E65" s="20"/>
      <c r="BG65" s="6"/>
    </row>
    <row r="66" spans="1:61" ht="9.6" customHeight="1" outlineLevel="4" x14ac:dyDescent="0.2">
      <c r="A66" s="13" t="s">
        <v>170</v>
      </c>
      <c r="B66" s="20"/>
      <c r="C66" s="76">
        <v>0</v>
      </c>
      <c r="D66" s="6">
        <f t="shared" si="5"/>
        <v>0</v>
      </c>
      <c r="E66" s="20"/>
      <c r="H66" s="24"/>
      <c r="I66" s="24"/>
      <c r="J66" s="24"/>
      <c r="K66" s="24"/>
      <c r="L66" s="24"/>
      <c r="AB66" s="93"/>
      <c r="AQ66" s="26"/>
    </row>
    <row r="67" spans="1:61" ht="9.6" customHeight="1" outlineLevel="4" x14ac:dyDescent="0.2">
      <c r="A67" s="11" t="s">
        <v>145</v>
      </c>
      <c r="B67" s="20"/>
      <c r="C67" s="76">
        <v>150000</v>
      </c>
      <c r="D67" s="6" t="e">
        <f t="shared" ca="1" si="5"/>
        <v>#NAME?</v>
      </c>
      <c r="E67" s="20"/>
      <c r="AH67" s="26"/>
      <c r="AI67" s="26"/>
      <c r="AR67" s="24"/>
      <c r="AS67" s="1">
        <v>150000</v>
      </c>
      <c r="AZ67" s="97" t="e">
        <f ca="1">-AZ$8-SUM(AZ$13:AZ66,AZ68:AZ$68)</f>
        <v>#NAME?</v>
      </c>
      <c r="BA67" t="e">
        <f ca="1">-BA$8-SUM(BA$13:BA66,BA68:BA$68)</f>
        <v>#NAME?</v>
      </c>
      <c r="BB67" s="93"/>
      <c r="BC67" s="93"/>
    </row>
    <row r="68" spans="1:61" ht="9.6" customHeight="1" outlineLevel="4" x14ac:dyDescent="0.2">
      <c r="A68" s="13" t="s">
        <v>165</v>
      </c>
      <c r="B68" s="20"/>
      <c r="C68" s="77"/>
      <c r="D68" s="8">
        <f t="shared" si="5"/>
        <v>0</v>
      </c>
      <c r="E68" s="20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8"/>
      <c r="AX68" s="9"/>
      <c r="AY68" s="9"/>
      <c r="AZ68" s="98"/>
      <c r="BB68" s="98"/>
      <c r="BC68" s="99"/>
      <c r="BD68" s="9"/>
      <c r="BE68" s="9"/>
      <c r="BF68" s="9"/>
      <c r="BG68" s="9"/>
      <c r="BH68" s="9"/>
    </row>
    <row r="69" spans="1:61" ht="14.1" customHeight="1" outlineLevel="3" x14ac:dyDescent="0.2">
      <c r="A69" s="7" t="s">
        <v>87</v>
      </c>
      <c r="B69" s="20"/>
      <c r="C69" s="59">
        <f>SUM(C56:C68)</f>
        <v>27000</v>
      </c>
      <c r="D69" s="34"/>
      <c r="E69" s="20"/>
      <c r="BI69" s="24"/>
    </row>
    <row r="70" spans="1:61" ht="16.5" customHeight="1" outlineLevel="2" x14ac:dyDescent="0.2">
      <c r="A70" s="11" t="s">
        <v>120</v>
      </c>
      <c r="B70" s="20"/>
      <c r="C70" s="34" t="e">
        <f ca="1">C72+C71</f>
        <v>#NAME?</v>
      </c>
      <c r="D70" s="8" t="e">
        <f ca="1">SUM(F70:BH70)-C70</f>
        <v>#NAME?</v>
      </c>
      <c r="E70" s="20"/>
      <c r="F70" s="56"/>
      <c r="G70" s="9">
        <f>SUM(G13:G68)</f>
        <v>0</v>
      </c>
      <c r="H70" s="9" t="e">
        <f ca="1">SUM(H13:H68)</f>
        <v>#NAME?</v>
      </c>
      <c r="I70" s="9" t="e">
        <f t="shared" ref="I70:BH70" ca="1" si="6">SUM(I13:I68)</f>
        <v>#NAME?</v>
      </c>
      <c r="J70" s="9" t="e">
        <f t="shared" ca="1" si="6"/>
        <v>#NAME?</v>
      </c>
      <c r="K70" s="9" t="e">
        <f t="shared" ca="1" si="6"/>
        <v>#NAME?</v>
      </c>
      <c r="L70" s="9" t="e">
        <f t="shared" ca="1" si="6"/>
        <v>#NAME?</v>
      </c>
      <c r="M70" s="9" t="e">
        <f t="shared" ca="1" si="6"/>
        <v>#NAME?</v>
      </c>
      <c r="N70" s="9" t="e">
        <f t="shared" ca="1" si="6"/>
        <v>#NAME?</v>
      </c>
      <c r="O70" s="9" t="e">
        <f t="shared" ca="1" si="6"/>
        <v>#NAME?</v>
      </c>
      <c r="P70" s="9" t="e">
        <f t="shared" ca="1" si="6"/>
        <v>#NAME?</v>
      </c>
      <c r="Q70" s="9" t="e">
        <f t="shared" ca="1" si="6"/>
        <v>#NAME?</v>
      </c>
      <c r="R70" s="9" t="e">
        <f t="shared" ca="1" si="6"/>
        <v>#NAME?</v>
      </c>
      <c r="S70" s="9" t="e">
        <f t="shared" ca="1" si="6"/>
        <v>#NAME?</v>
      </c>
      <c r="T70" s="9" t="e">
        <f t="shared" ca="1" si="6"/>
        <v>#NAME?</v>
      </c>
      <c r="U70" s="9" t="e">
        <f t="shared" ca="1" si="6"/>
        <v>#NAME?</v>
      </c>
      <c r="V70" s="9" t="e">
        <f t="shared" ca="1" si="6"/>
        <v>#NAME?</v>
      </c>
      <c r="W70" s="9">
        <f t="shared" si="6"/>
        <v>0</v>
      </c>
      <c r="X70" s="9" t="e">
        <f t="shared" ca="1" si="6"/>
        <v>#NAME?</v>
      </c>
      <c r="Y70" s="9" t="e">
        <f t="shared" ca="1" si="6"/>
        <v>#NAME?</v>
      </c>
      <c r="Z70" s="9" t="e">
        <f t="shared" ca="1" si="6"/>
        <v>#NAME?</v>
      </c>
      <c r="AA70" s="9" t="e">
        <f t="shared" ca="1" si="6"/>
        <v>#NAME?</v>
      </c>
      <c r="AB70" s="9" t="e">
        <f t="shared" ca="1" si="6"/>
        <v>#NAME?</v>
      </c>
      <c r="AC70" s="9" t="e">
        <f t="shared" ca="1" si="6"/>
        <v>#NAME?</v>
      </c>
      <c r="AD70" s="9" t="e">
        <f t="shared" ca="1" si="6"/>
        <v>#NAME?</v>
      </c>
      <c r="AE70" s="9" t="e">
        <f t="shared" ca="1" si="6"/>
        <v>#NAME?</v>
      </c>
      <c r="AF70" s="9" t="e">
        <f t="shared" ca="1" si="6"/>
        <v>#NAME?</v>
      </c>
      <c r="AG70" s="9" t="e">
        <f t="shared" ca="1" si="6"/>
        <v>#NAME?</v>
      </c>
      <c r="AH70" s="9" t="e">
        <f t="shared" ca="1" si="6"/>
        <v>#NAME?</v>
      </c>
      <c r="AI70" s="9" t="e">
        <f t="shared" ca="1" si="6"/>
        <v>#NAME?</v>
      </c>
      <c r="AJ70" s="9" t="e">
        <f t="shared" ca="1" si="6"/>
        <v>#NAME?</v>
      </c>
      <c r="AK70" s="9" t="e">
        <f t="shared" ca="1" si="6"/>
        <v>#NAME?</v>
      </c>
      <c r="AL70" s="9" t="e">
        <f t="shared" ca="1" si="6"/>
        <v>#NAME?</v>
      </c>
      <c r="AM70" s="9" t="e">
        <f t="shared" ca="1" si="6"/>
        <v>#NAME?</v>
      </c>
      <c r="AN70" s="9" t="e">
        <f t="shared" ca="1" si="6"/>
        <v>#NAME?</v>
      </c>
      <c r="AO70" s="9" t="e">
        <f t="shared" ca="1" si="6"/>
        <v>#NAME?</v>
      </c>
      <c r="AP70" s="9" t="e">
        <f t="shared" ca="1" si="6"/>
        <v>#NAME?</v>
      </c>
      <c r="AQ70" s="9" t="e">
        <f t="shared" ca="1" si="6"/>
        <v>#NAME?</v>
      </c>
      <c r="AR70" s="9" t="e">
        <f t="shared" ca="1" si="6"/>
        <v>#NAME?</v>
      </c>
      <c r="AS70" s="9" t="e">
        <f t="shared" ca="1" si="6"/>
        <v>#NAME?</v>
      </c>
      <c r="AT70" s="9" t="e">
        <f t="shared" ca="1" si="6"/>
        <v>#NAME?</v>
      </c>
      <c r="AU70" s="9" t="e">
        <f t="shared" ca="1" si="6"/>
        <v>#NAME?</v>
      </c>
      <c r="AV70" s="9" t="e">
        <f t="shared" ca="1" si="6"/>
        <v>#NAME?</v>
      </c>
      <c r="AW70" s="9" t="e">
        <f t="shared" ca="1" si="6"/>
        <v>#NAME?</v>
      </c>
      <c r="AX70" s="9" t="e">
        <f t="shared" ca="1" si="6"/>
        <v>#NAME?</v>
      </c>
      <c r="AY70" s="9" t="e">
        <f t="shared" ca="1" si="6"/>
        <v>#NAME?</v>
      </c>
      <c r="AZ70" s="9" t="e">
        <f t="shared" ca="1" si="6"/>
        <v>#NAME?</v>
      </c>
      <c r="BA70" s="9" t="e">
        <f t="shared" ca="1" si="6"/>
        <v>#NAME?</v>
      </c>
      <c r="BB70" s="9">
        <f t="shared" si="6"/>
        <v>0</v>
      </c>
      <c r="BC70" s="9" t="e">
        <f t="shared" ca="1" si="6"/>
        <v>#NAME?</v>
      </c>
      <c r="BD70" s="9" t="e">
        <f t="shared" ca="1" si="6"/>
        <v>#NAME?</v>
      </c>
      <c r="BE70" s="9" t="e">
        <f t="shared" ca="1" si="6"/>
        <v>#NAME?</v>
      </c>
      <c r="BF70" s="9">
        <f t="shared" si="6"/>
        <v>0</v>
      </c>
      <c r="BG70" s="9" t="e">
        <f t="shared" ca="1" si="6"/>
        <v>#NAME?</v>
      </c>
      <c r="BH70" s="9" t="e">
        <f t="shared" ca="1" si="6"/>
        <v>#NAME?</v>
      </c>
    </row>
    <row r="71" spans="1:61" ht="15.6" customHeight="1" outlineLevel="2" x14ac:dyDescent="0.2">
      <c r="A71" s="11" t="s">
        <v>122</v>
      </c>
      <c r="B71" s="20"/>
      <c r="C71" s="60" t="e">
        <f ca="1">F8</f>
        <v>#NAME?</v>
      </c>
      <c r="D71" s="54"/>
      <c r="E71" s="20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</row>
    <row r="72" spans="1:61" ht="17.25" customHeight="1" outlineLevel="1" thickBot="1" x14ac:dyDescent="0.25">
      <c r="A72" s="11" t="s">
        <v>123</v>
      </c>
      <c r="B72" s="20"/>
      <c r="C72" s="32" t="e">
        <f ca="1">G8</f>
        <v>#NAME?</v>
      </c>
      <c r="D72" s="32"/>
      <c r="E72" s="20"/>
      <c r="F72" s="55"/>
      <c r="G72" s="58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24"/>
    </row>
    <row r="73" spans="1:61" ht="12" thickTop="1" x14ac:dyDescent="0.2">
      <c r="B73" s="7"/>
      <c r="C73" s="33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1" x14ac:dyDescent="0.2">
      <c r="A74" t="s">
        <v>161</v>
      </c>
      <c r="C74" s="9">
        <v>-27059</v>
      </c>
      <c r="D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 t="e">
        <f ca="1">-AR70</f>
        <v>#NAME?</v>
      </c>
      <c r="AS74" s="9" t="e">
        <f ca="1">-AS33</f>
        <v>#NAME?</v>
      </c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</row>
    <row r="76" spans="1:61" ht="12" thickBot="1" x14ac:dyDescent="0.25">
      <c r="A76" t="s">
        <v>162</v>
      </c>
      <c r="C76" s="58" t="e">
        <f ca="1">C74+C72</f>
        <v>#NAME?</v>
      </c>
      <c r="D76" s="58"/>
      <c r="F76" s="58"/>
      <c r="G76" s="58" t="e">
        <f ca="1">G8</f>
        <v>#NAME?</v>
      </c>
      <c r="H76" s="58">
        <f t="shared" ref="H76:BH76" si="7">H72+H74</f>
        <v>0</v>
      </c>
      <c r="I76" s="58">
        <f t="shared" si="7"/>
        <v>0</v>
      </c>
      <c r="J76" s="58">
        <f t="shared" si="7"/>
        <v>0</v>
      </c>
      <c r="K76" s="58">
        <f t="shared" si="7"/>
        <v>0</v>
      </c>
      <c r="L76" s="58">
        <f t="shared" si="7"/>
        <v>0</v>
      </c>
      <c r="M76" s="58">
        <f t="shared" si="7"/>
        <v>0</v>
      </c>
      <c r="N76" s="58">
        <f t="shared" si="7"/>
        <v>0</v>
      </c>
      <c r="O76" s="58">
        <f t="shared" si="7"/>
        <v>0</v>
      </c>
      <c r="P76" s="58">
        <f t="shared" si="7"/>
        <v>0</v>
      </c>
      <c r="Q76" s="58">
        <f t="shared" si="7"/>
        <v>0</v>
      </c>
      <c r="R76" s="58">
        <f t="shared" si="7"/>
        <v>0</v>
      </c>
      <c r="S76" s="58">
        <f t="shared" si="7"/>
        <v>0</v>
      </c>
      <c r="T76" s="58">
        <f t="shared" si="7"/>
        <v>0</v>
      </c>
      <c r="U76" s="58">
        <f t="shared" si="7"/>
        <v>0</v>
      </c>
      <c r="V76" s="58">
        <f t="shared" si="7"/>
        <v>0</v>
      </c>
      <c r="W76" s="58">
        <f t="shared" si="7"/>
        <v>0</v>
      </c>
      <c r="X76" s="58">
        <f t="shared" si="7"/>
        <v>0</v>
      </c>
      <c r="Y76" s="58">
        <f t="shared" si="7"/>
        <v>0</v>
      </c>
      <c r="Z76" s="58">
        <f t="shared" si="7"/>
        <v>0</v>
      </c>
      <c r="AA76" s="58">
        <f t="shared" si="7"/>
        <v>0</v>
      </c>
      <c r="AB76" s="58">
        <f t="shared" si="7"/>
        <v>0</v>
      </c>
      <c r="AC76" s="58">
        <f t="shared" si="7"/>
        <v>0</v>
      </c>
      <c r="AD76" s="58">
        <f t="shared" si="7"/>
        <v>0</v>
      </c>
      <c r="AE76" s="58">
        <f t="shared" si="7"/>
        <v>0</v>
      </c>
      <c r="AF76" s="58">
        <f t="shared" si="7"/>
        <v>0</v>
      </c>
      <c r="AG76" s="58">
        <f t="shared" si="7"/>
        <v>0</v>
      </c>
      <c r="AH76" s="58">
        <f t="shared" si="7"/>
        <v>0</v>
      </c>
      <c r="AI76" s="58">
        <f t="shared" si="7"/>
        <v>0</v>
      </c>
      <c r="AJ76" s="58">
        <f t="shared" si="7"/>
        <v>0</v>
      </c>
      <c r="AK76" s="58">
        <f t="shared" si="7"/>
        <v>0</v>
      </c>
      <c r="AL76" s="58">
        <f t="shared" si="7"/>
        <v>0</v>
      </c>
      <c r="AM76" s="58">
        <f t="shared" si="7"/>
        <v>0</v>
      </c>
      <c r="AN76" s="58">
        <f t="shared" si="7"/>
        <v>0</v>
      </c>
      <c r="AO76" s="58">
        <f t="shared" si="7"/>
        <v>0</v>
      </c>
      <c r="AP76" s="58">
        <f>AP72+AP74</f>
        <v>0</v>
      </c>
      <c r="AQ76" s="58">
        <f t="shared" si="7"/>
        <v>0</v>
      </c>
      <c r="AR76" s="58" t="e">
        <f t="shared" ca="1" si="7"/>
        <v>#NAME?</v>
      </c>
      <c r="AS76" s="58" t="e">
        <f t="shared" ca="1" si="7"/>
        <v>#NAME?</v>
      </c>
      <c r="AT76" s="58">
        <f t="shared" si="7"/>
        <v>0</v>
      </c>
      <c r="AU76" s="58">
        <f t="shared" si="7"/>
        <v>0</v>
      </c>
      <c r="AV76" s="58">
        <f t="shared" si="7"/>
        <v>0</v>
      </c>
      <c r="AW76" s="58">
        <f t="shared" si="7"/>
        <v>0</v>
      </c>
      <c r="AX76" s="58">
        <f t="shared" si="7"/>
        <v>0</v>
      </c>
      <c r="AY76" s="58">
        <f t="shared" si="7"/>
        <v>0</v>
      </c>
      <c r="AZ76" s="58">
        <f t="shared" si="7"/>
        <v>0</v>
      </c>
      <c r="BA76" s="58">
        <f t="shared" si="7"/>
        <v>0</v>
      </c>
      <c r="BB76" s="58">
        <f t="shared" si="7"/>
        <v>0</v>
      </c>
      <c r="BC76" s="58">
        <f t="shared" si="7"/>
        <v>0</v>
      </c>
      <c r="BD76" s="58">
        <f t="shared" si="7"/>
        <v>0</v>
      </c>
      <c r="BE76" s="58">
        <f t="shared" si="7"/>
        <v>0</v>
      </c>
      <c r="BF76" s="58">
        <f t="shared" si="7"/>
        <v>0</v>
      </c>
      <c r="BG76" s="58">
        <f t="shared" si="7"/>
        <v>0</v>
      </c>
      <c r="BH76" s="58">
        <f t="shared" si="7"/>
        <v>0</v>
      </c>
    </row>
    <row r="77" spans="1:61" ht="12" thickTop="1" x14ac:dyDescent="0.2"/>
    <row r="78" spans="1:61" x14ac:dyDescent="0.2">
      <c r="C78" s="33" t="s">
        <v>88</v>
      </c>
      <c r="F78" s="6">
        <f t="shared" ref="F78:L78" si="8">SUM(F13:F68)-F70</f>
        <v>0</v>
      </c>
      <c r="G78" s="6">
        <f t="shared" si="8"/>
        <v>0</v>
      </c>
      <c r="H78" s="6" t="e">
        <f t="shared" ca="1" si="8"/>
        <v>#NAME?</v>
      </c>
      <c r="I78" s="6" t="e">
        <f t="shared" ca="1" si="8"/>
        <v>#NAME?</v>
      </c>
      <c r="J78" s="6" t="e">
        <f t="shared" ca="1" si="8"/>
        <v>#NAME?</v>
      </c>
      <c r="K78" s="6" t="e">
        <f t="shared" ca="1" si="8"/>
        <v>#NAME?</v>
      </c>
      <c r="L78" s="6" t="e">
        <f t="shared" ca="1" si="8"/>
        <v>#NAME?</v>
      </c>
      <c r="M78" s="6" t="e">
        <f t="shared" ref="M78:AC78" ca="1" si="9">SUM(M13:M68)-M70</f>
        <v>#NAME?</v>
      </c>
      <c r="N78" s="6" t="e">
        <f t="shared" ca="1" si="9"/>
        <v>#NAME?</v>
      </c>
      <c r="O78" s="6" t="e">
        <f t="shared" ca="1" si="9"/>
        <v>#NAME?</v>
      </c>
      <c r="P78" s="6" t="e">
        <f t="shared" ca="1" si="9"/>
        <v>#NAME?</v>
      </c>
      <c r="Q78" s="6" t="e">
        <f t="shared" ca="1" si="9"/>
        <v>#NAME?</v>
      </c>
      <c r="R78" s="6" t="e">
        <f t="shared" ca="1" si="9"/>
        <v>#NAME?</v>
      </c>
      <c r="S78" s="6" t="e">
        <f t="shared" ca="1" si="9"/>
        <v>#NAME?</v>
      </c>
      <c r="T78" s="6" t="e">
        <f t="shared" ca="1" si="9"/>
        <v>#NAME?</v>
      </c>
      <c r="U78" s="6" t="e">
        <f t="shared" ca="1" si="9"/>
        <v>#NAME?</v>
      </c>
      <c r="V78" s="6" t="e">
        <f t="shared" ca="1" si="9"/>
        <v>#NAME?</v>
      </c>
      <c r="W78" s="6">
        <f t="shared" si="9"/>
        <v>0</v>
      </c>
      <c r="X78" s="6" t="e">
        <f t="shared" ca="1" si="9"/>
        <v>#NAME?</v>
      </c>
      <c r="Y78" s="6" t="e">
        <f t="shared" ca="1" si="9"/>
        <v>#NAME?</v>
      </c>
      <c r="Z78" s="6" t="e">
        <f t="shared" ca="1" si="9"/>
        <v>#NAME?</v>
      </c>
      <c r="AA78" s="6" t="e">
        <f t="shared" ca="1" si="9"/>
        <v>#NAME?</v>
      </c>
      <c r="AB78" s="6" t="e">
        <f t="shared" ca="1" si="9"/>
        <v>#NAME?</v>
      </c>
      <c r="AC78" s="6" t="e">
        <f t="shared" ca="1" si="9"/>
        <v>#NAME?</v>
      </c>
      <c r="AD78" s="6" t="e">
        <f t="shared" ref="AD78:BH78" ca="1" si="10">SUM(AD13:AD68)-AD70</f>
        <v>#NAME?</v>
      </c>
      <c r="AE78" s="6" t="e">
        <f t="shared" ca="1" si="10"/>
        <v>#NAME?</v>
      </c>
      <c r="AF78" s="6" t="e">
        <f t="shared" ca="1" si="10"/>
        <v>#NAME?</v>
      </c>
      <c r="AG78" s="6" t="e">
        <f t="shared" ca="1" si="10"/>
        <v>#NAME?</v>
      </c>
      <c r="AH78" s="6" t="e">
        <f t="shared" ca="1" si="10"/>
        <v>#NAME?</v>
      </c>
      <c r="AI78" s="6" t="e">
        <f t="shared" ca="1" si="10"/>
        <v>#NAME?</v>
      </c>
      <c r="AJ78" s="6" t="e">
        <f t="shared" ca="1" si="10"/>
        <v>#NAME?</v>
      </c>
      <c r="AK78" s="6" t="e">
        <f t="shared" ca="1" si="10"/>
        <v>#NAME?</v>
      </c>
      <c r="AL78" s="6" t="e">
        <f t="shared" ca="1" si="10"/>
        <v>#NAME?</v>
      </c>
      <c r="AM78" s="6" t="e">
        <f t="shared" ca="1" si="10"/>
        <v>#NAME?</v>
      </c>
      <c r="AN78" s="6" t="e">
        <f t="shared" ca="1" si="10"/>
        <v>#NAME?</v>
      </c>
      <c r="AO78" s="6" t="e">
        <f t="shared" ca="1" si="10"/>
        <v>#NAME?</v>
      </c>
      <c r="AP78" s="6" t="e">
        <f t="shared" ca="1" si="10"/>
        <v>#NAME?</v>
      </c>
      <c r="AQ78" s="6" t="e">
        <f t="shared" ca="1" si="10"/>
        <v>#NAME?</v>
      </c>
      <c r="AR78" s="6" t="e">
        <f t="shared" ca="1" si="10"/>
        <v>#NAME?</v>
      </c>
      <c r="AS78" s="6" t="e">
        <f t="shared" ca="1" si="10"/>
        <v>#NAME?</v>
      </c>
      <c r="AT78" s="6" t="e">
        <f t="shared" ca="1" si="10"/>
        <v>#NAME?</v>
      </c>
      <c r="AU78" s="6" t="e">
        <f t="shared" ca="1" si="10"/>
        <v>#NAME?</v>
      </c>
      <c r="AV78" s="6" t="e">
        <f t="shared" ca="1" si="10"/>
        <v>#NAME?</v>
      </c>
      <c r="AW78" s="6" t="e">
        <f t="shared" ca="1" si="10"/>
        <v>#NAME?</v>
      </c>
      <c r="AX78" s="6" t="e">
        <f t="shared" ca="1" si="10"/>
        <v>#NAME?</v>
      </c>
      <c r="AY78" s="6" t="e">
        <f t="shared" ca="1" si="10"/>
        <v>#NAME?</v>
      </c>
      <c r="AZ78" s="6" t="e">
        <f t="shared" ca="1" si="10"/>
        <v>#NAME?</v>
      </c>
      <c r="BA78" s="6" t="e">
        <f t="shared" ca="1" si="10"/>
        <v>#NAME?</v>
      </c>
      <c r="BB78" s="6">
        <f t="shared" si="10"/>
        <v>0</v>
      </c>
      <c r="BC78" s="6" t="e">
        <f t="shared" ca="1" si="10"/>
        <v>#NAME?</v>
      </c>
      <c r="BD78" s="6" t="e">
        <f t="shared" ca="1" si="10"/>
        <v>#NAME?</v>
      </c>
      <c r="BE78" s="6" t="e">
        <f t="shared" ca="1" si="10"/>
        <v>#NAME?</v>
      </c>
      <c r="BF78" s="6">
        <f t="shared" si="10"/>
        <v>0</v>
      </c>
      <c r="BG78" s="6" t="e">
        <f t="shared" ca="1" si="10"/>
        <v>#NAME?</v>
      </c>
      <c r="BH78" s="6" t="e">
        <f t="shared" ca="1" si="10"/>
        <v>#NAME?</v>
      </c>
    </row>
  </sheetData>
  <printOptions gridLines="1"/>
  <pageMargins left="0.75" right="0.25" top="0.75" bottom="0.2" header="0.5" footer="0"/>
  <pageSetup paperSize="5" scale="76" fitToWidth="4" orientation="landscape" useFirstPageNumber="1" horizontalDpi="4294967292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Enron Gas Pipeline Group</vt:lpstr>
      <vt:lpstr>AACFHDRCOL</vt:lpstr>
      <vt:lpstr>AACFHDRROW</vt:lpstr>
      <vt:lpstr>AACFWKS</vt:lpstr>
      <vt:lpstr>AACFWKS1</vt:lpstr>
      <vt:lpstr>AACFWKS2</vt:lpstr>
      <vt:lpstr>AAWSSIDEWAYS</vt:lpstr>
      <vt:lpstr>AWAACF</vt:lpstr>
      <vt:lpstr>BORDERCAAWP</vt:lpstr>
      <vt:lpstr>BORDERRAAWP</vt:lpstr>
      <vt:lpstr>BORDERRWWAP</vt:lpstr>
      <vt:lpstr>CATEGORY</vt:lpstr>
      <vt:lpstr>CATEGORY2</vt:lpstr>
      <vt:lpstr>DATE2</vt:lpstr>
      <vt:lpstr>DATEPRYR</vt:lpstr>
      <vt:lpstr>NAME1</vt:lpstr>
      <vt:lpstr>'Enron Gas Pipeline Group'!Print_Area</vt:lpstr>
      <vt:lpstr>'Enron Gas Pipeline Group'!Print_Titles</vt:lpstr>
      <vt:lpstr>PRT_RNG_AA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 M. Leo</dc:creator>
  <cp:lastModifiedBy>Felienne</cp:lastModifiedBy>
  <cp:lastPrinted>2000-10-27T04:52:49Z</cp:lastPrinted>
  <dcterms:created xsi:type="dcterms:W3CDTF">1998-10-22T20:33:21Z</dcterms:created>
  <dcterms:modified xsi:type="dcterms:W3CDTF">2014-09-04T14:13:11Z</dcterms:modified>
</cp:coreProperties>
</file>